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20" yWindow="50" windowWidth="10250" windowHeight="8120" firstSheet="1" activeTab="6"/>
  </bookViews>
  <sheets>
    <sheet name="APR'17" sheetId="1" state="hidden" r:id="rId1"/>
    <sheet name="Cover" sheetId="7" r:id="rId2"/>
    <sheet name="Dec'17" sheetId="2" r:id="rId3"/>
    <sheet name="Detail WBS'1217" sheetId="3" r:id="rId4"/>
    <sheet name="Detail WPL'1217" sheetId="4" r:id="rId5"/>
    <sheet name="TB'1217" sheetId="6" r:id="rId6"/>
    <sheet name="Trial Balance" sheetId="13" r:id="rId7"/>
    <sheet name="DIT'1217" sheetId="5" r:id="rId8"/>
    <sheet name="Performance DEC'17" sheetId="8" r:id="rId9"/>
    <sheet name="MNC Asset -Proj 2017" sheetId="11" r:id="rId10"/>
    <sheet name="2016" sheetId="10" r:id="rId11"/>
    <sheet name="Sheet1" sheetId="12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</externalReferences>
  <definedNames>
    <definedName name="\0" localSheetId="9">#REF!</definedName>
    <definedName name="\a" localSheetId="9">[1]INV!#REF!</definedName>
    <definedName name="\c" localSheetId="9">#REF!</definedName>
    <definedName name="\d" localSheetId="9">#REF!</definedName>
    <definedName name="\e" localSheetId="9">#REF!</definedName>
    <definedName name="\i" localSheetId="9">#REF!</definedName>
    <definedName name="\M" localSheetId="9">#REF!</definedName>
    <definedName name="\O" localSheetId="9">#REF!</definedName>
    <definedName name="\S" localSheetId="9">#REF!</definedName>
    <definedName name="\u" localSheetId="9">#REF!</definedName>
    <definedName name="\w" localSheetId="9">#REF!</definedName>
    <definedName name="___aam822" localSheetId="9">'[2]TB-WP'!#REF!</definedName>
    <definedName name="___AJE1" localSheetId="9">#REF!</definedName>
    <definedName name="___LAM1" localSheetId="9">#REF!</definedName>
    <definedName name="___RL1" localSheetId="9">#REF!</definedName>
    <definedName name="___RL2" localSheetId="9">#REF!</definedName>
    <definedName name="___wbs1" localSheetId="9">#REF!</definedName>
    <definedName name="___wbs2" localSheetId="9">#REF!</definedName>
    <definedName name="__aam822" localSheetId="9">'[2]TB-WP'!#REF!</definedName>
    <definedName name="__AJE1" localSheetId="9">#REF!</definedName>
    <definedName name="__AT99" localSheetId="9">#REF!</definedName>
    <definedName name="__DAT1" localSheetId="9">#REF!</definedName>
    <definedName name="__DAT2" localSheetId="9">#REF!</definedName>
    <definedName name="__DAT3" localSheetId="9">#REF!</definedName>
    <definedName name="__DAT4" localSheetId="9">#REF!</definedName>
    <definedName name="__DAT5" localSheetId="9">#REF!</definedName>
    <definedName name="__DAT6" localSheetId="9">#REF!</definedName>
    <definedName name="__kew1" localSheetId="9">#REF!</definedName>
    <definedName name="__kew2" localSheetId="9">#REF!</definedName>
    <definedName name="__kod1" localSheetId="9">#REF!</definedName>
    <definedName name="__LAM1" localSheetId="9">#REF!</definedName>
    <definedName name="__MAIN___5" localSheetId="9">#REF!</definedName>
    <definedName name="__MAY02">'[3]BSHO Report'!$D$1:$S$248,'[3]BSHO Report'!$X$1:$AY$248</definedName>
    <definedName name="__pen1" localSheetId="9">#REF!</definedName>
    <definedName name="__pen3" localSheetId="9">#REF!</definedName>
    <definedName name="__q02___5" localSheetId="9">#REF!</definedName>
    <definedName name="__RL1" localSheetId="9">#REF!</definedName>
    <definedName name="__RL2" localSheetId="9">#REF!</definedName>
    <definedName name="__sum1" localSheetId="9">#REF!</definedName>
    <definedName name="__TahunBulan___5" localSheetId="9">#REF!</definedName>
    <definedName name="__TOP1" localSheetId="9">#REF!</definedName>
    <definedName name="__TOP2" localSheetId="9">#REF!</definedName>
    <definedName name="__top3" localSheetId="9">#REF!</definedName>
    <definedName name="__wbs1" localSheetId="9">#REF!</definedName>
    <definedName name="__wbs2" localSheetId="9">#REF!</definedName>
    <definedName name="_5" localSheetId="9">#REF!</definedName>
    <definedName name="_6" localSheetId="9">#REF!</definedName>
    <definedName name="_8311" localSheetId="9">#REF!</definedName>
    <definedName name="_aam822" localSheetId="9">'[2]TB-WP'!#REF!</definedName>
    <definedName name="_aje05" localSheetId="9" hidden="1">#REF!</definedName>
    <definedName name="_AJE1" localSheetId="9">#REF!</definedName>
    <definedName name="_DAT1" localSheetId="9">#REF!</definedName>
    <definedName name="_DAT2" localSheetId="9">#REF!</definedName>
    <definedName name="_DAT3" localSheetId="9">#REF!</definedName>
    <definedName name="_DAT4" localSheetId="9">#REF!</definedName>
    <definedName name="_DAT5" localSheetId="9">#REF!</definedName>
    <definedName name="_DAT6" localSheetId="9">#REF!</definedName>
    <definedName name="_Dist_Bin" localSheetId="9" hidden="1">#REF!</definedName>
    <definedName name="_Dist_Values" localSheetId="9" hidden="1">#REF!</definedName>
    <definedName name="_Fill" localSheetId="9" hidden="1">#REF!</definedName>
    <definedName name="_xlnm._FilterDatabase" localSheetId="9" hidden="1">'MNC Asset -Proj 2017'!$A$220:$V$647</definedName>
    <definedName name="_kew1" localSheetId="9">#REF!</definedName>
    <definedName name="_kew2" localSheetId="9">#REF!</definedName>
    <definedName name="_Key1" localSheetId="9" hidden="1">#REF!</definedName>
    <definedName name="_Key2" localSheetId="9" hidden="1">#REF!</definedName>
    <definedName name="_kod1" localSheetId="9">#REF!</definedName>
    <definedName name="_LAM1" localSheetId="9">#REF!</definedName>
    <definedName name="_MatInverse_In" localSheetId="9" hidden="1">#REF!</definedName>
    <definedName name="_MatMult_A" localSheetId="9" hidden="1">#REF!</definedName>
    <definedName name="_Order1" hidden="1">255</definedName>
    <definedName name="_Order2" hidden="1">255</definedName>
    <definedName name="_pen1" localSheetId="9">#REF!</definedName>
    <definedName name="_pen2" localSheetId="9">#REF!</definedName>
    <definedName name="_pen3" localSheetId="9">#REF!</definedName>
    <definedName name="_RL1" localSheetId="9">#REF!</definedName>
    <definedName name="_RL2" localSheetId="9">#REF!</definedName>
    <definedName name="_Sort" localSheetId="9" hidden="1">#REF!</definedName>
    <definedName name="_sum1" localSheetId="9">#REF!</definedName>
    <definedName name="_Table1_In1" localSheetId="9" hidden="1">#REF!</definedName>
    <definedName name="_Table1_Out" localSheetId="9" hidden="1">#REF!</definedName>
    <definedName name="_Table2_In1" localSheetId="9" hidden="1">#REF!</definedName>
    <definedName name="_Table2_In2" localSheetId="9" hidden="1">#REF!</definedName>
    <definedName name="_Table2_Out" localSheetId="9" hidden="1">#REF!</definedName>
    <definedName name="_TOP1" localSheetId="9">#REF!</definedName>
    <definedName name="_TOP2" localSheetId="9">#REF!</definedName>
    <definedName name="_top3" localSheetId="9">#REF!</definedName>
    <definedName name="_wbs1" localSheetId="9">#REF!</definedName>
    <definedName name="_wbs2" localSheetId="9">#REF!</definedName>
    <definedName name="A" localSheetId="9">'[4]NY ADMIN'!#REF!</definedName>
    <definedName name="aajsby" localSheetId="9">#REF!</definedName>
    <definedName name="account_payables" localSheetId="9">'[2]TB-WP'!#REF!</definedName>
    <definedName name="acr_bs" localSheetId="9">#REF!</definedName>
    <definedName name="advance_payment" localSheetId="9">'[2]TB-WP'!#REF!</definedName>
    <definedName name="affiliation_payables" localSheetId="9">'[2]TB-WP'!#REF!</definedName>
    <definedName name="ag0" localSheetId="9">'[2]TB-WP'!#REF!</definedName>
    <definedName name="AI" localSheetId="9">#REF!</definedName>
    <definedName name="AKT" localSheetId="9">#REF!</definedName>
    <definedName name="AKTIVA" localSheetId="9">[5]NPasiva!#REF!</definedName>
    <definedName name="aktiva_lain_lain" localSheetId="9">#REF!</definedName>
    <definedName name="AKTIVAs" localSheetId="9">[5]NPasiva!#REF!</definedName>
    <definedName name="APR">'[3]BSHO Report'!$D$1:$O$248,'[3]BSHO Report'!$T$1:$AY$248</definedName>
    <definedName name="AS2DocOpenMode" hidden="1">"AS2DocumentEdit"</definedName>
    <definedName name="ass" localSheetId="9">#REF!</definedName>
    <definedName name="ASSET" localSheetId="9">#REF!</definedName>
    <definedName name="assetnop" localSheetId="9">#REF!</definedName>
    <definedName name="B" localSheetId="9">#REF!</definedName>
    <definedName name="BANK_EXP" localSheetId="9">#REF!</definedName>
    <definedName name="Bank4" localSheetId="9">#REF!</definedName>
    <definedName name="BANKHALL" localSheetId="9" hidden="1">#REF!</definedName>
    <definedName name="baru" localSheetId="9" hidden="1">#REF!</definedName>
    <definedName name="BDN_RP" localSheetId="9">#REF!</definedName>
    <definedName name="BDN_RPD" localSheetId="9">#REF!</definedName>
    <definedName name="BDN_USD" localSheetId="9">#REF!</definedName>
    <definedName name="BDN_USD1" localSheetId="9">#REF!</definedName>
    <definedName name="Beban_Jasa" localSheetId="9">'[6]Worksheet-03'!#REF!</definedName>
    <definedName name="biaya_dbyr_dmk" localSheetId="9">'[2]TB-WP'!#REF!</definedName>
    <definedName name="Biaya_masih_harus_dibayar" localSheetId="9">'[6]Worksheet-03'!#REF!</definedName>
    <definedName name="BIG" localSheetId="9">#REF!</definedName>
    <definedName name="BNE" localSheetId="9" hidden="1">#REF!</definedName>
    <definedName name="BPI_RP" localSheetId="9">#REF!</definedName>
    <definedName name="BPI_RPD" localSheetId="9">#REF!</definedName>
    <definedName name="BPI_USD" localSheetId="9">#REF!</definedName>
    <definedName name="BPI_USD1" localSheetId="9">#REF!</definedName>
    <definedName name="BREAK_EXP" localSheetId="9">#REF!</definedName>
    <definedName name="BSBIPRINENG" localSheetId="9">#REF!</definedName>
    <definedName name="BSBIPRINTENG" localSheetId="9">#REF!</definedName>
    <definedName name="BSBIPRINTIND" localSheetId="9">#REF!</definedName>
    <definedName name="BSHOPRINTENG" localSheetId="9">#REF!</definedName>
    <definedName name="BSHOPRINTIND" localSheetId="9">#REF!</definedName>
    <definedName name="budg" localSheetId="9">#REF!</definedName>
    <definedName name="C_F_RP" localSheetId="9">#REF!</definedName>
    <definedName name="C_F_USD" localSheetId="9">#REF!</definedName>
    <definedName name="CA" localSheetId="9">#REF!</definedName>
    <definedName name="cad" localSheetId="9">#REF!</definedName>
    <definedName name="CAR" localSheetId="9">#REF!</definedName>
    <definedName name="CB" localSheetId="9">#REF!</definedName>
    <definedName name="CEK" localSheetId="9">#REF!</definedName>
    <definedName name="Checker">[7]Checker!$A$1</definedName>
    <definedName name="CK_BANK" localSheetId="9">#REF!</definedName>
    <definedName name="coa" localSheetId="9">#REF!</definedName>
    <definedName name="COM_RP" localSheetId="9">#REF!</definedName>
    <definedName name="COM_USD" localSheetId="9">#REF!</definedName>
    <definedName name="CR" localSheetId="9">#REF!</definedName>
    <definedName name="CRE" localSheetId="9">#REF!</definedName>
    <definedName name="CURRDATE" localSheetId="9">#REF!</definedName>
    <definedName name="Daftar_Aset" localSheetId="9">#REF!</definedName>
    <definedName name="DAFTAR_RINCIAN_LABA_RUGI" localSheetId="9">#REF!</definedName>
    <definedName name="dat_lbbuII" localSheetId="9">#REF!</definedName>
    <definedName name="data" localSheetId="9">#REF!</definedName>
    <definedName name="_xlnm.Database" localSheetId="9">#REF!</definedName>
    <definedName name="Database_MI" localSheetId="9">#REF!</definedName>
    <definedName name="DB" localSheetId="9">#REF!</definedName>
    <definedName name="DBASEPRO" localSheetId="9">#REF!</definedName>
    <definedName name="DEB" localSheetId="9">#REF!</definedName>
    <definedName name="deffered_tax" localSheetId="9">'[2]TB-WP'!#REF!</definedName>
    <definedName name="dep_bs" localSheetId="9">#REF!</definedName>
    <definedName name="DPA_KRS" localSheetId="9">#REF!</definedName>
    <definedName name="DPA_RP" localSheetId="9">#REF!</definedName>
    <definedName name="DPA_USD" localSheetId="9">#REF!</definedName>
    <definedName name="dpk_idr" localSheetId="9">#REF!</definedName>
    <definedName name="DR_KRS" localSheetId="9">#REF!</definedName>
    <definedName name="DR_RP" localSheetId="9">#REF!</definedName>
    <definedName name="DR_USD" localSheetId="9">#REF!</definedName>
    <definedName name="DUA" localSheetId="9">#REF!</definedName>
    <definedName name="ELIMINASI" localSheetId="9">[8]TB!#REF!</definedName>
    <definedName name="EMPAT" localSheetId="9">#REF!</definedName>
    <definedName name="Excel_BuiltIn_Database_4" localSheetId="9">#REF!</definedName>
    <definedName name="Excel_BuiltIn_Database_7" localSheetId="9">#REF!</definedName>
    <definedName name="Excel_BuiltIn_Print_Area" localSheetId="9">#REF!</definedName>
    <definedName name="Excel_BuiltIn_Print_Titles" localSheetId="9">#REF!</definedName>
    <definedName name="Excel_BuiltIn_Print_Titles_10" localSheetId="9">[9]CAJE!#REF!</definedName>
    <definedName name="Excel_BuiltIn_Print_Titles_5" localSheetId="9">[10]CF!#REF!</definedName>
    <definedName name="expodep" localSheetId="9">#REF!</definedName>
    <definedName name="EXPORT_DB" localSheetId="9">#REF!</definedName>
    <definedName name="EXPORT_MA" localSheetId="9">#REF!</definedName>
    <definedName name="f" localSheetId="9">#REF!</definedName>
    <definedName name="FEB">'[3]BSHO Report'!$D$1:$G$248,'[3]BSHO Report'!$L$2,'[3]BSHO Report'!$L$1:$AY$248</definedName>
    <definedName name="FixAss" localSheetId="9">#REF!</definedName>
    <definedName name="fixed_asset" localSheetId="9">'[2]TB-WP'!#REF!</definedName>
    <definedName name="FOB_RP" localSheetId="9">#REF!</definedName>
    <definedName name="FOB_USD" localSheetId="9">#REF!</definedName>
    <definedName name="form_17" localSheetId="9">#REF!</definedName>
    <definedName name="FRG_RP" localSheetId="9">#REF!</definedName>
    <definedName name="FRG_USD" localSheetId="9">#REF!</definedName>
    <definedName name="fund3PFCY" localSheetId="9">#REF!,#REF!</definedName>
    <definedName name="fwd_p" localSheetId="9">#REF!</definedName>
    <definedName name="fwd_s" localSheetId="9">#REF!</definedName>
    <definedName name="GARIS" localSheetId="9">#REF!</definedName>
    <definedName name="go" localSheetId="9">#REF!</definedName>
    <definedName name="GR" localSheetId="9">#REF!</definedName>
    <definedName name="gss" localSheetId="9">[5]NPasiva!#REF!</definedName>
    <definedName name="guarantee" localSheetId="9">'[2]TB-WP'!#REF!</definedName>
    <definedName name="halaman1" localSheetId="9">#REF!</definedName>
    <definedName name="halaman10" localSheetId="9">#REF!</definedName>
    <definedName name="halaman11" localSheetId="9">#REF!</definedName>
    <definedName name="halaman12" localSheetId="9">#REF!</definedName>
    <definedName name="halaman13" localSheetId="9">#REF!</definedName>
    <definedName name="halaman14" localSheetId="9">#REF!</definedName>
    <definedName name="halaman15" localSheetId="9">#REF!</definedName>
    <definedName name="halaman16" localSheetId="9">#REF!</definedName>
    <definedName name="halaman17" localSheetId="9">#REF!</definedName>
    <definedName name="halaman18" localSheetId="9">#REF!</definedName>
    <definedName name="halaman2" localSheetId="9">#REF!</definedName>
    <definedName name="halaman20" localSheetId="9">#REF!</definedName>
    <definedName name="halaman3" localSheetId="9">#REF!</definedName>
    <definedName name="halaman4" localSheetId="9">#REF!</definedName>
    <definedName name="halaman5" localSheetId="9">#REF!</definedName>
    <definedName name="halaman6" localSheetId="9">#REF!</definedName>
    <definedName name="halaman7" localSheetId="9">#REF!</definedName>
    <definedName name="halaman8" localSheetId="9">#REF!</definedName>
    <definedName name="halaman9" localSheetId="9">#REF!</definedName>
    <definedName name="Harus_nol" localSheetId="9">'[11]BS-PL Komersil and Fiskal'!#REF!</definedName>
    <definedName name="HIDEDATE" localSheetId="9">#REF!</definedName>
    <definedName name="HIDEENG" localSheetId="9">#REF!</definedName>
    <definedName name="HIDEIND" localSheetId="9">#REF!</definedName>
    <definedName name="HOME" localSheetId="9">[3]Front!#REF!</definedName>
    <definedName name="Hutang_hubungan_khusus" localSheetId="9">'[6]Worksheet-03'!#REF!</definedName>
    <definedName name="Hutang_pajak" localSheetId="9">'[6]Worksheet-03'!#REF!</definedName>
    <definedName name="i_bs" localSheetId="9">#REF!</definedName>
    <definedName name="IDRAUG">'[3]Check Sheet'!$I$7</definedName>
    <definedName name="IDRDEC">'[3]Check Sheet'!$M$7</definedName>
    <definedName name="IDRFEB">'[3]Check Sheet'!$C$7</definedName>
    <definedName name="IDRJAN">'[3]Check Sheet'!$B$7</definedName>
    <definedName name="IDRJUL">'[3]Check Sheet'!$H$7</definedName>
    <definedName name="IDRJUN">'[3]Check Sheet'!$G$7</definedName>
    <definedName name="IDRMAR">'[3]Check Sheet'!$D$7</definedName>
    <definedName name="IDRMAY">'[3]Check Sheet'!$F$7</definedName>
    <definedName name="IDRNOV">'[3]Check Sheet'!$L$7</definedName>
    <definedName name="IDROCT">'[3]Check Sheet'!$K$7</definedName>
    <definedName name="IDRSEP">'[3]Check Sheet'!$J$7</definedName>
    <definedName name="IHH_KRS" localSheetId="9">#REF!</definedName>
    <definedName name="IHH_RP" localSheetId="9">#REF!</definedName>
    <definedName name="immov" localSheetId="9">#REF!</definedName>
    <definedName name="inc" localSheetId="9">#REF!</definedName>
    <definedName name="INCO" localSheetId="9">#REF!</definedName>
    <definedName name="inputform3" localSheetId="9">#REF!</definedName>
    <definedName name="INS_RP" localSheetId="9">#REF!</definedName>
    <definedName name="INS_USD" localSheetId="9">#REF!</definedName>
    <definedName name="INV" localSheetId="9">#REF!</definedName>
    <definedName name="INVENTARIS_LAINNYA" localSheetId="9">[12]U.1!#REF!</definedName>
    <definedName name="Investasi_new" localSheetId="9" hidden="1">#REF!</definedName>
    <definedName name="jaminan" localSheetId="9">'[2]TB-WP'!#REF!</definedName>
    <definedName name="JN" localSheetId="9">#REF!</definedName>
    <definedName name="JUL" localSheetId="9">'[13]KAS $'!#REF!</definedName>
    <definedName name="KAPAL" localSheetId="9">#REF!</definedName>
    <definedName name="kas" localSheetId="9">'[2]TB-WP'!#REF!</definedName>
    <definedName name="KELOM_I" localSheetId="9">#REF!</definedName>
    <definedName name="kewajiban_lain_lain" localSheetId="9">#REF!</definedName>
    <definedName name="kom_komitment" localSheetId="9">#REF!</definedName>
    <definedName name="kom_kontinjensi" localSheetId="9">#REF!</definedName>
    <definedName name="kom_rl2" localSheetId="9">#REF!</definedName>
    <definedName name="KOMITMENT" localSheetId="9">#REF!</definedName>
    <definedName name="komp_nrc" localSheetId="9">#REF!</definedName>
    <definedName name="komp_nrc1" localSheetId="9">#REF!</definedName>
    <definedName name="komp_nrc2" localSheetId="9">#REF!</definedName>
    <definedName name="KONTINJENSI" localSheetId="9">#REF!</definedName>
    <definedName name="ks" localSheetId="9">'[2]TB-WP'!#REF!</definedName>
    <definedName name="KSL_LAINNYA" localSheetId="9">#REF!</definedName>
    <definedName name="KU_WESEL" localSheetId="9">#REF!</definedName>
    <definedName name="KURS" localSheetId="9">#REF!</definedName>
    <definedName name="LAB" localSheetId="9">#REF!</definedName>
    <definedName name="LABA" localSheetId="9">#REF!</definedName>
    <definedName name="LAM1A" localSheetId="9">#REF!</definedName>
    <definedName name="LAM3A1" localSheetId="9">#REF!</definedName>
    <definedName name="lam3a2" localSheetId="9">#REF!</definedName>
    <definedName name="LEFT1" localSheetId="9">#REF!</definedName>
    <definedName name="LEFT2" localSheetId="9">#REF!</definedName>
    <definedName name="left3" localSheetId="9">#REF!</definedName>
    <definedName name="LEFT4" localSheetId="9">#REF!</definedName>
    <definedName name="LIAB" localSheetId="9">#REF!</definedName>
    <definedName name="liabnop" localSheetId="9">#REF!</definedName>
    <definedName name="LIST_INC" localSheetId="9">#REF!</definedName>
    <definedName name="listfacon" localSheetId="9">#REF!</definedName>
    <definedName name="lld" localSheetId="9">#REF!</definedName>
    <definedName name="LR" localSheetId="9">#REF!</definedName>
    <definedName name="M" localSheetId="9">#REF!</definedName>
    <definedName name="M1_" localSheetId="9">#REF!</definedName>
    <definedName name="MACROS" localSheetId="9">#REF!</definedName>
    <definedName name="mar_bs" localSheetId="9">#REF!</definedName>
    <definedName name="MARCH01" localSheetId="9">#REF!</definedName>
    <definedName name="mas" localSheetId="9">#REF!</definedName>
    <definedName name="Million">[14]Input!$D$26</definedName>
    <definedName name="n" localSheetId="9">'[2]TB-WP'!#REF!</definedName>
    <definedName name="NEGARA" localSheetId="9">#REF!</definedName>
    <definedName name="NERACA1" localSheetId="9">#REF!</definedName>
    <definedName name="NERACA2" localSheetId="9">#REF!</definedName>
    <definedName name="NO_BF" localSheetId="9">#REF!</definedName>
    <definedName name="NO_BK" localSheetId="9">#REF!</definedName>
    <definedName name="NO_IN" localSheetId="9">#REF!</definedName>
    <definedName name="NO_LC" localSheetId="9">#REF!</definedName>
    <definedName name="NO_PEB" localSheetId="9">#REF!</definedName>
    <definedName name="NO_SR" localSheetId="9">#REF!</definedName>
    <definedName name="nop" localSheetId="9">#REF!</definedName>
    <definedName name="nrc_papi" localSheetId="9">#REF!</definedName>
    <definedName name="OLD" localSheetId="9" hidden="1">#REF!</definedName>
    <definedName name="ostl_bs" localSheetId="9">#REF!,#REF!</definedName>
    <definedName name="oth_bs" localSheetId="9">#REF!</definedName>
    <definedName name="OTH_EXP" localSheetId="9">#REF!</definedName>
    <definedName name="outaccep_import" localSheetId="9">#REF!</definedName>
    <definedName name="OUTPUT" localSheetId="9">#REF!</definedName>
    <definedName name="p" localSheetId="9">#REF!</definedName>
    <definedName name="P1_" localSheetId="9">#REF!</definedName>
    <definedName name="pajak_dby_dmk" localSheetId="9">'[2]TB-WP'!#REF!</definedName>
    <definedName name="Pajak_dibayar_di_muka" localSheetId="9">'[6]Worksheet-03'!#REF!</definedName>
    <definedName name="Parents" localSheetId="9">#REF!</definedName>
    <definedName name="PAS" localSheetId="9">#REF!</definedName>
    <definedName name="PASIVA" localSheetId="9">[5]NPasiva!#REF!</definedName>
    <definedName name="pdpt_ymh_dtrm" localSheetId="9">'[2]TB-WP'!#REF!</definedName>
    <definedName name="PEMBELI" localSheetId="9">#REF!</definedName>
    <definedName name="persediaan" localSheetId="9">'[2]TB-WP'!#REF!</definedName>
    <definedName name="Persediaan__spare_part" localSheetId="9">'[6]Worksheet-03'!#REF!</definedName>
    <definedName name="Piutang__Affiliasi" localSheetId="9">'[6]Worksheet-03'!#REF!</definedName>
    <definedName name="piutang_lain" localSheetId="9">'[2]TB-WP'!#REF!</definedName>
    <definedName name="piutang_ush" localSheetId="9">'[2]TB-WP'!#REF!</definedName>
    <definedName name="pl" localSheetId="9">#REF!</definedName>
    <definedName name="PLAUG">'[3]PLHO Report'!$D$1:$Q$282,'[3]PLHO Report'!$T$1:$AA$282</definedName>
    <definedName name="PLBIPRINTENG" localSheetId="9">#REF!</definedName>
    <definedName name="PLBIPRINTIND" localSheetId="9">#REF!</definedName>
    <definedName name="PLHOENG1">[3]PLHOENG!$A$1:$F$65536</definedName>
    <definedName name="PLHOPRINTENG" localSheetId="9">#REF!</definedName>
    <definedName name="PLHOPRINTIND" localSheetId="9">#REF!</definedName>
    <definedName name="PLJUN">'[3]PLHO Report'!$D$1:$M$282,'[3]PLHO Report'!$P$1:$AA$282</definedName>
    <definedName name="PLMAR">'[3]PLHO Report'!$D$1:$G$282,'[3]PLHO Report'!$J$1:$AA$282</definedName>
    <definedName name="PLMAY">'[3]PLHO Report'!$D$1:$K$282,'[3]PLHO Report'!$N$1:$AA$282</definedName>
    <definedName name="PLNOV">'[3]PLHO Report'!$D$1:$W$282,'[3]PLHO Report'!$Z$1:$AA$282</definedName>
    <definedName name="PLOCT">'[3]PLHO Report'!$D$1:$U$282,'[3]PLHO Report'!$X$1:$AA$282</definedName>
    <definedName name="PLSEP">'[3]PLHO Report'!$D$1:$S$282,'[3]PLHO Report'!$V$1:$AA$282</definedName>
    <definedName name="PLUSD">[3]PLHOENG!$H$1:$H$65536</definedName>
    <definedName name="pm" localSheetId="9">#REF!</definedName>
    <definedName name="PPA" localSheetId="9">#REF!</definedName>
    <definedName name="PRE" localSheetId="9">#REF!</definedName>
    <definedName name="PREOP" localSheetId="9">#REF!</definedName>
    <definedName name="PRINT_A" localSheetId="9">#REF!</definedName>
    <definedName name="_xlnm.Print_Area" localSheetId="0">'APR''17'!$D$1:$J$47</definedName>
    <definedName name="_xlnm.Print_Area" localSheetId="1">Cover!$A$1:$J$47</definedName>
    <definedName name="_xlnm.Print_Area" localSheetId="2">'Dec''17'!$A$1:$U$48,'Dec''17'!$A$49:$V$109</definedName>
    <definedName name="_xlnm.Print_Area" localSheetId="3">'Detail WBS''1217'!$A$1:$S$74,'Detail WBS''1217'!$A$75:$R$131</definedName>
    <definedName name="_xlnm.Print_Area" localSheetId="4">'Detail WPL''1217'!$A$1:$T$122</definedName>
    <definedName name="_xlnm.Print_Area" localSheetId="9">'MNC Asset -Proj 2017'!$A$37:$W$83</definedName>
    <definedName name="PRINT_AREA_MI" localSheetId="9">#REF!</definedName>
    <definedName name="print_pt" localSheetId="9">#REF!,#REF!,#REF!</definedName>
    <definedName name="_xlnm.Print_Titles" localSheetId="3">'Detail WBS''1217'!$1:$7</definedName>
    <definedName name="_xlnm.Print_Titles" localSheetId="4">'Detail WPL''1217'!$1:$7</definedName>
    <definedName name="_xlnm.Print_Titles" localSheetId="9">'MNC Asset -Proj 2017'!$A:$A,'MNC Asset -Proj 2017'!$32:$33</definedName>
    <definedName name="PRINT_TITLES_MI" localSheetId="9">#REF!</definedName>
    <definedName name="PRINTENGALL" localSheetId="9">#REF!</definedName>
    <definedName name="PRINTINDALL" localSheetId="9">#REF!</definedName>
    <definedName name="provision" localSheetId="9">#REF!</definedName>
    <definedName name="RATE" localSheetId="9">#REF!</definedName>
    <definedName name="ratna" localSheetId="9">#REF!</definedName>
    <definedName name="REKONLIPPO" localSheetId="9">#REF!</definedName>
    <definedName name="REKONSBI" localSheetId="9">#REF!</definedName>
    <definedName name="RFN" localSheetId="9">#REF!</definedName>
    <definedName name="rici" localSheetId="9">#REF!</definedName>
    <definedName name="rl_komperatif" localSheetId="9">#REF!</definedName>
    <definedName name="RL_PAPI" localSheetId="9">#REF!</definedName>
    <definedName name="Round" localSheetId="9">#REF!</definedName>
    <definedName name="rrakt" localSheetId="9">#REF!</definedName>
    <definedName name="rrpsv" localSheetId="9">#REF!</definedName>
    <definedName name="RUGI_LABA" localSheetId="9">#REF!</definedName>
    <definedName name="RUGILABA1" localSheetId="9">#REF!</definedName>
    <definedName name="RUGILABA2" localSheetId="9">#REF!</definedName>
    <definedName name="SATU" localSheetId="9">#REF!</definedName>
    <definedName name="SAVE" localSheetId="9">#REF!</definedName>
    <definedName name="SAVE___\S" localSheetId="9">#REF!</definedName>
    <definedName name="Saving_bs" localSheetId="9">#REF!</definedName>
    <definedName name="Segmen05_10" localSheetId="9">#REF!</definedName>
    <definedName name="sisih_piutang" localSheetId="9">'[2]TB-WP'!#REF!</definedName>
    <definedName name="skhal1" localSheetId="9">#REF!</definedName>
    <definedName name="skhal2" localSheetId="9">#REF!</definedName>
    <definedName name="skhal3" localSheetId="9">#REF!</definedName>
    <definedName name="skhal4" localSheetId="9">#REF!</definedName>
    <definedName name="skhal5" localSheetId="9">#REF!</definedName>
    <definedName name="skhal6" localSheetId="9">#REF!</definedName>
    <definedName name="skhal7" localSheetId="9">#REF!</definedName>
    <definedName name="SMALL" localSheetId="9">#REF!</definedName>
    <definedName name="STANDARD_ROW" localSheetId="9">'[15]FA movn''t'!#REF!</definedName>
    <definedName name="stgov_bs" localSheetId="9">#REF!</definedName>
    <definedName name="SUB_JN" localSheetId="9">#REF!</definedName>
    <definedName name="sum" localSheetId="9">[16]BS!#REF!</definedName>
    <definedName name="sum00" localSheetId="9">#REF!</definedName>
    <definedName name="T" localSheetId="9">#REF!</definedName>
    <definedName name="T_ACCOUNT" localSheetId="9">#REF!</definedName>
    <definedName name="TABELCUST" localSheetId="9">#REF!</definedName>
    <definedName name="TAGIHAN_LAINNYA" localSheetId="9">#REF!</definedName>
    <definedName name="tax_payables" localSheetId="9">'[2]TB-WP'!#REF!</definedName>
    <definedName name="TaxXL">5%</definedName>
    <definedName name="TES" localSheetId="9" hidden="1">#REF!</definedName>
    <definedName name="TEST0" localSheetId="9">#REF!</definedName>
    <definedName name="TESTHKEY" localSheetId="9">#REF!</definedName>
    <definedName name="TESTKEYS" localSheetId="9">#REF!</definedName>
    <definedName name="TESTVKEY" localSheetId="9">#REF!</definedName>
    <definedName name="TextRefCopy53" localSheetId="9">#REF!</definedName>
    <definedName name="TGL" localSheetId="9">#REF!</definedName>
    <definedName name="tiga" localSheetId="9">#REF!</definedName>
    <definedName name="title_wbs1" localSheetId="9">#REF!</definedName>
    <definedName name="title_wbs2" localSheetId="9">#REF!</definedName>
    <definedName name="title_wpl" localSheetId="9">#REF!</definedName>
    <definedName name="TOP" localSheetId="9">#REF!</definedName>
    <definedName name="Total_Akm._Penyusutan" localSheetId="9">'[6]Worksheet-03'!#REF!</definedName>
    <definedName name="Total_Harga_perolehan" localSheetId="9">'[6]Worksheet-03'!#REF!</definedName>
    <definedName name="trade_receivable" localSheetId="9">'[2]TB-WP'!#REF!</definedName>
    <definedName name="uang_muka" localSheetId="9">'[2]TB-WP'!#REF!</definedName>
    <definedName name="UNHIDE" localSheetId="9">#REF!</definedName>
    <definedName name="USC_LC" localSheetId="9">#REF!</definedName>
    <definedName name="v" localSheetId="9">#REF!</definedName>
    <definedName name="VO_LBR" localSheetId="9">#REF!</definedName>
    <definedName name="VO_M3" localSheetId="9">#REF!</definedName>
    <definedName name="VO_MSF" localSheetId="9">#REF!</definedName>
    <definedName name="vos_nonres_bs" localSheetId="9">#REF!</definedName>
    <definedName name="wpl" localSheetId="9">#REF!</definedName>
    <definedName name="z" localSheetId="9">[1]INV!#REF!</definedName>
    <definedName name="Z_7F422981_74C8_11D3_AF87_83DAC7D352F1_.wvu.PrintArea" localSheetId="9" hidden="1">#REF!</definedName>
    <definedName name="Z_7F422981_74C8_11D3_AF87_83DAC7D352F1_.wvu.Rows" localSheetId="9" hidden="1">#REF!,#REF!,#REF!</definedName>
    <definedName name="zero1" localSheetId="9">#REF!</definedName>
  </definedNames>
  <calcPr calcId="144525"/>
</workbook>
</file>

<file path=xl/calcChain.xml><?xml version="1.0" encoding="utf-8"?>
<calcChain xmlns="http://schemas.openxmlformats.org/spreadsheetml/2006/main">
  <c r="Q33" i="4" l="1"/>
  <c r="Q26" i="4"/>
  <c r="P45" i="3"/>
  <c r="P44" i="3"/>
  <c r="P37" i="3"/>
  <c r="P39" i="3"/>
  <c r="P38" i="3"/>
  <c r="P43" i="3"/>
  <c r="P42" i="3"/>
  <c r="P41" i="3"/>
  <c r="J172" i="6"/>
  <c r="Q52" i="4" l="1"/>
  <c r="Q14" i="4"/>
  <c r="P123" i="3"/>
  <c r="P125" i="3"/>
  <c r="P124" i="3"/>
  <c r="P122" i="3"/>
  <c r="P110" i="3"/>
  <c r="P96" i="3"/>
  <c r="P90" i="3"/>
  <c r="P87" i="3"/>
  <c r="P81" i="3"/>
  <c r="P79" i="3"/>
  <c r="P78" i="3"/>
  <c r="P77" i="3"/>
  <c r="P71" i="3"/>
  <c r="P70" i="3"/>
  <c r="P69" i="3"/>
  <c r="P68" i="3"/>
  <c r="P67" i="3"/>
  <c r="P66" i="3"/>
  <c r="P65" i="3"/>
  <c r="P64" i="3"/>
  <c r="P61" i="3"/>
  <c r="P60" i="3"/>
  <c r="P54" i="3"/>
  <c r="P53" i="3"/>
  <c r="P52" i="3"/>
  <c r="P48" i="3"/>
  <c r="P32" i="3"/>
  <c r="P31" i="3"/>
  <c r="P27" i="3"/>
  <c r="P26" i="3"/>
  <c r="P23" i="3"/>
  <c r="P22" i="3"/>
  <c r="P19" i="3"/>
  <c r="P18" i="3"/>
  <c r="P17" i="3"/>
  <c r="P16" i="3"/>
  <c r="P15" i="3"/>
  <c r="P14" i="3"/>
  <c r="P13" i="3"/>
  <c r="P12" i="3"/>
  <c r="Q17" i="4" l="1"/>
  <c r="P119" i="3" l="1"/>
  <c r="P118" i="3"/>
  <c r="P117" i="3"/>
  <c r="P116" i="3"/>
  <c r="P115" i="3"/>
  <c r="P114" i="3"/>
  <c r="P113" i="3"/>
  <c r="P109" i="3"/>
  <c r="P108" i="3"/>
  <c r="P107" i="3"/>
  <c r="P102" i="3"/>
  <c r="P103" i="3"/>
  <c r="P97" i="3"/>
  <c r="P95" i="3"/>
  <c r="P94" i="3"/>
  <c r="P93" i="3"/>
  <c r="P91" i="3"/>
  <c r="P89" i="3"/>
  <c r="P88" i="3"/>
  <c r="P82" i="3"/>
  <c r="P74" i="3"/>
  <c r="P73" i="3"/>
  <c r="P59" i="3"/>
  <c r="P9" i="3"/>
  <c r="Q117" i="4"/>
  <c r="Q116" i="4"/>
  <c r="Q113" i="4"/>
  <c r="Q112" i="4"/>
  <c r="Q111" i="4"/>
  <c r="Q110" i="4"/>
  <c r="Q109" i="4"/>
  <c r="Q106" i="4"/>
  <c r="Q105" i="4"/>
  <c r="Q101" i="4"/>
  <c r="Q100" i="4"/>
  <c r="Q96" i="4"/>
  <c r="Q93" i="4"/>
  <c r="Q92" i="4"/>
  <c r="Q91" i="4"/>
  <c r="Q88" i="4"/>
  <c r="Q87" i="4"/>
  <c r="Q86" i="4"/>
  <c r="Q85" i="4"/>
  <c r="Q84" i="4"/>
  <c r="Q83" i="4"/>
  <c r="Q80" i="4"/>
  <c r="Q79" i="4"/>
  <c r="Q76" i="4"/>
  <c r="Q75" i="4"/>
  <c r="Q72" i="4"/>
  <c r="Q71" i="4"/>
  <c r="Q70" i="4"/>
  <c r="Q69" i="4"/>
  <c r="Q65" i="4"/>
  <c r="Q64" i="4"/>
  <c r="Q61" i="4"/>
  <c r="Q58" i="4"/>
  <c r="Q57" i="4"/>
  <c r="Q56" i="4"/>
  <c r="Q55" i="4"/>
  <c r="Q54" i="4"/>
  <c r="Q53" i="4"/>
  <c r="Q51" i="4"/>
  <c r="Q48" i="4"/>
  <c r="Q45" i="4"/>
  <c r="Q44" i="4"/>
  <c r="Q43" i="4"/>
  <c r="Q42" i="4"/>
  <c r="Q40" i="4"/>
  <c r="Q39" i="4"/>
  <c r="Q36" i="4"/>
  <c r="Q32" i="4"/>
  <c r="Q31" i="4"/>
  <c r="Q30" i="4"/>
  <c r="Q27" i="4"/>
  <c r="Q25" i="4"/>
  <c r="Q22" i="4"/>
  <c r="Q21" i="4"/>
  <c r="Q15" i="4" l="1"/>
  <c r="Q13" i="4"/>
  <c r="Q12" i="4"/>
  <c r="Q11" i="4"/>
  <c r="Q10" i="4"/>
  <c r="Q9" i="4"/>
  <c r="Q8" i="4"/>
  <c r="J179" i="6" l="1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K25" i="6" l="1"/>
  <c r="K26" i="6"/>
  <c r="K30" i="6"/>
  <c r="K34" i="6"/>
  <c r="K38" i="6"/>
  <c r="K40" i="6"/>
  <c r="K42" i="6"/>
  <c r="K44" i="6"/>
  <c r="K46" i="6"/>
  <c r="K48" i="6"/>
  <c r="K50" i="6"/>
  <c r="K52" i="6"/>
  <c r="K54" i="6"/>
  <c r="K56" i="6"/>
  <c r="K58" i="6"/>
  <c r="K60" i="6"/>
  <c r="K62" i="6"/>
  <c r="K64" i="6"/>
  <c r="K66" i="6"/>
  <c r="K68" i="6"/>
  <c r="K53" i="6" l="1"/>
  <c r="L54" i="6" s="1"/>
  <c r="K49" i="6"/>
  <c r="K41" i="6"/>
  <c r="K36" i="6"/>
  <c r="K32" i="6"/>
  <c r="K28" i="6"/>
  <c r="K24" i="6"/>
  <c r="K57" i="6"/>
  <c r="K37" i="6"/>
  <c r="K67" i="6"/>
  <c r="K63" i="6"/>
  <c r="K59" i="6"/>
  <c r="K55" i="6"/>
  <c r="K51" i="6"/>
  <c r="K47" i="6"/>
  <c r="K43" i="6"/>
  <c r="K39" i="6"/>
  <c r="K35" i="6"/>
  <c r="K31" i="6"/>
  <c r="K27" i="6"/>
  <c r="K65" i="6"/>
  <c r="K61" i="6"/>
  <c r="K45" i="6"/>
  <c r="K33" i="6"/>
  <c r="K29" i="6"/>
  <c r="N106" i="2" l="1"/>
  <c r="O106" i="2" s="1"/>
  <c r="P116" i="4" l="1"/>
  <c r="O20" i="3" l="1"/>
  <c r="N20" i="3"/>
  <c r="M20" i="3"/>
  <c r="L20" i="3"/>
  <c r="K20" i="3"/>
  <c r="I20" i="3"/>
  <c r="H20" i="3"/>
  <c r="G20" i="3"/>
  <c r="F20" i="3"/>
  <c r="E20" i="3"/>
  <c r="G335" i="6"/>
  <c r="G338" i="6" s="1"/>
  <c r="F335" i="6"/>
  <c r="F338" i="6" s="1"/>
  <c r="V17" i="4" l="1"/>
  <c r="P17" i="4"/>
  <c r="V116" i="4"/>
  <c r="B20" i="5"/>
  <c r="J173" i="6"/>
  <c r="K325" i="6"/>
  <c r="V120" i="4"/>
  <c r="P120" i="4"/>
  <c r="O43" i="2"/>
  <c r="H337" i="6"/>
  <c r="H342" i="6" s="1"/>
  <c r="M93" i="2" l="1"/>
  <c r="M82" i="2"/>
  <c r="M62" i="2"/>
  <c r="M45" i="2"/>
  <c r="M34" i="2"/>
  <c r="M25" i="2"/>
  <c r="R117" i="4"/>
  <c r="M84" i="2" l="1"/>
  <c r="M95" i="2" s="1"/>
  <c r="M103" i="2" s="1"/>
  <c r="M46" i="2"/>
  <c r="M47" i="2" s="1"/>
  <c r="Q125" i="3"/>
  <c r="Q123" i="3"/>
  <c r="Q122" i="3"/>
  <c r="Q119" i="3"/>
  <c r="Q118" i="3"/>
  <c r="Q117" i="3"/>
  <c r="Q116" i="3"/>
  <c r="Q115" i="3"/>
  <c r="Q114" i="3"/>
  <c r="Q113" i="3"/>
  <c r="Q110" i="3"/>
  <c r="Q109" i="3"/>
  <c r="Q108" i="3"/>
  <c r="Q107" i="3"/>
  <c r="Q103" i="3"/>
  <c r="Q102" i="3"/>
  <c r="Q97" i="3"/>
  <c r="Q96" i="3"/>
  <c r="Q95" i="3"/>
  <c r="Q94" i="3"/>
  <c r="Q93" i="3"/>
  <c r="Q91" i="3"/>
  <c r="Q90" i="3"/>
  <c r="Q89" i="3"/>
  <c r="Q88" i="3"/>
  <c r="Q87" i="3"/>
  <c r="Q82" i="3"/>
  <c r="Q78" i="3"/>
  <c r="Q77" i="3"/>
  <c r="Q74" i="3"/>
  <c r="Q73" i="3"/>
  <c r="Q71" i="3"/>
  <c r="Q70" i="3"/>
  <c r="Q69" i="3"/>
  <c r="Q68" i="3"/>
  <c r="Q67" i="3"/>
  <c r="Q66" i="3"/>
  <c r="Q65" i="3"/>
  <c r="Q64" i="3"/>
  <c r="Q61" i="3"/>
  <c r="Q60" i="3"/>
  <c r="Q59" i="3"/>
  <c r="Q56" i="3"/>
  <c r="Q55" i="3"/>
  <c r="Q54" i="3"/>
  <c r="Q53" i="3"/>
  <c r="Q52" i="3"/>
  <c r="Q51" i="3"/>
  <c r="Q50" i="3"/>
  <c r="Q49" i="3"/>
  <c r="Q48" i="3"/>
  <c r="Q45" i="3"/>
  <c r="Q44" i="3"/>
  <c r="Q43" i="3"/>
  <c r="Q42" i="3"/>
  <c r="Q41" i="3"/>
  <c r="Q39" i="3"/>
  <c r="Q38" i="3"/>
  <c r="Q32" i="3"/>
  <c r="Q31" i="3"/>
  <c r="Q27" i="3"/>
  <c r="Q26" i="3"/>
  <c r="Q23" i="3"/>
  <c r="Q22" i="3"/>
  <c r="Q16" i="3"/>
  <c r="Q15" i="3"/>
  <c r="Q14" i="3"/>
  <c r="Q13" i="3"/>
  <c r="Q12" i="3"/>
  <c r="Q9" i="3"/>
  <c r="R116" i="4"/>
  <c r="R113" i="4"/>
  <c r="R112" i="4"/>
  <c r="R111" i="4"/>
  <c r="R110" i="4"/>
  <c r="R109" i="4"/>
  <c r="R106" i="4"/>
  <c r="R105" i="4"/>
  <c r="R101" i="4"/>
  <c r="R100" i="4"/>
  <c r="R93" i="4"/>
  <c r="R92" i="4"/>
  <c r="R88" i="4"/>
  <c r="R87" i="4"/>
  <c r="R86" i="4"/>
  <c r="R85" i="4"/>
  <c r="R84" i="4"/>
  <c r="R83" i="4"/>
  <c r="R80" i="4"/>
  <c r="R79" i="4"/>
  <c r="R75" i="4"/>
  <c r="R70" i="4"/>
  <c r="R69" i="4"/>
  <c r="R64" i="4"/>
  <c r="R65" i="4"/>
  <c r="R61" i="4"/>
  <c r="R58" i="4"/>
  <c r="R57" i="4"/>
  <c r="R56" i="4"/>
  <c r="R55" i="4"/>
  <c r="R54" i="4"/>
  <c r="R53" i="4"/>
  <c r="R52" i="4"/>
  <c r="R51" i="4"/>
  <c r="R48" i="4"/>
  <c r="R45" i="4"/>
  <c r="R44" i="4"/>
  <c r="R43" i="4"/>
  <c r="R42" i="4"/>
  <c r="R41" i="4"/>
  <c r="R40" i="4"/>
  <c r="R39" i="4"/>
  <c r="R33" i="4"/>
  <c r="R32" i="4"/>
  <c r="R31" i="4"/>
  <c r="R30" i="4"/>
  <c r="R27" i="4"/>
  <c r="R26" i="4"/>
  <c r="R25" i="4"/>
  <c r="R22" i="4"/>
  <c r="R21" i="4"/>
  <c r="R16" i="4"/>
  <c r="R15" i="4"/>
  <c r="R14" i="4"/>
  <c r="R13" i="4"/>
  <c r="R12" i="4"/>
  <c r="R11" i="4"/>
  <c r="R10" i="4"/>
  <c r="R9" i="4"/>
  <c r="R8" i="4"/>
  <c r="P57" i="2"/>
  <c r="P43" i="2"/>
  <c r="P41" i="2"/>
  <c r="P20" i="2"/>
  <c r="P19" i="2"/>
  <c r="P14" i="2"/>
  <c r="P13" i="2"/>
  <c r="J246" i="10"/>
  <c r="Q20" i="3" l="1"/>
  <c r="M109" i="2"/>
  <c r="P59" i="2"/>
  <c r="J129" i="10"/>
  <c r="P39" i="2" s="1"/>
  <c r="K98" i="10"/>
  <c r="K92" i="10"/>
  <c r="K86" i="10"/>
  <c r="K93" i="10" s="1"/>
  <c r="K100" i="10" s="1"/>
  <c r="J86" i="10"/>
  <c r="J92" i="10"/>
  <c r="J93" i="10" l="1"/>
  <c r="P21" i="2" s="1"/>
  <c r="S89" i="2"/>
  <c r="S80" i="2"/>
  <c r="S79" i="2"/>
  <c r="S78" i="2"/>
  <c r="S77" i="2"/>
  <c r="S75" i="2"/>
  <c r="S74" i="2"/>
  <c r="S73" i="2"/>
  <c r="S72" i="2"/>
  <c r="S71" i="2"/>
  <c r="S70" i="2"/>
  <c r="S69" i="2"/>
  <c r="S68" i="2"/>
  <c r="S67" i="2"/>
  <c r="S66" i="2"/>
  <c r="T74" i="11"/>
  <c r="U74" i="11" s="1"/>
  <c r="T73" i="11"/>
  <c r="U73" i="11" s="1"/>
  <c r="T71" i="11"/>
  <c r="T70" i="11"/>
  <c r="U70" i="11" s="1"/>
  <c r="T63" i="11"/>
  <c r="U63" i="11" s="1"/>
  <c r="T62" i="11"/>
  <c r="T61" i="11"/>
  <c r="T60" i="11"/>
  <c r="T59" i="11"/>
  <c r="U59" i="11" s="1"/>
  <c r="T57" i="11"/>
  <c r="T56" i="11"/>
  <c r="T55" i="11"/>
  <c r="U55" i="11" s="1"/>
  <c r="T54" i="11"/>
  <c r="T53" i="11"/>
  <c r="U53" i="11" s="1"/>
  <c r="T52" i="11"/>
  <c r="U52" i="11" s="1"/>
  <c r="T51" i="11"/>
  <c r="U51" i="11" s="1"/>
  <c r="T50" i="11"/>
  <c r="T49" i="11"/>
  <c r="T48" i="11"/>
  <c r="U48" i="11" s="1"/>
  <c r="T47" i="11"/>
  <c r="U47" i="11" s="1"/>
  <c r="T46" i="11"/>
  <c r="T45" i="11"/>
  <c r="T43" i="11"/>
  <c r="U43" i="11" s="1"/>
  <c r="U81" i="11"/>
  <c r="U79" i="11"/>
  <c r="U77" i="11"/>
  <c r="U75" i="11"/>
  <c r="U71" i="11"/>
  <c r="U68" i="11"/>
  <c r="U67" i="11"/>
  <c r="U65" i="11"/>
  <c r="U62" i="11"/>
  <c r="U61" i="11"/>
  <c r="U60" i="11"/>
  <c r="U57" i="11"/>
  <c r="U56" i="11"/>
  <c r="U54" i="11"/>
  <c r="U50" i="11"/>
  <c r="U49" i="11"/>
  <c r="U46" i="11"/>
  <c r="U45" i="11"/>
  <c r="U42" i="11"/>
  <c r="U41" i="11"/>
  <c r="Q33" i="3" l="1"/>
  <c r="P90" i="2" l="1"/>
  <c r="P58" i="2"/>
  <c r="L93" i="2" l="1"/>
  <c r="L82" i="2"/>
  <c r="L62" i="2"/>
  <c r="L45" i="2"/>
  <c r="L34" i="2"/>
  <c r="L25" i="2"/>
  <c r="N131" i="3"/>
  <c r="N126" i="3"/>
  <c r="N120" i="3"/>
  <c r="N111" i="3"/>
  <c r="N104" i="3"/>
  <c r="N98" i="3"/>
  <c r="N92" i="3"/>
  <c r="N83" i="3"/>
  <c r="N72" i="3"/>
  <c r="N62" i="3"/>
  <c r="N57" i="3"/>
  <c r="N46" i="3"/>
  <c r="N33" i="3"/>
  <c r="N24" i="3"/>
  <c r="N28" i="3" s="1"/>
  <c r="L118" i="4"/>
  <c r="K118" i="4"/>
  <c r="J118" i="4"/>
  <c r="I118" i="4"/>
  <c r="H118" i="4"/>
  <c r="G118" i="4"/>
  <c r="E118" i="4"/>
  <c r="D118" i="4"/>
  <c r="M118" i="4"/>
  <c r="M114" i="4"/>
  <c r="M107" i="4"/>
  <c r="M102" i="4"/>
  <c r="M94" i="4"/>
  <c r="M89" i="4"/>
  <c r="M81" i="4"/>
  <c r="M77" i="4"/>
  <c r="M73" i="4"/>
  <c r="L73" i="4"/>
  <c r="K73" i="4"/>
  <c r="J73" i="4"/>
  <c r="I73" i="4"/>
  <c r="H73" i="4"/>
  <c r="G73" i="4"/>
  <c r="F73" i="4"/>
  <c r="E73" i="4"/>
  <c r="D73" i="4"/>
  <c r="K67" i="4"/>
  <c r="J67" i="4"/>
  <c r="I67" i="4"/>
  <c r="H67" i="4"/>
  <c r="G67" i="4"/>
  <c r="F67" i="4"/>
  <c r="E67" i="4"/>
  <c r="D67" i="4"/>
  <c r="L67" i="4"/>
  <c r="M67" i="4"/>
  <c r="M62" i="4"/>
  <c r="M59" i="4"/>
  <c r="M49" i="4"/>
  <c r="M37" i="4"/>
  <c r="M46" i="4"/>
  <c r="M34" i="4"/>
  <c r="M28" i="4"/>
  <c r="M23" i="4"/>
  <c r="M19" i="4"/>
  <c r="N99" i="3" l="1"/>
  <c r="L46" i="2"/>
  <c r="L47" i="2" s="1"/>
  <c r="L84" i="2"/>
  <c r="L109" i="2" s="1"/>
  <c r="L95" i="2" l="1"/>
  <c r="L103" i="2" s="1"/>
  <c r="V92" i="2"/>
  <c r="U92" i="2"/>
  <c r="T69" i="2" l="1"/>
  <c r="V74" i="11"/>
  <c r="V73" i="11"/>
  <c r="V71" i="11"/>
  <c r="V60" i="11"/>
  <c r="V59" i="11"/>
  <c r="V57" i="11"/>
  <c r="V53" i="11"/>
  <c r="V51" i="11"/>
  <c r="V50" i="11"/>
  <c r="V46" i="11"/>
  <c r="V45" i="11"/>
  <c r="V43" i="11"/>
  <c r="AH187" i="11"/>
  <c r="AH186" i="11"/>
  <c r="AH185" i="11"/>
  <c r="AH184" i="11"/>
  <c r="AH183" i="11"/>
  <c r="AH182" i="11"/>
  <c r="AH181" i="11"/>
  <c r="AH180" i="11"/>
  <c r="AH179" i="11"/>
  <c r="AH178" i="11"/>
  <c r="AH177" i="11"/>
  <c r="AH176" i="11"/>
  <c r="AH175" i="11"/>
  <c r="AH174" i="11"/>
  <c r="AH173" i="11"/>
  <c r="AH172" i="11"/>
  <c r="AH171" i="11"/>
  <c r="AH170" i="11"/>
  <c r="AH169" i="11"/>
  <c r="AH168" i="11"/>
  <c r="AH167" i="11"/>
  <c r="AH165" i="11"/>
  <c r="AH164" i="11"/>
  <c r="AH163" i="11"/>
  <c r="AH162" i="11"/>
  <c r="AH161" i="11"/>
  <c r="AH160" i="11"/>
  <c r="AH159" i="11"/>
  <c r="AH158" i="11"/>
  <c r="AH157" i="11"/>
  <c r="AH156" i="11"/>
  <c r="AH155" i="11"/>
  <c r="AH154" i="11"/>
  <c r="AH153" i="11"/>
  <c r="AH152" i="11"/>
  <c r="AH149" i="11"/>
  <c r="AH147" i="11"/>
  <c r="AH145" i="11"/>
  <c r="AH141" i="11"/>
  <c r="AH140" i="11"/>
  <c r="AH139" i="11"/>
  <c r="AH135" i="11"/>
  <c r="AH134" i="11"/>
  <c r="AH127" i="11"/>
  <c r="AH123" i="11"/>
  <c r="AH122" i="11"/>
  <c r="AH121" i="11"/>
  <c r="AH118" i="11"/>
  <c r="AH112" i="11"/>
  <c r="AH111" i="11"/>
  <c r="AH102" i="11"/>
  <c r="AH101" i="11"/>
  <c r="AH100" i="11"/>
  <c r="AH99" i="11"/>
  <c r="AH94" i="11"/>
  <c r="AH86" i="11"/>
  <c r="AH85" i="11"/>
  <c r="AH84" i="11"/>
  <c r="AH81" i="11"/>
  <c r="AH79" i="11"/>
  <c r="AH77" i="11"/>
  <c r="AH75" i="11"/>
  <c r="AH68" i="11"/>
  <c r="AH67" i="11"/>
  <c r="AH65" i="11"/>
  <c r="AH42" i="11"/>
  <c r="AH41" i="11"/>
  <c r="K60" i="2"/>
  <c r="K91" i="2"/>
  <c r="K90" i="2"/>
  <c r="K58" i="2"/>
  <c r="K59" i="2"/>
  <c r="K80" i="2"/>
  <c r="K77" i="2"/>
  <c r="K75" i="2"/>
  <c r="K74" i="2"/>
  <c r="L37" i="4"/>
  <c r="K69" i="2" s="1"/>
  <c r="K62" i="2" l="1"/>
  <c r="T66" i="2"/>
  <c r="V47" i="11"/>
  <c r="T71" i="2"/>
  <c r="V55" i="11"/>
  <c r="T89" i="2"/>
  <c r="V70" i="11"/>
  <c r="T78" i="2"/>
  <c r="T67" i="2"/>
  <c r="V48" i="11"/>
  <c r="T68" i="2"/>
  <c r="V52" i="11"/>
  <c r="T75" i="2"/>
  <c r="V56" i="11"/>
  <c r="T79" i="2"/>
  <c r="V61" i="11"/>
  <c r="T73" i="2"/>
  <c r="T72" i="2"/>
  <c r="V49" i="11"/>
  <c r="T80" i="2"/>
  <c r="V62" i="11"/>
  <c r="T74" i="2"/>
  <c r="T70" i="2"/>
  <c r="V54" i="11"/>
  <c r="T77" i="2"/>
  <c r="K20" i="2"/>
  <c r="K19" i="2"/>
  <c r="K14" i="2"/>
  <c r="M131" i="3"/>
  <c r="K39" i="2" s="1"/>
  <c r="K45" i="2" s="1"/>
  <c r="M126" i="3"/>
  <c r="K32" i="2" s="1"/>
  <c r="M120" i="3"/>
  <c r="K31" i="2" s="1"/>
  <c r="M111" i="3"/>
  <c r="K30" i="2" s="1"/>
  <c r="M104" i="3"/>
  <c r="K22" i="2" s="1"/>
  <c r="M98" i="3"/>
  <c r="M92" i="3"/>
  <c r="M83" i="3"/>
  <c r="K23" i="2" s="1"/>
  <c r="M72" i="3"/>
  <c r="K17" i="2" s="1"/>
  <c r="M62" i="3"/>
  <c r="K18" i="2" s="1"/>
  <c r="M57" i="3"/>
  <c r="K16" i="2" s="1"/>
  <c r="M46" i="3"/>
  <c r="K15" i="2" s="1"/>
  <c r="M33" i="3"/>
  <c r="K13" i="2" s="1"/>
  <c r="M24" i="3"/>
  <c r="M28" i="3" s="1"/>
  <c r="K11" i="2" s="1"/>
  <c r="L114" i="4"/>
  <c r="L107" i="4"/>
  <c r="K89" i="2" s="1"/>
  <c r="L102" i="4"/>
  <c r="K88" i="2" s="1"/>
  <c r="L94" i="4"/>
  <c r="K79" i="2" s="1"/>
  <c r="L89" i="4"/>
  <c r="K78" i="2" s="1"/>
  <c r="L77" i="4"/>
  <c r="K76" i="2" s="1"/>
  <c r="L62" i="4"/>
  <c r="K73" i="2" s="1"/>
  <c r="L59" i="4"/>
  <c r="K72" i="2" s="1"/>
  <c r="L49" i="4"/>
  <c r="K71" i="2" s="1"/>
  <c r="L46" i="4"/>
  <c r="K70" i="2" s="1"/>
  <c r="L34" i="4"/>
  <c r="K68" i="2" s="1"/>
  <c r="L28" i="4"/>
  <c r="K67" i="2" s="1"/>
  <c r="L23" i="4"/>
  <c r="K66" i="2" s="1"/>
  <c r="L19" i="4"/>
  <c r="K65" i="2" s="1"/>
  <c r="M99" i="3" l="1"/>
  <c r="K21" i="2" s="1"/>
  <c r="K34" i="2"/>
  <c r="K46" i="2" s="1"/>
  <c r="K82" i="2"/>
  <c r="K84" i="2" s="1"/>
  <c r="K109" i="2" s="1"/>
  <c r="K93" i="2"/>
  <c r="K25" i="2"/>
  <c r="K47" i="2" s="1"/>
  <c r="K95" i="2" l="1"/>
  <c r="K103" i="2" s="1"/>
  <c r="L113" i="6" l="1"/>
  <c r="L110" i="6"/>
  <c r="J70" i="3" l="1"/>
  <c r="F87" i="4" l="1"/>
  <c r="H70" i="3" l="1"/>
  <c r="G84" i="4"/>
  <c r="F116" i="4" l="1"/>
  <c r="F118" i="4" s="1"/>
  <c r="E46" i="4" l="1"/>
  <c r="E89" i="4"/>
  <c r="F22" i="4" l="1"/>
  <c r="D9" i="4"/>
  <c r="V97" i="4"/>
  <c r="V5" i="4"/>
  <c r="U26" i="2" l="1"/>
  <c r="U24" i="2"/>
  <c r="Q120" i="4"/>
  <c r="R36" i="4"/>
  <c r="P33" i="2"/>
  <c r="R130" i="3"/>
  <c r="P55" i="2"/>
  <c r="Q24" i="2"/>
  <c r="Q104" i="3" l="1"/>
  <c r="Q98" i="3"/>
  <c r="R42" i="3"/>
  <c r="R43" i="3"/>
  <c r="R44" i="3"/>
  <c r="R45" i="3"/>
  <c r="R41" i="3"/>
  <c r="R39" i="3"/>
  <c r="Q34" i="3"/>
  <c r="Q6" i="3"/>
  <c r="R6" i="4" s="1"/>
  <c r="S5" i="2"/>
  <c r="S54" i="2" s="1"/>
  <c r="Q57" i="3" l="1"/>
  <c r="Q46" i="3"/>
  <c r="R38" i="3"/>
  <c r="G31" i="3"/>
  <c r="J20" i="2" l="1"/>
  <c r="I20" i="2"/>
  <c r="H20" i="2"/>
  <c r="G20" i="2"/>
  <c r="F20" i="2"/>
  <c r="E20" i="2"/>
  <c r="D41" i="2" l="1"/>
  <c r="C41" i="2"/>
  <c r="E73" i="3" l="1"/>
  <c r="E31" i="3"/>
  <c r="D57" i="2" l="1"/>
  <c r="J15" i="3" l="1"/>
  <c r="J12" i="3"/>
  <c r="J20" i="3" s="1"/>
  <c r="K107" i="3" l="1"/>
  <c r="H14" i="2"/>
  <c r="G14" i="2"/>
  <c r="F14" i="2"/>
  <c r="E14" i="2"/>
  <c r="D14" i="2"/>
  <c r="I14" i="2"/>
  <c r="L107" i="3" l="1"/>
  <c r="J14" i="2"/>
  <c r="D20" i="2" l="1"/>
  <c r="D19" i="2"/>
  <c r="E19" i="2"/>
  <c r="F19" i="2"/>
  <c r="G19" i="2"/>
  <c r="H19" i="2"/>
  <c r="I19" i="2"/>
  <c r="J19" i="2"/>
  <c r="C14" i="2"/>
  <c r="C20" i="2"/>
  <c r="C19" i="2"/>
  <c r="N54" i="2" l="1"/>
  <c r="P6" i="3"/>
  <c r="Q92" i="3"/>
  <c r="L131" i="3"/>
  <c r="J39" i="2" s="1"/>
  <c r="K131" i="3"/>
  <c r="I39" i="2" s="1"/>
  <c r="J131" i="3"/>
  <c r="H39" i="2" s="1"/>
  <c r="I131" i="3"/>
  <c r="G39" i="2" s="1"/>
  <c r="H131" i="3"/>
  <c r="F39" i="2" s="1"/>
  <c r="G131" i="3"/>
  <c r="E39" i="2" s="1"/>
  <c r="F131" i="3"/>
  <c r="D39" i="2" s="1"/>
  <c r="E131" i="3"/>
  <c r="C39" i="2" s="1"/>
  <c r="L126" i="3"/>
  <c r="J32" i="2" s="1"/>
  <c r="K126" i="3"/>
  <c r="I32" i="2" s="1"/>
  <c r="J126" i="3"/>
  <c r="H32" i="2" s="1"/>
  <c r="I126" i="3"/>
  <c r="G32" i="2" s="1"/>
  <c r="H126" i="3"/>
  <c r="F32" i="2" s="1"/>
  <c r="G126" i="3"/>
  <c r="E32" i="2" s="1"/>
  <c r="F126" i="3"/>
  <c r="D32" i="2" s="1"/>
  <c r="E126" i="3"/>
  <c r="C32" i="2" s="1"/>
  <c r="L120" i="3"/>
  <c r="J31" i="2" s="1"/>
  <c r="K120" i="3"/>
  <c r="I31" i="2" s="1"/>
  <c r="J120" i="3"/>
  <c r="H31" i="2" s="1"/>
  <c r="I120" i="3"/>
  <c r="G31" i="2" s="1"/>
  <c r="H120" i="3"/>
  <c r="F31" i="2" s="1"/>
  <c r="G120" i="3"/>
  <c r="E31" i="2" s="1"/>
  <c r="F120" i="3"/>
  <c r="D31" i="2" s="1"/>
  <c r="E120" i="3"/>
  <c r="C31" i="2" s="1"/>
  <c r="L111" i="3"/>
  <c r="J30" i="2" s="1"/>
  <c r="J34" i="2" s="1"/>
  <c r="K111" i="3"/>
  <c r="I30" i="2" s="1"/>
  <c r="I34" i="2" s="1"/>
  <c r="J111" i="3"/>
  <c r="H30" i="2" s="1"/>
  <c r="H34" i="2" s="1"/>
  <c r="I111" i="3"/>
  <c r="G30" i="2" s="1"/>
  <c r="G34" i="2" s="1"/>
  <c r="H111" i="3"/>
  <c r="F30" i="2" s="1"/>
  <c r="G111" i="3"/>
  <c r="E30" i="2" s="1"/>
  <c r="E34" i="2" s="1"/>
  <c r="F111" i="3"/>
  <c r="D30" i="2" s="1"/>
  <c r="E111" i="3"/>
  <c r="C30" i="2" s="1"/>
  <c r="L104" i="3"/>
  <c r="J22" i="2" s="1"/>
  <c r="K104" i="3"/>
  <c r="I22" i="2" s="1"/>
  <c r="J104" i="3"/>
  <c r="H22" i="2" s="1"/>
  <c r="I104" i="3"/>
  <c r="G22" i="2" s="1"/>
  <c r="H104" i="3"/>
  <c r="F22" i="2" s="1"/>
  <c r="G104" i="3"/>
  <c r="E22" i="2" s="1"/>
  <c r="F104" i="3"/>
  <c r="D22" i="2" s="1"/>
  <c r="E104" i="3"/>
  <c r="C22" i="2" s="1"/>
  <c r="L98" i="3"/>
  <c r="K98" i="3"/>
  <c r="J98" i="3"/>
  <c r="I98" i="3"/>
  <c r="H98" i="3"/>
  <c r="G98" i="3"/>
  <c r="F98" i="3"/>
  <c r="E98" i="3"/>
  <c r="L92" i="3"/>
  <c r="K92" i="3"/>
  <c r="J92" i="3"/>
  <c r="I92" i="3"/>
  <c r="I99" i="3" s="1"/>
  <c r="G21" i="2" s="1"/>
  <c r="H92" i="3"/>
  <c r="H99" i="3" s="1"/>
  <c r="F21" i="2" s="1"/>
  <c r="G92" i="3"/>
  <c r="G99" i="3" s="1"/>
  <c r="E21" i="2" s="1"/>
  <c r="F92" i="3"/>
  <c r="F99" i="3" s="1"/>
  <c r="D21" i="2" s="1"/>
  <c r="E92" i="3"/>
  <c r="E99" i="3" s="1"/>
  <c r="C21" i="2" s="1"/>
  <c r="L83" i="3"/>
  <c r="J23" i="2" s="1"/>
  <c r="K83" i="3"/>
  <c r="I23" i="2" s="1"/>
  <c r="J83" i="3"/>
  <c r="H23" i="2" s="1"/>
  <c r="I83" i="3"/>
  <c r="G23" i="2" s="1"/>
  <c r="H83" i="3"/>
  <c r="F23" i="2" s="1"/>
  <c r="G83" i="3"/>
  <c r="E23" i="2" s="1"/>
  <c r="F83" i="3"/>
  <c r="D23" i="2" s="1"/>
  <c r="E83" i="3"/>
  <c r="C23" i="2" s="1"/>
  <c r="L72" i="3"/>
  <c r="J17" i="2" s="1"/>
  <c r="K72" i="3"/>
  <c r="I17" i="2" s="1"/>
  <c r="J72" i="3"/>
  <c r="H17" i="2" s="1"/>
  <c r="I72" i="3"/>
  <c r="G17" i="2" s="1"/>
  <c r="H72" i="3"/>
  <c r="F17" i="2" s="1"/>
  <c r="G72" i="3"/>
  <c r="E17" i="2" s="1"/>
  <c r="F72" i="3"/>
  <c r="D17" i="2" s="1"/>
  <c r="E72" i="3"/>
  <c r="C17" i="2" s="1"/>
  <c r="L62" i="3"/>
  <c r="J18" i="2" s="1"/>
  <c r="K62" i="3"/>
  <c r="I18" i="2" s="1"/>
  <c r="J62" i="3"/>
  <c r="H18" i="2" s="1"/>
  <c r="I62" i="3"/>
  <c r="G18" i="2" s="1"/>
  <c r="H62" i="3"/>
  <c r="F18" i="2" s="1"/>
  <c r="G62" i="3"/>
  <c r="E18" i="2" s="1"/>
  <c r="F62" i="3"/>
  <c r="D18" i="2" s="1"/>
  <c r="E62" i="3"/>
  <c r="C18" i="2" s="1"/>
  <c r="E57" i="3"/>
  <c r="C16" i="2" s="1"/>
  <c r="L57" i="3"/>
  <c r="J16" i="2" s="1"/>
  <c r="K57" i="3"/>
  <c r="I16" i="2" s="1"/>
  <c r="J57" i="3"/>
  <c r="H16" i="2" s="1"/>
  <c r="I57" i="3"/>
  <c r="G16" i="2" s="1"/>
  <c r="H57" i="3"/>
  <c r="F16" i="2" s="1"/>
  <c r="G57" i="3"/>
  <c r="E16" i="2" s="1"/>
  <c r="F57" i="3"/>
  <c r="D16" i="2" s="1"/>
  <c r="L46" i="3"/>
  <c r="J15" i="2" s="1"/>
  <c r="K46" i="3"/>
  <c r="I15" i="2" s="1"/>
  <c r="J46" i="3"/>
  <c r="H15" i="2" s="1"/>
  <c r="I46" i="3"/>
  <c r="G15" i="2" s="1"/>
  <c r="H46" i="3"/>
  <c r="F15" i="2" s="1"/>
  <c r="G46" i="3"/>
  <c r="E15" i="2" s="1"/>
  <c r="F46" i="3"/>
  <c r="D15" i="2" s="1"/>
  <c r="E46" i="3"/>
  <c r="C15" i="2" s="1"/>
  <c r="F34" i="2" l="1"/>
  <c r="C34" i="2"/>
  <c r="J99" i="3"/>
  <c r="H21" i="2" s="1"/>
  <c r="Q99" i="3"/>
  <c r="D34" i="2"/>
  <c r="K99" i="3"/>
  <c r="I21" i="2" s="1"/>
  <c r="L99" i="3"/>
  <c r="J21" i="2" s="1"/>
  <c r="P88" i="4"/>
  <c r="P18" i="4"/>
  <c r="L295" i="6" l="1"/>
  <c r="L297" i="6"/>
  <c r="P45" i="4"/>
  <c r="D101" i="2"/>
  <c r="E101" i="2"/>
  <c r="F101" i="2"/>
  <c r="G101" i="2"/>
  <c r="H101" i="2"/>
  <c r="I101" i="2"/>
  <c r="J101" i="2"/>
  <c r="C101" i="2"/>
  <c r="I60" i="2"/>
  <c r="H60" i="2"/>
  <c r="G60" i="2"/>
  <c r="F60" i="2"/>
  <c r="E60" i="2"/>
  <c r="D60" i="2"/>
  <c r="C60" i="2"/>
  <c r="J90" i="2"/>
  <c r="I90" i="2"/>
  <c r="H90" i="2"/>
  <c r="G90" i="2"/>
  <c r="F90" i="2"/>
  <c r="E90" i="2"/>
  <c r="D90" i="2"/>
  <c r="C90" i="2"/>
  <c r="J58" i="2"/>
  <c r="I58" i="2"/>
  <c r="H58" i="2"/>
  <c r="G58" i="2"/>
  <c r="F58" i="2"/>
  <c r="E58" i="2"/>
  <c r="D58" i="2"/>
  <c r="C58" i="2"/>
  <c r="J59" i="2"/>
  <c r="I59" i="2"/>
  <c r="H59" i="2"/>
  <c r="G59" i="2"/>
  <c r="F59" i="2"/>
  <c r="E59" i="2"/>
  <c r="D59" i="2"/>
  <c r="C59" i="2"/>
  <c r="C62" i="2" l="1"/>
  <c r="E62" i="2"/>
  <c r="I62" i="2"/>
  <c r="F62" i="2"/>
  <c r="J62" i="2"/>
  <c r="G62" i="2"/>
  <c r="D62" i="2"/>
  <c r="H62" i="2"/>
  <c r="V33" i="4"/>
  <c r="V36" i="4"/>
  <c r="V37" i="4" s="1"/>
  <c r="V31" i="4"/>
  <c r="V30" i="4"/>
  <c r="V32" i="4"/>
  <c r="L33" i="3"/>
  <c r="J13" i="2" s="1"/>
  <c r="K33" i="3"/>
  <c r="I13" i="2" s="1"/>
  <c r="J33" i="3"/>
  <c r="H13" i="2" s="1"/>
  <c r="I33" i="3"/>
  <c r="G13" i="2" s="1"/>
  <c r="H33" i="3"/>
  <c r="F13" i="2" s="1"/>
  <c r="G33" i="3"/>
  <c r="E13" i="2" s="1"/>
  <c r="F33" i="3"/>
  <c r="D13" i="2" s="1"/>
  <c r="E33" i="3"/>
  <c r="C13" i="2" s="1"/>
  <c r="Q24" i="3"/>
  <c r="L24" i="3"/>
  <c r="K24" i="3"/>
  <c r="J24" i="3"/>
  <c r="I24" i="3"/>
  <c r="H24" i="3"/>
  <c r="G24" i="3"/>
  <c r="F24" i="3"/>
  <c r="F28" i="3" s="1"/>
  <c r="D11" i="2" s="1"/>
  <c r="E24" i="3"/>
  <c r="E28" i="3" s="1"/>
  <c r="C11" i="2" s="1"/>
  <c r="L28" i="3"/>
  <c r="J11" i="2" s="1"/>
  <c r="K28" i="3"/>
  <c r="I11" i="2" s="1"/>
  <c r="J28" i="3"/>
  <c r="H11" i="2" s="1"/>
  <c r="I28" i="3"/>
  <c r="G11" i="2" s="1"/>
  <c r="H28" i="3"/>
  <c r="F11" i="2" s="1"/>
  <c r="Q28" i="3" l="1"/>
  <c r="F25" i="2"/>
  <c r="J25" i="2"/>
  <c r="V34" i="4"/>
  <c r="H25" i="2"/>
  <c r="D25" i="2"/>
  <c r="I25" i="2"/>
  <c r="G25" i="2"/>
  <c r="C25" i="2"/>
  <c r="G28" i="3"/>
  <c r="E11" i="2" s="1"/>
  <c r="E25" i="2" s="1"/>
  <c r="J178" i="6" l="1"/>
  <c r="J335" i="6" l="1"/>
  <c r="N57" i="2"/>
  <c r="K220" i="6"/>
  <c r="V43" i="4" l="1"/>
  <c r="V44" i="4"/>
  <c r="O57" i="2"/>
  <c r="Q99" i="2" l="1"/>
  <c r="Q57" i="2"/>
  <c r="I129" i="10"/>
  <c r="I78" i="10"/>
  <c r="I68" i="10"/>
  <c r="I58" i="10"/>
  <c r="J58" i="10"/>
  <c r="P18" i="2" s="1"/>
  <c r="J68" i="10"/>
  <c r="P17" i="2" s="1"/>
  <c r="J53" i="10"/>
  <c r="P16" i="2" s="1"/>
  <c r="I53" i="10"/>
  <c r="E53" i="10"/>
  <c r="E42" i="10"/>
  <c r="F42" i="10"/>
  <c r="I42" i="10"/>
  <c r="J42" i="10"/>
  <c r="P15" i="2" s="1"/>
  <c r="D42" i="10"/>
  <c r="J20" i="10"/>
  <c r="I20" i="10"/>
  <c r="P5" i="4"/>
  <c r="I91" i="2" l="1"/>
  <c r="H91" i="2"/>
  <c r="G91" i="2"/>
  <c r="F91" i="2"/>
  <c r="E91" i="2"/>
  <c r="D91" i="2"/>
  <c r="C91" i="2"/>
  <c r="J114" i="4"/>
  <c r="I114" i="4"/>
  <c r="H114" i="4"/>
  <c r="G114" i="4"/>
  <c r="F114" i="4"/>
  <c r="E114" i="4"/>
  <c r="D114" i="4"/>
  <c r="J107" i="4"/>
  <c r="I89" i="2" s="1"/>
  <c r="I107" i="4"/>
  <c r="H89" i="2" s="1"/>
  <c r="H107" i="4"/>
  <c r="G89" i="2" s="1"/>
  <c r="G107" i="4"/>
  <c r="F89" i="2" s="1"/>
  <c r="F107" i="4"/>
  <c r="E89" i="2" s="1"/>
  <c r="E107" i="4"/>
  <c r="D89" i="2" s="1"/>
  <c r="D107" i="4"/>
  <c r="C89" i="2" s="1"/>
  <c r="J102" i="4"/>
  <c r="I88" i="2" s="1"/>
  <c r="I102" i="4"/>
  <c r="H88" i="2" s="1"/>
  <c r="H102" i="4"/>
  <c r="G88" i="2" s="1"/>
  <c r="G102" i="4"/>
  <c r="F88" i="2" s="1"/>
  <c r="F102" i="4"/>
  <c r="E88" i="2" s="1"/>
  <c r="E102" i="4"/>
  <c r="D88" i="2" s="1"/>
  <c r="D102" i="4"/>
  <c r="C88" i="2" s="1"/>
  <c r="K97" i="4"/>
  <c r="J80" i="2" s="1"/>
  <c r="J97" i="4"/>
  <c r="I80" i="2" s="1"/>
  <c r="I97" i="4"/>
  <c r="H80" i="2" s="1"/>
  <c r="H97" i="4"/>
  <c r="G80" i="2" s="1"/>
  <c r="G97" i="4"/>
  <c r="F80" i="2" s="1"/>
  <c r="F97" i="4"/>
  <c r="E80" i="2" s="1"/>
  <c r="E97" i="4"/>
  <c r="D80" i="2" s="1"/>
  <c r="D97" i="4"/>
  <c r="C80" i="2" s="1"/>
  <c r="J94" i="4"/>
  <c r="I79" i="2" s="1"/>
  <c r="I94" i="4"/>
  <c r="H79" i="2" s="1"/>
  <c r="H94" i="4"/>
  <c r="G79" i="2" s="1"/>
  <c r="G94" i="4"/>
  <c r="F79" i="2" s="1"/>
  <c r="F94" i="4"/>
  <c r="E79" i="2" s="1"/>
  <c r="E94" i="4"/>
  <c r="D79" i="2" s="1"/>
  <c r="D94" i="4"/>
  <c r="C79" i="2" s="1"/>
  <c r="J89" i="4"/>
  <c r="I78" i="2" s="1"/>
  <c r="I89" i="4"/>
  <c r="H78" i="2" s="1"/>
  <c r="H89" i="4"/>
  <c r="G78" i="2" s="1"/>
  <c r="G89" i="4"/>
  <c r="F78" i="2" s="1"/>
  <c r="F89" i="4"/>
  <c r="E78" i="2" s="1"/>
  <c r="D78" i="2"/>
  <c r="D89" i="4"/>
  <c r="C78" i="2" s="1"/>
  <c r="J81" i="4"/>
  <c r="I77" i="2" s="1"/>
  <c r="I81" i="4"/>
  <c r="H77" i="2" s="1"/>
  <c r="H81" i="4"/>
  <c r="G77" i="2" s="1"/>
  <c r="G81" i="4"/>
  <c r="F77" i="2" s="1"/>
  <c r="F81" i="4"/>
  <c r="E77" i="2" s="1"/>
  <c r="E81" i="4"/>
  <c r="D77" i="2" s="1"/>
  <c r="D81" i="4"/>
  <c r="C77" i="2" s="1"/>
  <c r="E77" i="4"/>
  <c r="D76" i="2" s="1"/>
  <c r="F77" i="4"/>
  <c r="E76" i="2" s="1"/>
  <c r="G77" i="4"/>
  <c r="F76" i="2" s="1"/>
  <c r="H77" i="4"/>
  <c r="G76" i="2" s="1"/>
  <c r="I77" i="4"/>
  <c r="H76" i="2" s="1"/>
  <c r="J77" i="4"/>
  <c r="I76" i="2" s="1"/>
  <c r="D77" i="4"/>
  <c r="C76" i="2" s="1"/>
  <c r="D75" i="2"/>
  <c r="E75" i="2"/>
  <c r="F75" i="2"/>
  <c r="G75" i="2"/>
  <c r="H75" i="2"/>
  <c r="I75" i="2"/>
  <c r="C75" i="2"/>
  <c r="D74" i="2"/>
  <c r="E74" i="2"/>
  <c r="F74" i="2"/>
  <c r="G74" i="2"/>
  <c r="H74" i="2"/>
  <c r="I74" i="2"/>
  <c r="C74" i="2"/>
  <c r="E62" i="4"/>
  <c r="D73" i="2" s="1"/>
  <c r="F62" i="4"/>
  <c r="E73" i="2" s="1"/>
  <c r="G62" i="4"/>
  <c r="F73" i="2" s="1"/>
  <c r="H62" i="4"/>
  <c r="G73" i="2" s="1"/>
  <c r="I62" i="4"/>
  <c r="H73" i="2" s="1"/>
  <c r="J62" i="4"/>
  <c r="I73" i="2" s="1"/>
  <c r="D62" i="4"/>
  <c r="C73" i="2" s="1"/>
  <c r="E59" i="4"/>
  <c r="D72" i="2" s="1"/>
  <c r="F59" i="4"/>
  <c r="E72" i="2" s="1"/>
  <c r="G59" i="4"/>
  <c r="F72" i="2" s="1"/>
  <c r="H59" i="4"/>
  <c r="G72" i="2" s="1"/>
  <c r="I59" i="4"/>
  <c r="H72" i="2" s="1"/>
  <c r="J59" i="4"/>
  <c r="I72" i="2" s="1"/>
  <c r="D59" i="4"/>
  <c r="C72" i="2" s="1"/>
  <c r="E49" i="4"/>
  <c r="D71" i="2" s="1"/>
  <c r="F49" i="4"/>
  <c r="E71" i="2" s="1"/>
  <c r="G49" i="4"/>
  <c r="F71" i="2" s="1"/>
  <c r="H49" i="4"/>
  <c r="G71" i="2" s="1"/>
  <c r="I49" i="4"/>
  <c r="H71" i="2" s="1"/>
  <c r="J49" i="4"/>
  <c r="I71" i="2" s="1"/>
  <c r="D49" i="4"/>
  <c r="C71" i="2" s="1"/>
  <c r="J46" i="4"/>
  <c r="I70" i="2" s="1"/>
  <c r="I46" i="4"/>
  <c r="H70" i="2" s="1"/>
  <c r="H46" i="4"/>
  <c r="G70" i="2" s="1"/>
  <c r="G46" i="4"/>
  <c r="F70" i="2" s="1"/>
  <c r="F46" i="4"/>
  <c r="E70" i="2" s="1"/>
  <c r="D70" i="2"/>
  <c r="D46" i="4"/>
  <c r="C70" i="2" s="1"/>
  <c r="E37" i="4"/>
  <c r="D69" i="2" s="1"/>
  <c r="F37" i="4"/>
  <c r="E69" i="2" s="1"/>
  <c r="G37" i="4"/>
  <c r="F69" i="2" s="1"/>
  <c r="H37" i="4"/>
  <c r="G69" i="2" s="1"/>
  <c r="I37" i="4"/>
  <c r="H69" i="2" s="1"/>
  <c r="J37" i="4"/>
  <c r="I69" i="2" s="1"/>
  <c r="D37" i="4"/>
  <c r="C69" i="2" s="1"/>
  <c r="J34" i="4"/>
  <c r="I68" i="2" s="1"/>
  <c r="I34" i="4"/>
  <c r="H68" i="2" s="1"/>
  <c r="H34" i="4"/>
  <c r="G68" i="2" s="1"/>
  <c r="G34" i="4"/>
  <c r="F68" i="2" s="1"/>
  <c r="F34" i="4"/>
  <c r="E68" i="2" s="1"/>
  <c r="E34" i="4"/>
  <c r="D34" i="4"/>
  <c r="C68" i="2" s="1"/>
  <c r="J28" i="4"/>
  <c r="I67" i="2" s="1"/>
  <c r="I28" i="4"/>
  <c r="H67" i="2" s="1"/>
  <c r="H28" i="4"/>
  <c r="G67" i="2" s="1"/>
  <c r="G28" i="4"/>
  <c r="F67" i="2" s="1"/>
  <c r="F28" i="4"/>
  <c r="E67" i="2" s="1"/>
  <c r="E28" i="4"/>
  <c r="D67" i="2" s="1"/>
  <c r="D28" i="4"/>
  <c r="C67" i="2" s="1"/>
  <c r="J23" i="4"/>
  <c r="I66" i="2" s="1"/>
  <c r="I23" i="4"/>
  <c r="H66" i="2" s="1"/>
  <c r="H23" i="4"/>
  <c r="G66" i="2" s="1"/>
  <c r="G23" i="4"/>
  <c r="F66" i="2" s="1"/>
  <c r="F23" i="4"/>
  <c r="E66" i="2" s="1"/>
  <c r="E23" i="4"/>
  <c r="D66" i="2" s="1"/>
  <c r="D23" i="4"/>
  <c r="C66" i="2" s="1"/>
  <c r="J19" i="4"/>
  <c r="I65" i="2" s="1"/>
  <c r="I19" i="4"/>
  <c r="H65" i="2" s="1"/>
  <c r="H19" i="4"/>
  <c r="G65" i="2" s="1"/>
  <c r="G19" i="4"/>
  <c r="F65" i="2" s="1"/>
  <c r="F19" i="4"/>
  <c r="E65" i="2" s="1"/>
  <c r="E19" i="4"/>
  <c r="D65" i="2" s="1"/>
  <c r="D19" i="4"/>
  <c r="C65" i="2" s="1"/>
  <c r="C82" i="2" l="1"/>
  <c r="E82" i="2"/>
  <c r="E84" i="2" s="1"/>
  <c r="E109" i="2" s="1"/>
  <c r="G82" i="2"/>
  <c r="G84" i="2" s="1"/>
  <c r="G109" i="2" s="1"/>
  <c r="I82" i="2"/>
  <c r="I84" i="2" s="1"/>
  <c r="I109" i="2" s="1"/>
  <c r="D93" i="2"/>
  <c r="F93" i="2"/>
  <c r="H93" i="2"/>
  <c r="D82" i="2"/>
  <c r="F82" i="2"/>
  <c r="H82" i="2"/>
  <c r="H84" i="2" s="1"/>
  <c r="C93" i="2"/>
  <c r="E93" i="2"/>
  <c r="G93" i="2"/>
  <c r="I93" i="2"/>
  <c r="J91" i="2"/>
  <c r="K114" i="4"/>
  <c r="K107" i="4"/>
  <c r="J89" i="2" s="1"/>
  <c r="K102" i="4"/>
  <c r="J88" i="2" s="1"/>
  <c r="K94" i="4"/>
  <c r="J79" i="2" s="1"/>
  <c r="K89" i="4"/>
  <c r="J78" i="2" s="1"/>
  <c r="K81" i="4"/>
  <c r="J77" i="2" s="1"/>
  <c r="K77" i="4"/>
  <c r="J76" i="2" s="1"/>
  <c r="J75" i="2"/>
  <c r="J74" i="2"/>
  <c r="K62" i="4"/>
  <c r="J73" i="2" s="1"/>
  <c r="K59" i="4"/>
  <c r="J72" i="2" s="1"/>
  <c r="K49" i="4"/>
  <c r="J71" i="2" s="1"/>
  <c r="K46" i="4"/>
  <c r="J70" i="2" s="1"/>
  <c r="K37" i="4"/>
  <c r="J69" i="2" s="1"/>
  <c r="K34" i="4"/>
  <c r="J68" i="2" s="1"/>
  <c r="K28" i="4"/>
  <c r="J67" i="2" s="1"/>
  <c r="K23" i="4"/>
  <c r="J66" i="2" s="1"/>
  <c r="K19" i="4"/>
  <c r="J65" i="2" s="1"/>
  <c r="D84" i="2" l="1"/>
  <c r="D109" i="2" s="1"/>
  <c r="F84" i="2"/>
  <c r="F95" i="2" s="1"/>
  <c r="C84" i="2"/>
  <c r="C95" i="2" s="1"/>
  <c r="J82" i="2"/>
  <c r="J84" i="2" s="1"/>
  <c r="J109" i="2" s="1"/>
  <c r="G95" i="2"/>
  <c r="G103" i="2" s="1"/>
  <c r="I95" i="2"/>
  <c r="I103" i="2" s="1"/>
  <c r="E95" i="2"/>
  <c r="E103" i="2" s="1"/>
  <c r="J93" i="2"/>
  <c r="H109" i="2"/>
  <c r="H95" i="2"/>
  <c r="H103" i="2" s="1"/>
  <c r="K304" i="6"/>
  <c r="D95" i="2" l="1"/>
  <c r="D103" i="2" s="1"/>
  <c r="F109" i="2"/>
  <c r="J95" i="2"/>
  <c r="J103" i="2" s="1"/>
  <c r="F103" i="2"/>
  <c r="C103" i="2"/>
  <c r="C42" i="2" s="1"/>
  <c r="C109" i="2"/>
  <c r="P22" i="4" l="1"/>
  <c r="G336" i="6" l="1"/>
  <c r="H3" i="6"/>
  <c r="L172" i="6" l="1"/>
  <c r="H335" i="6"/>
  <c r="V85" i="4"/>
  <c r="V92" i="4"/>
  <c r="V106" i="4"/>
  <c r="R26" i="3"/>
  <c r="V83" i="4"/>
  <c r="V87" i="4"/>
  <c r="V93" i="4"/>
  <c r="V101" i="4"/>
  <c r="R31" i="3"/>
  <c r="V117" i="4"/>
  <c r="V86" i="4"/>
  <c r="V100" i="4"/>
  <c r="V79" i="4"/>
  <c r="V81" i="4" s="1"/>
  <c r="V84" i="4"/>
  <c r="V91" i="4"/>
  <c r="V105" i="4"/>
  <c r="V113" i="4"/>
  <c r="V110" i="4"/>
  <c r="V8" i="4"/>
  <c r="V14" i="4"/>
  <c r="V52" i="4"/>
  <c r="V69" i="4"/>
  <c r="V40" i="4"/>
  <c r="R68" i="3"/>
  <c r="V111" i="4"/>
  <c r="V11" i="4"/>
  <c r="V22" i="4"/>
  <c r="V45" i="4"/>
  <c r="L291" i="6"/>
  <c r="V25" i="4"/>
  <c r="J127" i="6"/>
  <c r="V112" i="4"/>
  <c r="V9" i="4"/>
  <c r="V12" i="4"/>
  <c r="V16" i="4"/>
  <c r="V54" i="4"/>
  <c r="V58" i="4"/>
  <c r="V61" i="4"/>
  <c r="V62" i="4" s="1"/>
  <c r="V88" i="4"/>
  <c r="V42" i="4"/>
  <c r="V26" i="4"/>
  <c r="V10" i="4"/>
  <c r="V21" i="4"/>
  <c r="V56" i="4"/>
  <c r="V65" i="4"/>
  <c r="V75" i="4"/>
  <c r="V77" i="4" s="1"/>
  <c r="V15" i="4"/>
  <c r="V53" i="4"/>
  <c r="V57" i="4"/>
  <c r="V70" i="4"/>
  <c r="V41" i="4"/>
  <c r="V27" i="4"/>
  <c r="R70" i="3"/>
  <c r="V109" i="4"/>
  <c r="V13" i="4"/>
  <c r="V18" i="4"/>
  <c r="V51" i="4"/>
  <c r="V55" i="4"/>
  <c r="V64" i="4"/>
  <c r="V48" i="4"/>
  <c r="V49" i="4" s="1"/>
  <c r="V39" i="4"/>
  <c r="K326" i="6"/>
  <c r="S76" i="4"/>
  <c r="R53" i="3"/>
  <c r="R52" i="3"/>
  <c r="R48" i="3"/>
  <c r="R103" i="3" l="1"/>
  <c r="R74" i="3"/>
  <c r="R119" i="3"/>
  <c r="R89" i="3"/>
  <c r="R88" i="3"/>
  <c r="R96" i="3"/>
  <c r="R91" i="3"/>
  <c r="R97" i="3"/>
  <c r="R90" i="3"/>
  <c r="R94" i="3"/>
  <c r="R95" i="3"/>
  <c r="J174" i="6"/>
  <c r="V67" i="4"/>
  <c r="V94" i="4"/>
  <c r="V102" i="4"/>
  <c r="R93" i="3"/>
  <c r="P98" i="3"/>
  <c r="R98" i="3" s="1"/>
  <c r="R87" i="3"/>
  <c r="P92" i="3"/>
  <c r="V118" i="4"/>
  <c r="V107" i="4"/>
  <c r="V89" i="4"/>
  <c r="R102" i="3"/>
  <c r="P104" i="3"/>
  <c r="R104" i="3" s="1"/>
  <c r="V114" i="4"/>
  <c r="V19" i="4"/>
  <c r="V46" i="4"/>
  <c r="V23" i="4"/>
  <c r="V59" i="4"/>
  <c r="V28" i="4"/>
  <c r="V73" i="4"/>
  <c r="Q43" i="2"/>
  <c r="P57" i="3"/>
  <c r="R57" i="3" s="1"/>
  <c r="R92" i="3" l="1"/>
  <c r="P99" i="3"/>
  <c r="R99" i="3" s="1"/>
  <c r="P98" i="2"/>
  <c r="R77" i="4"/>
  <c r="F244" i="10"/>
  <c r="F78" i="10"/>
  <c r="F68" i="10"/>
  <c r="F58" i="10"/>
  <c r="F49" i="10"/>
  <c r="F48" i="10"/>
  <c r="F44" i="10"/>
  <c r="F53" i="10" s="1"/>
  <c r="F20" i="10"/>
  <c r="D353" i="6" l="1"/>
  <c r="D352" i="6"/>
  <c r="Q92" i="2" l="1"/>
  <c r="B3" i="4" l="1"/>
  <c r="C13" i="5" l="1"/>
  <c r="P109" i="4"/>
  <c r="P110" i="4"/>
  <c r="P111" i="4"/>
  <c r="P112" i="4"/>
  <c r="P100" i="4"/>
  <c r="P101" i="4"/>
  <c r="P105" i="4"/>
  <c r="P106" i="4"/>
  <c r="P113" i="4"/>
  <c r="P117" i="4"/>
  <c r="N90" i="2" l="1"/>
  <c r="O90" i="2" s="1"/>
  <c r="N58" i="2"/>
  <c r="N59" i="2"/>
  <c r="O59" i="2" s="1"/>
  <c r="P118" i="4"/>
  <c r="N60" i="2"/>
  <c r="O60" i="2" s="1"/>
  <c r="Q60" i="2" s="1"/>
  <c r="N87" i="2"/>
  <c r="O87" i="2" s="1"/>
  <c r="N61" i="2"/>
  <c r="O61" i="2" s="1"/>
  <c r="N62" i="2" l="1"/>
  <c r="O58" i="2"/>
  <c r="N91" i="2"/>
  <c r="O91" i="2" s="1"/>
  <c r="P27" i="4"/>
  <c r="P26" i="4"/>
  <c r="P33" i="4"/>
  <c r="P32" i="4"/>
  <c r="P31" i="4"/>
  <c r="P30" i="4"/>
  <c r="P25" i="4"/>
  <c r="P21" i="4"/>
  <c r="P16" i="4"/>
  <c r="P15" i="4"/>
  <c r="P14" i="4"/>
  <c r="P13" i="4"/>
  <c r="P12" i="4"/>
  <c r="P11" i="4"/>
  <c r="P10" i="4"/>
  <c r="P9" i="4"/>
  <c r="P8" i="4"/>
  <c r="O62" i="2" l="1"/>
  <c r="B63" i="5" l="1"/>
  <c r="B62" i="5"/>
  <c r="B60" i="5"/>
  <c r="B61" i="5"/>
  <c r="B59" i="5"/>
  <c r="E337" i="6"/>
  <c r="E338" i="6" l="1"/>
  <c r="E142" i="10"/>
  <c r="E131" i="10"/>
  <c r="J98" i="10"/>
  <c r="P22" i="2" s="1"/>
  <c r="I98" i="10"/>
  <c r="F98" i="10"/>
  <c r="E98" i="10"/>
  <c r="E78" i="10"/>
  <c r="E68" i="10"/>
  <c r="E58" i="10"/>
  <c r="E20" i="10"/>
  <c r="J16" i="10"/>
  <c r="J24" i="10" s="1"/>
  <c r="I16" i="10"/>
  <c r="I24" i="10" s="1"/>
  <c r="F16" i="10"/>
  <c r="F24" i="10" s="1"/>
  <c r="E16" i="10"/>
  <c r="P11" i="2" l="1"/>
  <c r="E24" i="10"/>
  <c r="O41" i="2"/>
  <c r="U41" i="2" s="1"/>
  <c r="Q41" i="2" l="1"/>
  <c r="H1114" i="11"/>
  <c r="I1114" i="11" s="1"/>
  <c r="J1114" i="11" s="1"/>
  <c r="K1114" i="11" s="1"/>
  <c r="L1114" i="11" s="1"/>
  <c r="M1114" i="11" s="1"/>
  <c r="N1114" i="11" s="1"/>
  <c r="O1114" i="11" s="1"/>
  <c r="P1114" i="11" s="1"/>
  <c r="Q1114" i="11" s="1"/>
  <c r="R1114" i="11" s="1"/>
  <c r="S1114" i="11" s="1"/>
  <c r="V1114" i="11" s="1"/>
  <c r="H1113" i="11"/>
  <c r="I1113" i="11" s="1"/>
  <c r="J1113" i="11" s="1"/>
  <c r="K1113" i="11" s="1"/>
  <c r="L1113" i="11" s="1"/>
  <c r="M1113" i="11" s="1"/>
  <c r="N1113" i="11" s="1"/>
  <c r="O1113" i="11" s="1"/>
  <c r="P1113" i="11" s="1"/>
  <c r="Q1113" i="11" s="1"/>
  <c r="R1113" i="11" s="1"/>
  <c r="S1113" i="11" s="1"/>
  <c r="V1113" i="11" s="1"/>
  <c r="V1112" i="11"/>
  <c r="E1098" i="11"/>
  <c r="D1098" i="11"/>
  <c r="G1098" i="11" s="1"/>
  <c r="H1098" i="11" s="1"/>
  <c r="E1097" i="11"/>
  <c r="D1097" i="11"/>
  <c r="G1097" i="11" s="1"/>
  <c r="H1097" i="11" s="1"/>
  <c r="S1096" i="11"/>
  <c r="S1109" i="11" s="1"/>
  <c r="V1109" i="11" s="1"/>
  <c r="E1096" i="11"/>
  <c r="D1096" i="11"/>
  <c r="H1096" i="11" s="1"/>
  <c r="H1109" i="11" s="1"/>
  <c r="S1095" i="11"/>
  <c r="S1108" i="11" s="1"/>
  <c r="V1108" i="11" s="1"/>
  <c r="E1095" i="11"/>
  <c r="D1095" i="11"/>
  <c r="H1095" i="11" s="1"/>
  <c r="E1094" i="11"/>
  <c r="D1094" i="11"/>
  <c r="G1094" i="11" s="1"/>
  <c r="H1094" i="11" s="1"/>
  <c r="E1093" i="11"/>
  <c r="D1093" i="11"/>
  <c r="G1093" i="11" s="1"/>
  <c r="H1093" i="11" s="1"/>
  <c r="I1093" i="11" s="1"/>
  <c r="S1092" i="11"/>
  <c r="S1105" i="11" s="1"/>
  <c r="H1092" i="11"/>
  <c r="H1105" i="11" s="1"/>
  <c r="E1092" i="11"/>
  <c r="D1091" i="11"/>
  <c r="V1090" i="11"/>
  <c r="AF1074" i="11"/>
  <c r="AE1074" i="11" s="1"/>
  <c r="AD1074" i="11"/>
  <c r="AC1074" i="11" s="1"/>
  <c r="AB1074" i="11"/>
  <c r="AA1074" i="11" s="1"/>
  <c r="Z1074" i="11"/>
  <c r="AF1073" i="11"/>
  <c r="AE1073" i="11" s="1"/>
  <c r="AD1073" i="11"/>
  <c r="AC1073" i="11" s="1"/>
  <c r="AB1073" i="11"/>
  <c r="AA1073" i="11" s="1"/>
  <c r="Z1073" i="11"/>
  <c r="AF1072" i="11"/>
  <c r="AE1072" i="11" s="1"/>
  <c r="AD1072" i="11"/>
  <c r="AC1072" i="11" s="1"/>
  <c r="AB1072" i="11"/>
  <c r="AA1072" i="11" s="1"/>
  <c r="Z1072" i="11"/>
  <c r="AE1071" i="11"/>
  <c r="AC1071" i="11"/>
  <c r="AA1071" i="11"/>
  <c r="Y1071" i="11"/>
  <c r="AE1070" i="11"/>
  <c r="AC1070" i="11"/>
  <c r="AA1070" i="11"/>
  <c r="AE1068" i="11"/>
  <c r="AC1068" i="11"/>
  <c r="AA1068" i="11"/>
  <c r="AE1067" i="11"/>
  <c r="AC1067" i="11"/>
  <c r="AA1067" i="11"/>
  <c r="AF1066" i="11"/>
  <c r="AE1066" i="11" s="1"/>
  <c r="AD1066" i="11"/>
  <c r="AC1066" i="11" s="1"/>
  <c r="AB1066" i="11"/>
  <c r="AA1066" i="11" s="1"/>
  <c r="Z1066" i="11"/>
  <c r="AE1065" i="11"/>
  <c r="AC1065" i="11"/>
  <c r="AA1065" i="11"/>
  <c r="AE1064" i="11"/>
  <c r="AC1064" i="11"/>
  <c r="AA1064" i="11"/>
  <c r="AE1063" i="11"/>
  <c r="AC1063" i="11"/>
  <c r="AA1063" i="11"/>
  <c r="AE1062" i="11"/>
  <c r="AC1062" i="11"/>
  <c r="AA1062" i="11"/>
  <c r="AE1061" i="11"/>
  <c r="AC1061" i="11"/>
  <c r="AA1061" i="11"/>
  <c r="AE1060" i="11"/>
  <c r="AC1060" i="11"/>
  <c r="AA1060" i="11"/>
  <c r="AF1059" i="11"/>
  <c r="AE1059" i="11" s="1"/>
  <c r="AD1059" i="11"/>
  <c r="AC1059" i="11" s="1"/>
  <c r="AB1059" i="11"/>
  <c r="AA1059" i="11" s="1"/>
  <c r="Z1059" i="11"/>
  <c r="AE1058" i="11"/>
  <c r="AC1058" i="11"/>
  <c r="AA1058" i="11"/>
  <c r="AE1057" i="11"/>
  <c r="AC1057" i="11"/>
  <c r="AA1057" i="11"/>
  <c r="AE1056" i="11"/>
  <c r="AC1056" i="11"/>
  <c r="AA1056" i="11"/>
  <c r="AE1055" i="11"/>
  <c r="AC1055" i="11"/>
  <c r="AA1055" i="11"/>
  <c r="D1052" i="11"/>
  <c r="V1051" i="11"/>
  <c r="AF1035" i="11"/>
  <c r="AD1035" i="11"/>
  <c r="AB1035" i="11"/>
  <c r="Z1035" i="11"/>
  <c r="AF1034" i="11"/>
  <c r="AD1034" i="11"/>
  <c r="AB1034" i="11"/>
  <c r="Z1034" i="11"/>
  <c r="AF1033" i="11"/>
  <c r="AD1033" i="11"/>
  <c r="AB1033" i="11"/>
  <c r="Z1033" i="11"/>
  <c r="AE1031" i="11"/>
  <c r="AC1031" i="11"/>
  <c r="AA1031" i="11"/>
  <c r="Y1031" i="11"/>
  <c r="AE1030" i="11"/>
  <c r="AC1030" i="11"/>
  <c r="AA1030" i="11"/>
  <c r="Y1030" i="11"/>
  <c r="AE1028" i="11"/>
  <c r="AC1028" i="11"/>
  <c r="AA1028" i="11"/>
  <c r="AF1027" i="11"/>
  <c r="AE1027" i="11" s="1"/>
  <c r="AD1027" i="11"/>
  <c r="AC1027" i="11" s="1"/>
  <c r="AB1027" i="11"/>
  <c r="AA1027" i="11" s="1"/>
  <c r="Z1027" i="11"/>
  <c r="AE1026" i="11"/>
  <c r="AC1026" i="11"/>
  <c r="AA1026" i="11"/>
  <c r="AE1025" i="11"/>
  <c r="AC1025" i="11"/>
  <c r="AA1025" i="11"/>
  <c r="AE1024" i="11"/>
  <c r="AC1024" i="11"/>
  <c r="AA1024" i="11"/>
  <c r="AE1023" i="11"/>
  <c r="AC1023" i="11"/>
  <c r="AA1023" i="11"/>
  <c r="AE1022" i="11"/>
  <c r="AC1022" i="11"/>
  <c r="AA1022" i="11"/>
  <c r="AE1021" i="11"/>
  <c r="AC1021" i="11"/>
  <c r="AA1021" i="11"/>
  <c r="AF1020" i="11"/>
  <c r="AE1020" i="11" s="1"/>
  <c r="AD1020" i="11"/>
  <c r="AC1020" i="11" s="1"/>
  <c r="AB1020" i="11"/>
  <c r="AA1020" i="11" s="1"/>
  <c r="Z1020" i="11"/>
  <c r="AE1019" i="11"/>
  <c r="AC1019" i="11"/>
  <c r="AA1019" i="11"/>
  <c r="AE1018" i="11"/>
  <c r="AC1018" i="11"/>
  <c r="AA1018" i="11"/>
  <c r="AE1017" i="11"/>
  <c r="AC1017" i="11"/>
  <c r="AA1017" i="11"/>
  <c r="AE1016" i="11"/>
  <c r="AC1016" i="11"/>
  <c r="AA1016" i="11"/>
  <c r="D1013" i="11"/>
  <c r="V1012" i="11"/>
  <c r="AF996" i="11"/>
  <c r="AD996" i="11"/>
  <c r="AB996" i="11"/>
  <c r="Z996" i="11"/>
  <c r="AF995" i="11"/>
  <c r="AD995" i="11"/>
  <c r="AB995" i="11"/>
  <c r="Z995" i="11"/>
  <c r="AF994" i="11"/>
  <c r="AD994" i="11"/>
  <c r="AB994" i="11"/>
  <c r="Z994" i="11"/>
  <c r="AE992" i="11"/>
  <c r="AC992" i="11"/>
  <c r="AA992" i="11"/>
  <c r="Y992" i="11"/>
  <c r="AE991" i="11"/>
  <c r="AC991" i="11"/>
  <c r="AA991" i="11"/>
  <c r="Y991" i="11"/>
  <c r="AE989" i="11"/>
  <c r="AC989" i="11"/>
  <c r="AA989" i="11"/>
  <c r="AF988" i="11"/>
  <c r="AE988" i="11" s="1"/>
  <c r="AD988" i="11"/>
  <c r="AC988" i="11" s="1"/>
  <c r="AB988" i="11"/>
  <c r="AA988" i="11" s="1"/>
  <c r="Z988" i="11"/>
  <c r="AE987" i="11"/>
  <c r="AC987" i="11"/>
  <c r="AA987" i="11"/>
  <c r="AE986" i="11"/>
  <c r="AC986" i="11"/>
  <c r="AA986" i="11"/>
  <c r="AE985" i="11"/>
  <c r="AC985" i="11"/>
  <c r="AA985" i="11"/>
  <c r="AE984" i="11"/>
  <c r="AC984" i="11"/>
  <c r="AA984" i="11"/>
  <c r="AE983" i="11"/>
  <c r="AC983" i="11"/>
  <c r="AA983" i="11"/>
  <c r="AE982" i="11"/>
  <c r="AC982" i="11"/>
  <c r="AA982" i="11"/>
  <c r="AF981" i="11"/>
  <c r="AE981" i="11" s="1"/>
  <c r="AD981" i="11"/>
  <c r="AC981" i="11" s="1"/>
  <c r="AB981" i="11"/>
  <c r="AA981" i="11" s="1"/>
  <c r="Z981" i="11"/>
  <c r="AE980" i="11"/>
  <c r="AC980" i="11"/>
  <c r="AA980" i="11"/>
  <c r="AE979" i="11"/>
  <c r="AC979" i="11"/>
  <c r="AA979" i="11"/>
  <c r="AE978" i="11"/>
  <c r="AC978" i="11"/>
  <c r="AA978" i="11"/>
  <c r="AE977" i="11"/>
  <c r="AC977" i="11"/>
  <c r="AA977" i="11"/>
  <c r="D974" i="11"/>
  <c r="V973" i="11"/>
  <c r="AF957" i="11"/>
  <c r="AD957" i="11"/>
  <c r="AB957" i="11"/>
  <c r="Z957" i="11"/>
  <c r="AF956" i="11"/>
  <c r="AD956" i="11"/>
  <c r="AB956" i="11"/>
  <c r="Z956" i="11"/>
  <c r="AF955" i="11"/>
  <c r="AD955" i="11"/>
  <c r="AB955" i="11"/>
  <c r="Z955" i="11"/>
  <c r="AE953" i="11"/>
  <c r="AC953" i="11"/>
  <c r="AA953" i="11"/>
  <c r="Y953" i="11"/>
  <c r="AE952" i="11"/>
  <c r="AC952" i="11"/>
  <c r="AA952" i="11"/>
  <c r="Y952" i="11"/>
  <c r="AE951" i="11"/>
  <c r="AC951" i="11"/>
  <c r="AA951" i="11"/>
  <c r="Y951" i="11"/>
  <c r="AF949" i="11"/>
  <c r="AE949" i="11" s="1"/>
  <c r="AD949" i="11"/>
  <c r="AC949" i="11" s="1"/>
  <c r="AB949" i="11"/>
  <c r="AA949" i="11" s="1"/>
  <c r="Z949" i="11"/>
  <c r="AE948" i="11"/>
  <c r="AC948" i="11"/>
  <c r="AA948" i="11"/>
  <c r="AE947" i="11"/>
  <c r="AC947" i="11"/>
  <c r="AA947" i="11"/>
  <c r="AE946" i="11"/>
  <c r="AC946" i="11"/>
  <c r="AA946" i="11"/>
  <c r="AE945" i="11"/>
  <c r="AC945" i="11"/>
  <c r="AA945" i="11"/>
  <c r="AE944" i="11"/>
  <c r="AC944" i="11"/>
  <c r="AA944" i="11"/>
  <c r="AE943" i="11"/>
  <c r="AC943" i="11"/>
  <c r="AA943" i="11"/>
  <c r="AF942" i="11"/>
  <c r="AE942" i="11" s="1"/>
  <c r="AD942" i="11"/>
  <c r="AC942" i="11" s="1"/>
  <c r="AB942" i="11"/>
  <c r="AA942" i="11" s="1"/>
  <c r="Z942" i="11"/>
  <c r="AE941" i="11"/>
  <c r="AC941" i="11"/>
  <c r="AA941" i="11"/>
  <c r="AE940" i="11"/>
  <c r="AC940" i="11"/>
  <c r="AA940" i="11"/>
  <c r="AE939" i="11"/>
  <c r="AC939" i="11"/>
  <c r="AA939" i="11"/>
  <c r="AE938" i="11"/>
  <c r="AC938" i="11"/>
  <c r="AA938" i="11"/>
  <c r="D935" i="11"/>
  <c r="V934" i="11"/>
  <c r="AF918" i="11"/>
  <c r="AD918" i="11"/>
  <c r="AB918" i="11"/>
  <c r="Z918" i="11"/>
  <c r="AF917" i="11"/>
  <c r="AD917" i="11"/>
  <c r="AB917" i="11"/>
  <c r="Z917" i="11"/>
  <c r="AF916" i="11"/>
  <c r="AD916" i="11"/>
  <c r="AB916" i="11"/>
  <c r="Z916" i="11"/>
  <c r="AE913" i="11"/>
  <c r="AC913" i="11"/>
  <c r="AA913" i="11"/>
  <c r="Y913" i="11"/>
  <c r="AE912" i="11"/>
  <c r="AC912" i="11"/>
  <c r="AA912" i="11"/>
  <c r="Y912" i="11"/>
  <c r="AF910" i="11"/>
  <c r="AE910" i="11" s="1"/>
  <c r="AD910" i="11"/>
  <c r="AC910" i="11" s="1"/>
  <c r="AB910" i="11"/>
  <c r="AA910" i="11" s="1"/>
  <c r="Z910" i="11"/>
  <c r="AE909" i="11"/>
  <c r="AC909" i="11"/>
  <c r="AA909" i="11"/>
  <c r="AE908" i="11"/>
  <c r="AC908" i="11"/>
  <c r="AA908" i="11"/>
  <c r="AE907" i="11"/>
  <c r="AC907" i="11"/>
  <c r="AA907" i="11"/>
  <c r="AE906" i="11"/>
  <c r="AC906" i="11"/>
  <c r="AA906" i="11"/>
  <c r="AE905" i="11"/>
  <c r="AC905" i="11"/>
  <c r="AA905" i="11"/>
  <c r="AE904" i="11"/>
  <c r="AC904" i="11"/>
  <c r="AA904" i="11"/>
  <c r="AF903" i="11"/>
  <c r="AE903" i="11" s="1"/>
  <c r="AD903" i="11"/>
  <c r="AC903" i="11" s="1"/>
  <c r="AB903" i="11"/>
  <c r="AA903" i="11" s="1"/>
  <c r="Z903" i="11"/>
  <c r="AE902" i="11"/>
  <c r="AC902" i="11"/>
  <c r="AA902" i="11"/>
  <c r="AE901" i="11"/>
  <c r="AC901" i="11"/>
  <c r="AA901" i="11"/>
  <c r="AE900" i="11"/>
  <c r="AC900" i="11"/>
  <c r="AA900" i="11"/>
  <c r="AE899" i="11"/>
  <c r="AC899" i="11"/>
  <c r="AA899" i="11"/>
  <c r="D896" i="11"/>
  <c r="V895" i="11"/>
  <c r="AF879" i="11"/>
  <c r="AD879" i="11"/>
  <c r="AB879" i="11"/>
  <c r="Z879" i="11"/>
  <c r="AF878" i="11"/>
  <c r="AD878" i="11"/>
  <c r="AB878" i="11"/>
  <c r="Z878" i="11"/>
  <c r="AF877" i="11"/>
  <c r="AD877" i="11"/>
  <c r="AB877" i="11"/>
  <c r="Z877" i="11"/>
  <c r="AE874" i="11"/>
  <c r="AC874" i="11"/>
  <c r="AA874" i="11"/>
  <c r="Y874" i="11"/>
  <c r="AE873" i="11"/>
  <c r="AC873" i="11"/>
  <c r="AA873" i="11"/>
  <c r="Y873" i="11"/>
  <c r="AF871" i="11"/>
  <c r="AE871" i="11" s="1"/>
  <c r="AD871" i="11"/>
  <c r="AC871" i="11" s="1"/>
  <c r="AB871" i="11"/>
  <c r="AA871" i="11" s="1"/>
  <c r="Z871" i="11"/>
  <c r="AE870" i="11"/>
  <c r="AC870" i="11"/>
  <c r="AA870" i="11"/>
  <c r="AE869" i="11"/>
  <c r="AC869" i="11"/>
  <c r="AA869" i="11"/>
  <c r="AE868" i="11"/>
  <c r="AC868" i="11"/>
  <c r="AA868" i="11"/>
  <c r="AE867" i="11"/>
  <c r="AC867" i="11"/>
  <c r="AA867" i="11"/>
  <c r="AE866" i="11"/>
  <c r="AC866" i="11"/>
  <c r="AA866" i="11"/>
  <c r="AE865" i="11"/>
  <c r="AC865" i="11"/>
  <c r="AA865" i="11"/>
  <c r="AF864" i="11"/>
  <c r="AE864" i="11" s="1"/>
  <c r="AD864" i="11"/>
  <c r="AC864" i="11" s="1"/>
  <c r="AB864" i="11"/>
  <c r="AA864" i="11" s="1"/>
  <c r="Z864" i="11"/>
  <c r="AE863" i="11"/>
  <c r="AC863" i="11"/>
  <c r="AA863" i="11"/>
  <c r="AE862" i="11"/>
  <c r="AC862" i="11"/>
  <c r="AA862" i="11"/>
  <c r="AE861" i="11"/>
  <c r="AC861" i="11"/>
  <c r="AA861" i="11"/>
  <c r="AE860" i="11"/>
  <c r="AC860" i="11"/>
  <c r="AA860" i="11"/>
  <c r="D857" i="11"/>
  <c r="V856" i="11"/>
  <c r="AF840" i="11"/>
  <c r="AD840" i="11"/>
  <c r="AB840" i="11"/>
  <c r="Z840" i="11"/>
  <c r="AF839" i="11"/>
  <c r="AD839" i="11"/>
  <c r="AB839" i="11"/>
  <c r="Z839" i="11"/>
  <c r="AF838" i="11"/>
  <c r="AD838" i="11"/>
  <c r="AB838" i="11"/>
  <c r="Z838" i="11"/>
  <c r="AE834" i="11"/>
  <c r="AC834" i="11"/>
  <c r="AA834" i="11"/>
  <c r="Y834" i="11"/>
  <c r="AE833" i="11"/>
  <c r="AC833" i="11"/>
  <c r="AA833" i="11"/>
  <c r="Y833" i="11"/>
  <c r="AF832" i="11"/>
  <c r="AE832" i="11" s="1"/>
  <c r="AD832" i="11"/>
  <c r="AC832" i="11" s="1"/>
  <c r="AB832" i="11"/>
  <c r="AA832" i="11" s="1"/>
  <c r="Z832" i="11"/>
  <c r="Y832" i="11" s="1"/>
  <c r="AE830" i="11"/>
  <c r="AC830" i="11"/>
  <c r="AA830" i="11"/>
  <c r="AE829" i="11"/>
  <c r="AC829" i="11"/>
  <c r="AA829" i="11"/>
  <c r="AE828" i="11"/>
  <c r="AC828" i="11"/>
  <c r="AA828" i="11"/>
  <c r="AE827" i="11"/>
  <c r="AC827" i="11"/>
  <c r="AA827" i="11"/>
  <c r="AE826" i="11"/>
  <c r="AC826" i="11"/>
  <c r="AA826" i="11"/>
  <c r="AF825" i="11"/>
  <c r="AE825" i="11" s="1"/>
  <c r="AD825" i="11"/>
  <c r="AC825" i="11" s="1"/>
  <c r="AB825" i="11"/>
  <c r="AA825" i="11" s="1"/>
  <c r="Z825" i="11"/>
  <c r="AE824" i="11"/>
  <c r="AC824" i="11"/>
  <c r="AA824" i="11"/>
  <c r="AE823" i="11"/>
  <c r="AC823" i="11"/>
  <c r="AA823" i="11"/>
  <c r="AE822" i="11"/>
  <c r="AC822" i="11"/>
  <c r="AA822" i="11"/>
  <c r="AE821" i="11"/>
  <c r="AC821" i="11"/>
  <c r="AA821" i="11"/>
  <c r="D818" i="11"/>
  <c r="V817" i="11"/>
  <c r="AF801" i="11"/>
  <c r="AD801" i="11"/>
  <c r="AB801" i="11"/>
  <c r="Z801" i="11"/>
  <c r="AF800" i="11"/>
  <c r="AD800" i="11"/>
  <c r="AB800" i="11"/>
  <c r="Z800" i="11"/>
  <c r="AF799" i="11"/>
  <c r="AD799" i="11"/>
  <c r="AB799" i="11"/>
  <c r="Z799" i="11"/>
  <c r="AE794" i="11"/>
  <c r="AC794" i="11"/>
  <c r="AA794" i="11"/>
  <c r="Y794" i="11"/>
  <c r="AF793" i="11"/>
  <c r="AE793" i="11" s="1"/>
  <c r="AD793" i="11"/>
  <c r="AC793" i="11" s="1"/>
  <c r="AB793" i="11"/>
  <c r="AA793" i="11" s="1"/>
  <c r="Z793" i="11"/>
  <c r="Y793" i="11" s="1"/>
  <c r="AE791" i="11"/>
  <c r="AC791" i="11"/>
  <c r="AA791" i="11"/>
  <c r="AE790" i="11"/>
  <c r="AC790" i="11"/>
  <c r="AA790" i="11"/>
  <c r="AE789" i="11"/>
  <c r="AC789" i="11"/>
  <c r="AA789" i="11"/>
  <c r="AE788" i="11"/>
  <c r="AC788" i="11"/>
  <c r="AA788" i="11"/>
  <c r="AE787" i="11"/>
  <c r="AC787" i="11"/>
  <c r="AA787" i="11"/>
  <c r="AF786" i="11"/>
  <c r="AE786" i="11" s="1"/>
  <c r="AD786" i="11"/>
  <c r="AC786" i="11" s="1"/>
  <c r="AB786" i="11"/>
  <c r="AA786" i="11" s="1"/>
  <c r="Z786" i="11"/>
  <c r="AE785" i="11"/>
  <c r="AC785" i="11"/>
  <c r="AA785" i="11"/>
  <c r="AE784" i="11"/>
  <c r="AC784" i="11"/>
  <c r="AA784" i="11"/>
  <c r="AE783" i="11"/>
  <c r="AC783" i="11"/>
  <c r="AA783" i="11"/>
  <c r="AE782" i="11"/>
  <c r="AC782" i="11"/>
  <c r="AA782" i="11"/>
  <c r="D779" i="11"/>
  <c r="V778" i="11"/>
  <c r="AF762" i="11"/>
  <c r="AD762" i="11"/>
  <c r="AB762" i="11"/>
  <c r="Z762" i="11"/>
  <c r="AF761" i="11"/>
  <c r="AD761" i="11"/>
  <c r="AB761" i="11"/>
  <c r="Z761" i="11"/>
  <c r="AF760" i="11"/>
  <c r="AD760" i="11"/>
  <c r="AB760" i="11"/>
  <c r="Z760" i="11"/>
  <c r="AE755" i="11"/>
  <c r="AC755" i="11"/>
  <c r="AA755" i="11"/>
  <c r="Y755" i="11"/>
  <c r="AF754" i="11"/>
  <c r="AE754" i="11" s="1"/>
  <c r="AD754" i="11"/>
  <c r="AC754" i="11" s="1"/>
  <c r="AB754" i="11"/>
  <c r="AA754" i="11" s="1"/>
  <c r="Z754" i="11"/>
  <c r="Y754" i="11" s="1"/>
  <c r="AE752" i="11"/>
  <c r="AC752" i="11"/>
  <c r="AA752" i="11"/>
  <c r="Y752" i="11"/>
  <c r="AE751" i="11"/>
  <c r="AC751" i="11"/>
  <c r="AA751" i="11"/>
  <c r="AE750" i="11"/>
  <c r="AC750" i="11"/>
  <c r="AA750" i="11"/>
  <c r="AE749" i="11"/>
  <c r="AC749" i="11"/>
  <c r="AA749" i="11"/>
  <c r="AE748" i="11"/>
  <c r="AC748" i="11"/>
  <c r="AA748" i="11"/>
  <c r="AF747" i="11"/>
  <c r="AE747" i="11" s="1"/>
  <c r="AD747" i="11"/>
  <c r="AC747" i="11" s="1"/>
  <c r="AB747" i="11"/>
  <c r="AA747" i="11" s="1"/>
  <c r="Z747" i="11"/>
  <c r="AE746" i="11"/>
  <c r="AC746" i="11"/>
  <c r="AA746" i="11"/>
  <c r="AE745" i="11"/>
  <c r="AC745" i="11"/>
  <c r="AA745" i="11"/>
  <c r="AE744" i="11"/>
  <c r="AC744" i="11"/>
  <c r="AA744" i="11"/>
  <c r="AE743" i="11"/>
  <c r="AC743" i="11"/>
  <c r="AA743" i="11"/>
  <c r="D739" i="11"/>
  <c r="V738" i="11"/>
  <c r="F737" i="11"/>
  <c r="L737" i="11" s="1"/>
  <c r="F736" i="11"/>
  <c r="F776" i="11" s="1"/>
  <c r="F815" i="11" s="1"/>
  <c r="F854" i="11" s="1"/>
  <c r="F735" i="11"/>
  <c r="F775" i="11" s="1"/>
  <c r="E775" i="11" s="1"/>
  <c r="F734" i="11"/>
  <c r="H734" i="11" s="1"/>
  <c r="F733" i="11"/>
  <c r="F773" i="11" s="1"/>
  <c r="F812" i="11" s="1"/>
  <c r="F851" i="11" s="1"/>
  <c r="F890" i="11" s="1"/>
  <c r="F929" i="11" s="1"/>
  <c r="F732" i="11"/>
  <c r="F772" i="11" s="1"/>
  <c r="F811" i="11" s="1"/>
  <c r="F850" i="11" s="1"/>
  <c r="F731" i="11"/>
  <c r="F771" i="11" s="1"/>
  <c r="F810" i="11" s="1"/>
  <c r="S810" i="11" s="1"/>
  <c r="F730" i="11"/>
  <c r="F770" i="11" s="1"/>
  <c r="F809" i="11" s="1"/>
  <c r="F848" i="11" s="1"/>
  <c r="F887" i="11" s="1"/>
  <c r="F926" i="11" s="1"/>
  <c r="S926" i="11" s="1"/>
  <c r="F729" i="11"/>
  <c r="F769" i="11" s="1"/>
  <c r="F808" i="11" s="1"/>
  <c r="F728" i="11"/>
  <c r="F768" i="11" s="1"/>
  <c r="F807" i="11" s="1"/>
  <c r="F846" i="11" s="1"/>
  <c r="F727" i="11"/>
  <c r="F767" i="11" s="1"/>
  <c r="F806" i="11" s="1"/>
  <c r="F845" i="11" s="1"/>
  <c r="F884" i="11" s="1"/>
  <c r="F923" i="11" s="1"/>
  <c r="O923" i="11" s="1"/>
  <c r="F726" i="11"/>
  <c r="F766" i="11" s="1"/>
  <c r="F725" i="11"/>
  <c r="F765" i="11" s="1"/>
  <c r="F804" i="11" s="1"/>
  <c r="Q804" i="11" s="1"/>
  <c r="F724" i="11"/>
  <c r="F764" i="11" s="1"/>
  <c r="F803" i="11" s="1"/>
  <c r="F842" i="11" s="1"/>
  <c r="F881" i="11" s="1"/>
  <c r="F723" i="11"/>
  <c r="F763" i="11" s="1"/>
  <c r="F802" i="11" s="1"/>
  <c r="K802" i="11" s="1"/>
  <c r="AF722" i="11"/>
  <c r="AD722" i="11"/>
  <c r="AB722" i="11"/>
  <c r="Z722" i="11"/>
  <c r="F722" i="11"/>
  <c r="F762" i="11" s="1"/>
  <c r="F801" i="11" s="1"/>
  <c r="AF721" i="11"/>
  <c r="AD721" i="11"/>
  <c r="AB721" i="11"/>
  <c r="Z721" i="11"/>
  <c r="F721" i="11"/>
  <c r="F761" i="11" s="1"/>
  <c r="F800" i="11" s="1"/>
  <c r="Q800" i="11" s="1"/>
  <c r="AF720" i="11"/>
  <c r="AD720" i="11"/>
  <c r="AB720" i="11"/>
  <c r="Z720" i="11"/>
  <c r="F720" i="11"/>
  <c r="F760" i="11" s="1"/>
  <c r="F799" i="11" s="1"/>
  <c r="F838" i="11" s="1"/>
  <c r="F877" i="11" s="1"/>
  <c r="F719" i="11"/>
  <c r="F759" i="11" s="1"/>
  <c r="F798" i="11" s="1"/>
  <c r="F837" i="11" s="1"/>
  <c r="F876" i="11" s="1"/>
  <c r="F915" i="11" s="1"/>
  <c r="F954" i="11" s="1"/>
  <c r="F993" i="11" s="1"/>
  <c r="F1032" i="11" s="1"/>
  <c r="F1071" i="11" s="1"/>
  <c r="F718" i="11"/>
  <c r="AE717" i="11"/>
  <c r="AC717" i="11"/>
  <c r="AA717" i="11"/>
  <c r="Y717" i="11"/>
  <c r="F717" i="11"/>
  <c r="F757" i="11" s="1"/>
  <c r="F796" i="11" s="1"/>
  <c r="F835" i="11" s="1"/>
  <c r="F874" i="11" s="1"/>
  <c r="F913" i="11" s="1"/>
  <c r="F952" i="11" s="1"/>
  <c r="F991" i="11" s="1"/>
  <c r="F1030" i="11" s="1"/>
  <c r="F1069" i="11" s="1"/>
  <c r="AE716" i="11"/>
  <c r="AC716" i="11"/>
  <c r="AA716" i="11"/>
  <c r="Y716" i="11"/>
  <c r="F716" i="11"/>
  <c r="F756" i="11" s="1"/>
  <c r="F795" i="11" s="1"/>
  <c r="F834" i="11" s="1"/>
  <c r="F873" i="11" s="1"/>
  <c r="F912" i="11" s="1"/>
  <c r="F715" i="11"/>
  <c r="F755" i="11" s="1"/>
  <c r="F794" i="11" s="1"/>
  <c r="F833" i="11" s="1"/>
  <c r="F872" i="11" s="1"/>
  <c r="Q872" i="11" s="1"/>
  <c r="AF714" i="11"/>
  <c r="AD714" i="11"/>
  <c r="AB714" i="11"/>
  <c r="Z714" i="11"/>
  <c r="F714" i="11"/>
  <c r="F754" i="11" s="1"/>
  <c r="AE713" i="11"/>
  <c r="AC713" i="11"/>
  <c r="AA713" i="11"/>
  <c r="F713" i="11"/>
  <c r="F753" i="11" s="1"/>
  <c r="F792" i="11" s="1"/>
  <c r="I792" i="11" s="1"/>
  <c r="AE712" i="11"/>
  <c r="AC712" i="11"/>
  <c r="AA712" i="11"/>
  <c r="F712" i="11"/>
  <c r="I712" i="11" s="1"/>
  <c r="AE711" i="11"/>
  <c r="AC711" i="11"/>
  <c r="AA711" i="11"/>
  <c r="F711" i="11"/>
  <c r="F751" i="11" s="1"/>
  <c r="F790" i="11" s="1"/>
  <c r="F829" i="11" s="1"/>
  <c r="F868" i="11" s="1"/>
  <c r="AE710" i="11"/>
  <c r="AC710" i="11"/>
  <c r="AA710" i="11"/>
  <c r="F710" i="11"/>
  <c r="F750" i="11" s="1"/>
  <c r="F789" i="11" s="1"/>
  <c r="F828" i="11" s="1"/>
  <c r="F867" i="11" s="1"/>
  <c r="F906" i="11" s="1"/>
  <c r="F945" i="11" s="1"/>
  <c r="F984" i="11" s="1"/>
  <c r="AE709" i="11"/>
  <c r="AC709" i="11"/>
  <c r="AA709" i="11"/>
  <c r="F709" i="11"/>
  <c r="F749" i="11" s="1"/>
  <c r="F788" i="11" s="1"/>
  <c r="S788" i="11" s="1"/>
  <c r="AE708" i="11"/>
  <c r="AC708" i="11"/>
  <c r="AA708" i="11"/>
  <c r="F708" i="11"/>
  <c r="I708" i="11" s="1"/>
  <c r="AF707" i="11"/>
  <c r="AE707" i="11" s="1"/>
  <c r="AD707" i="11"/>
  <c r="AC707" i="11" s="1"/>
  <c r="AB707" i="11"/>
  <c r="AA707" i="11" s="1"/>
  <c r="Z707" i="11"/>
  <c r="F707" i="11"/>
  <c r="F747" i="11" s="1"/>
  <c r="F786" i="11" s="1"/>
  <c r="F825" i="11" s="1"/>
  <c r="F864" i="11" s="1"/>
  <c r="AE706" i="11"/>
  <c r="AC706" i="11"/>
  <c r="AA706" i="11"/>
  <c r="F706" i="11"/>
  <c r="F746" i="11" s="1"/>
  <c r="F785" i="11" s="1"/>
  <c r="F824" i="11" s="1"/>
  <c r="F863" i="11" s="1"/>
  <c r="F902" i="11" s="1"/>
  <c r="F941" i="11" s="1"/>
  <c r="F980" i="11" s="1"/>
  <c r="F1019" i="11" s="1"/>
  <c r="F1058" i="11" s="1"/>
  <c r="AE705" i="11"/>
  <c r="AC705" i="11"/>
  <c r="AA705" i="11"/>
  <c r="F705" i="11"/>
  <c r="F745" i="11" s="1"/>
  <c r="F784" i="11" s="1"/>
  <c r="F823" i="11" s="1"/>
  <c r="F862" i="11" s="1"/>
  <c r="F901" i="11" s="1"/>
  <c r="F940" i="11" s="1"/>
  <c r="F979" i="11" s="1"/>
  <c r="F1018" i="11" s="1"/>
  <c r="F1057" i="11" s="1"/>
  <c r="AE704" i="11"/>
  <c r="AC704" i="11"/>
  <c r="AA704" i="11"/>
  <c r="F704" i="11"/>
  <c r="F744" i="11" s="1"/>
  <c r="F783" i="11" s="1"/>
  <c r="F822" i="11" s="1"/>
  <c r="F861" i="11" s="1"/>
  <c r="F900" i="11" s="1"/>
  <c r="F939" i="11" s="1"/>
  <c r="F978" i="11" s="1"/>
  <c r="F1017" i="11" s="1"/>
  <c r="F1056" i="11" s="1"/>
  <c r="Q1056" i="11" s="1"/>
  <c r="AE703" i="11"/>
  <c r="AC703" i="11"/>
  <c r="AA703" i="11"/>
  <c r="F703" i="11"/>
  <c r="F743" i="11" s="1"/>
  <c r="F782" i="11" s="1"/>
  <c r="F821" i="11" s="1"/>
  <c r="K821" i="11" s="1"/>
  <c r="V700" i="11"/>
  <c r="G698" i="11"/>
  <c r="G29" i="11" s="1"/>
  <c r="S697" i="11"/>
  <c r="R697" i="11"/>
  <c r="Q697" i="11"/>
  <c r="P697" i="11"/>
  <c r="O697" i="11"/>
  <c r="N697" i="11"/>
  <c r="M697" i="11"/>
  <c r="L697" i="11"/>
  <c r="K697" i="11"/>
  <c r="J697" i="11"/>
  <c r="I697" i="11"/>
  <c r="H697" i="11"/>
  <c r="D692" i="11"/>
  <c r="V691" i="11"/>
  <c r="AF675" i="11"/>
  <c r="AD675" i="11"/>
  <c r="AB675" i="11"/>
  <c r="Z675" i="11"/>
  <c r="AF674" i="11"/>
  <c r="AD674" i="11"/>
  <c r="AB674" i="11"/>
  <c r="Z674" i="11"/>
  <c r="AF673" i="11"/>
  <c r="AD673" i="11"/>
  <c r="AB673" i="11"/>
  <c r="Z673" i="11"/>
  <c r="Z38" i="11" s="1"/>
  <c r="AF667" i="11"/>
  <c r="AD667" i="11"/>
  <c r="AB667" i="11"/>
  <c r="Z667" i="11"/>
  <c r="AF660" i="11"/>
  <c r="AD660" i="11"/>
  <c r="AB660" i="11"/>
  <c r="Z660" i="11"/>
  <c r="S652" i="11"/>
  <c r="R652" i="11"/>
  <c r="Q652" i="11"/>
  <c r="P652" i="11"/>
  <c r="O652" i="11"/>
  <c r="N652" i="11"/>
  <c r="M652" i="11"/>
  <c r="L652" i="11"/>
  <c r="K652" i="11"/>
  <c r="J652" i="11"/>
  <c r="I652" i="11"/>
  <c r="H652" i="11"/>
  <c r="G652" i="11"/>
  <c r="D652" i="11"/>
  <c r="V651" i="11"/>
  <c r="V650" i="11"/>
  <c r="Y1072" i="11" s="1"/>
  <c r="F647" i="11"/>
  <c r="D647" i="11"/>
  <c r="V646" i="11"/>
  <c r="Y1068" i="11" s="1"/>
  <c r="V645" i="11"/>
  <c r="Y1067" i="11" s="1"/>
  <c r="V644" i="11"/>
  <c r="V643" i="11"/>
  <c r="V642" i="11"/>
  <c r="Y1064" i="11" s="1"/>
  <c r="V639" i="11"/>
  <c r="V638" i="11"/>
  <c r="V635" i="11"/>
  <c r="V631" i="11"/>
  <c r="V629" i="11"/>
  <c r="V628" i="11"/>
  <c r="Y628" i="11" s="1"/>
  <c r="AA628" i="11" s="1"/>
  <c r="AC628" i="11" s="1"/>
  <c r="AE628" i="11" s="1"/>
  <c r="V627" i="11"/>
  <c r="V626" i="11"/>
  <c r="Y626" i="11" s="1"/>
  <c r="AA626" i="11" s="1"/>
  <c r="AC626" i="11" s="1"/>
  <c r="AE626" i="11" s="1"/>
  <c r="V624" i="11"/>
  <c r="Y624" i="11" s="1"/>
  <c r="AA624" i="11" s="1"/>
  <c r="AC624" i="11" s="1"/>
  <c r="AE624" i="11" s="1"/>
  <c r="V623" i="11"/>
  <c r="V622" i="11"/>
  <c r="Y622" i="11" s="1"/>
  <c r="AA622" i="11" s="1"/>
  <c r="AC622" i="11" s="1"/>
  <c r="AE622" i="11" s="1"/>
  <c r="V614" i="11"/>
  <c r="Y614" i="11" s="1"/>
  <c r="V612" i="11"/>
  <c r="Y612" i="11" s="1"/>
  <c r="M1056" i="11"/>
  <c r="V611" i="11"/>
  <c r="F608" i="11"/>
  <c r="D608" i="11"/>
  <c r="V607" i="11"/>
  <c r="V606" i="11"/>
  <c r="V605" i="11"/>
  <c r="V604" i="11"/>
  <c r="V603" i="11"/>
  <c r="V602" i="11"/>
  <c r="V601" i="11"/>
  <c r="V600" i="11"/>
  <c r="V599" i="11"/>
  <c r="V598" i="11"/>
  <c r="V597" i="11"/>
  <c r="V596" i="11"/>
  <c r="V595" i="11"/>
  <c r="V594" i="11"/>
  <c r="V593" i="11"/>
  <c r="V592" i="11"/>
  <c r="V591" i="11"/>
  <c r="V590" i="11"/>
  <c r="V589" i="11"/>
  <c r="V588" i="11"/>
  <c r="Y588" i="11" s="1"/>
  <c r="AA588" i="11" s="1"/>
  <c r="AC588" i="11" s="1"/>
  <c r="AE588" i="11" s="1"/>
  <c r="V587" i="11"/>
  <c r="V586" i="11"/>
  <c r="Y586" i="11" s="1"/>
  <c r="AA586" i="11" s="1"/>
  <c r="AC586" i="11" s="1"/>
  <c r="AE586" i="11" s="1"/>
  <c r="V585" i="11"/>
  <c r="V584" i="11"/>
  <c r="Y584" i="11" s="1"/>
  <c r="AA584" i="11" s="1"/>
  <c r="AC584" i="11" s="1"/>
  <c r="AE584" i="11" s="1"/>
  <c r="V583" i="11"/>
  <c r="V582" i="11"/>
  <c r="Y582" i="11" s="1"/>
  <c r="AA582" i="11" s="1"/>
  <c r="AC582" i="11" s="1"/>
  <c r="AE582" i="11" s="1"/>
  <c r="V581" i="11"/>
  <c r="V580" i="11"/>
  <c r="Y580" i="11" s="1"/>
  <c r="AA580" i="11" s="1"/>
  <c r="AC580" i="11" s="1"/>
  <c r="AE580" i="11" s="1"/>
  <c r="V579" i="11"/>
  <c r="V578" i="11"/>
  <c r="Y578" i="11" s="1"/>
  <c r="AA578" i="11" s="1"/>
  <c r="AC578" i="11" s="1"/>
  <c r="AE578" i="11" s="1"/>
  <c r="V577" i="11"/>
  <c r="V576" i="11"/>
  <c r="Y576" i="11" s="1"/>
  <c r="AA576" i="11" s="1"/>
  <c r="AC576" i="11" s="1"/>
  <c r="AE576" i="11" s="1"/>
  <c r="V575" i="11"/>
  <c r="V574" i="11"/>
  <c r="Y574" i="11" s="1"/>
  <c r="V573" i="11"/>
  <c r="V572" i="11"/>
  <c r="F569" i="11"/>
  <c r="D569" i="11"/>
  <c r="V568" i="11"/>
  <c r="Y989" i="11" s="1"/>
  <c r="V567" i="11"/>
  <c r="V566" i="11"/>
  <c r="V565" i="11"/>
  <c r="Y986" i="11" s="1"/>
  <c r="V564" i="11"/>
  <c r="V563" i="11"/>
  <c r="Y984" i="11" s="1"/>
  <c r="V562" i="11"/>
  <c r="V561" i="11"/>
  <c r="Y982" i="11" s="1"/>
  <c r="V560" i="11"/>
  <c r="V559" i="11"/>
  <c r="Y980" i="11" s="1"/>
  <c r="V558" i="11"/>
  <c r="V557" i="11"/>
  <c r="Y978" i="11" s="1"/>
  <c r="V556" i="11"/>
  <c r="V555" i="11"/>
  <c r="V554" i="11"/>
  <c r="V553" i="11"/>
  <c r="V552" i="11"/>
  <c r="V551" i="11"/>
  <c r="V550" i="11"/>
  <c r="V549" i="11"/>
  <c r="Y549" i="11" s="1"/>
  <c r="AA549" i="11" s="1"/>
  <c r="AC549" i="11" s="1"/>
  <c r="AE549" i="11" s="1"/>
  <c r="V548" i="11"/>
  <c r="V547" i="11"/>
  <c r="Y547" i="11" s="1"/>
  <c r="AA547" i="11" s="1"/>
  <c r="AC547" i="11" s="1"/>
  <c r="AE547" i="11" s="1"/>
  <c r="L991" i="11"/>
  <c r="V546" i="11"/>
  <c r="V545" i="11"/>
  <c r="Y545" i="11" s="1"/>
  <c r="AA545" i="11" s="1"/>
  <c r="AC545" i="11" s="1"/>
  <c r="AE545" i="11" s="1"/>
  <c r="V544" i="11"/>
  <c r="V543" i="11"/>
  <c r="Y543" i="11" s="1"/>
  <c r="AA543" i="11" s="1"/>
  <c r="AC543" i="11" s="1"/>
  <c r="AE543" i="11" s="1"/>
  <c r="V542" i="11"/>
  <c r="V541" i="11"/>
  <c r="Y541" i="11" s="1"/>
  <c r="AA541" i="11" s="1"/>
  <c r="AC541" i="11" s="1"/>
  <c r="AE541" i="11" s="1"/>
  <c r="V540" i="11"/>
  <c r="V539" i="11"/>
  <c r="Y539" i="11" s="1"/>
  <c r="AA539" i="11" s="1"/>
  <c r="AC539" i="11" s="1"/>
  <c r="AE539" i="11" s="1"/>
  <c r="V538" i="11"/>
  <c r="Y538" i="11" s="1"/>
  <c r="AA538" i="11" s="1"/>
  <c r="AC538" i="11" s="1"/>
  <c r="AE538" i="11" s="1"/>
  <c r="V537" i="11"/>
  <c r="Y537" i="11" s="1"/>
  <c r="AA537" i="11" s="1"/>
  <c r="AC537" i="11" s="1"/>
  <c r="AE537" i="11" s="1"/>
  <c r="V536" i="11"/>
  <c r="Y536" i="11" s="1"/>
  <c r="V535" i="11"/>
  <c r="Y535" i="11" s="1"/>
  <c r="V534" i="11"/>
  <c r="Y534" i="11" s="1"/>
  <c r="V533" i="11"/>
  <c r="Y533" i="11" s="1"/>
  <c r="Y954" i="11" s="1"/>
  <c r="F529" i="11"/>
  <c r="D529" i="11"/>
  <c r="V528" i="11"/>
  <c r="V527" i="11"/>
  <c r="Y948" i="11" s="1"/>
  <c r="V526" i="11"/>
  <c r="V525" i="11"/>
  <c r="V524" i="11"/>
  <c r="V523" i="11"/>
  <c r="V522" i="11"/>
  <c r="V521" i="11"/>
  <c r="V520" i="11"/>
  <c r="V519" i="11"/>
  <c r="V518" i="11"/>
  <c r="V517" i="11"/>
  <c r="V516" i="11"/>
  <c r="V515" i="11"/>
  <c r="V514" i="11"/>
  <c r="V513" i="11"/>
  <c r="V512" i="11"/>
  <c r="V511" i="11"/>
  <c r="V510" i="11"/>
  <c r="Y510" i="11" s="1"/>
  <c r="AA510" i="11" s="1"/>
  <c r="AC510" i="11" s="1"/>
  <c r="AE510" i="11" s="1"/>
  <c r="V509" i="11"/>
  <c r="V508" i="11"/>
  <c r="Y508" i="11" s="1"/>
  <c r="AA508" i="11" s="1"/>
  <c r="AC508" i="11" s="1"/>
  <c r="AE508" i="11" s="1"/>
  <c r="V507" i="11"/>
  <c r="V506" i="11"/>
  <c r="Y506" i="11" s="1"/>
  <c r="AA506" i="11" s="1"/>
  <c r="AC506" i="11" s="1"/>
  <c r="AE506" i="11" s="1"/>
  <c r="V505" i="11"/>
  <c r="V504" i="11"/>
  <c r="Y504" i="11" s="1"/>
  <c r="AA504" i="11" s="1"/>
  <c r="AC504" i="11" s="1"/>
  <c r="AE504" i="11" s="1"/>
  <c r="V503" i="11"/>
  <c r="V502" i="11"/>
  <c r="Y502" i="11" s="1"/>
  <c r="AA502" i="11" s="1"/>
  <c r="V501" i="11"/>
  <c r="V500" i="11"/>
  <c r="Y500" i="11" s="1"/>
  <c r="AA500" i="11" s="1"/>
  <c r="AC500" i="11" s="1"/>
  <c r="AE500" i="11" s="1"/>
  <c r="V499" i="11"/>
  <c r="V498" i="11"/>
  <c r="Y498" i="11" s="1"/>
  <c r="AA498" i="11" s="1"/>
  <c r="AC498" i="11" s="1"/>
  <c r="AE498" i="11" s="1"/>
  <c r="V497" i="11"/>
  <c r="V495" i="11"/>
  <c r="V494" i="11"/>
  <c r="Y494" i="11" s="1"/>
  <c r="V493" i="11"/>
  <c r="F490" i="11"/>
  <c r="D490" i="11"/>
  <c r="V489" i="11"/>
  <c r="V488" i="11"/>
  <c r="V487" i="11"/>
  <c r="V486" i="11"/>
  <c r="V485" i="11"/>
  <c r="V484" i="11"/>
  <c r="V483" i="11"/>
  <c r="V482" i="11"/>
  <c r="V481" i="11"/>
  <c r="V480" i="11"/>
  <c r="V479" i="11"/>
  <c r="V478" i="11"/>
  <c r="V477" i="11"/>
  <c r="V476" i="11"/>
  <c r="V475" i="11"/>
  <c r="V474" i="11"/>
  <c r="V473" i="11"/>
  <c r="V472" i="11"/>
  <c r="V471" i="11"/>
  <c r="V470" i="11"/>
  <c r="Y470" i="11" s="1"/>
  <c r="AA470" i="11" s="1"/>
  <c r="AC470" i="11" s="1"/>
  <c r="AE470" i="11" s="1"/>
  <c r="V469" i="11"/>
  <c r="V468" i="11"/>
  <c r="Y468" i="11" s="1"/>
  <c r="AA468" i="11" s="1"/>
  <c r="AC468" i="11" s="1"/>
  <c r="AE468" i="11" s="1"/>
  <c r="V467" i="11"/>
  <c r="V466" i="11"/>
  <c r="Y466" i="11" s="1"/>
  <c r="AA466" i="11" s="1"/>
  <c r="AC466" i="11" s="1"/>
  <c r="AE466" i="11" s="1"/>
  <c r="V465" i="11"/>
  <c r="V464" i="11"/>
  <c r="Y464" i="11" s="1"/>
  <c r="AA464" i="11" s="1"/>
  <c r="AC464" i="11" s="1"/>
  <c r="AE464" i="11" s="1"/>
  <c r="V463" i="11"/>
  <c r="V462" i="11"/>
  <c r="Y462" i="11" s="1"/>
  <c r="AA462" i="11" s="1"/>
  <c r="AC462" i="11" s="1"/>
  <c r="AE462" i="11" s="1"/>
  <c r="V461" i="11"/>
  <c r="V460" i="11"/>
  <c r="Y460" i="11" s="1"/>
  <c r="AA460" i="11" s="1"/>
  <c r="AC460" i="11" s="1"/>
  <c r="AE460" i="11" s="1"/>
  <c r="V459" i="11"/>
  <c r="V458" i="11"/>
  <c r="Y458" i="11" s="1"/>
  <c r="V457" i="11"/>
  <c r="V456" i="11"/>
  <c r="Y456" i="11" s="1"/>
  <c r="M901" i="11"/>
  <c r="V455" i="11"/>
  <c r="F451" i="11"/>
  <c r="D451" i="11"/>
  <c r="V450" i="11"/>
  <c r="V449" i="11"/>
  <c r="V448" i="11"/>
  <c r="V447" i="11"/>
  <c r="V446" i="11"/>
  <c r="V445" i="11"/>
  <c r="V444" i="11"/>
  <c r="V443" i="11"/>
  <c r="V442" i="11"/>
  <c r="V441" i="11"/>
  <c r="V440" i="11"/>
  <c r="V439" i="11"/>
  <c r="V438" i="11"/>
  <c r="V437" i="11"/>
  <c r="V436" i="11"/>
  <c r="V435" i="11"/>
  <c r="V434" i="11"/>
  <c r="V433" i="11"/>
  <c r="V432" i="11"/>
  <c r="Y432" i="11" s="1"/>
  <c r="AA432" i="11" s="1"/>
  <c r="AC432" i="11" s="1"/>
  <c r="AE432" i="11" s="1"/>
  <c r="V431" i="11"/>
  <c r="V430" i="11"/>
  <c r="Y430" i="11" s="1"/>
  <c r="AA430" i="11" s="1"/>
  <c r="AC430" i="11" s="1"/>
  <c r="AE430" i="11" s="1"/>
  <c r="V429" i="11"/>
  <c r="V428" i="11"/>
  <c r="Y428" i="11" s="1"/>
  <c r="AA428" i="11" s="1"/>
  <c r="AC428" i="11" s="1"/>
  <c r="AE428" i="11" s="1"/>
  <c r="V427" i="11"/>
  <c r="V426" i="11"/>
  <c r="Y426" i="11" s="1"/>
  <c r="AA426" i="11" s="1"/>
  <c r="AC426" i="11" s="1"/>
  <c r="AE426" i="11" s="1"/>
  <c r="V425" i="11"/>
  <c r="V424" i="11"/>
  <c r="Y424" i="11" s="1"/>
  <c r="AA424" i="11" s="1"/>
  <c r="V423" i="11"/>
  <c r="V422" i="11"/>
  <c r="Y422" i="11" s="1"/>
  <c r="AA422" i="11" s="1"/>
  <c r="AC422" i="11" s="1"/>
  <c r="AE422" i="11" s="1"/>
  <c r="V421" i="11"/>
  <c r="V420" i="11"/>
  <c r="Y420" i="11" s="1"/>
  <c r="V419" i="11"/>
  <c r="V418" i="11"/>
  <c r="Y418" i="11" s="1"/>
  <c r="V417" i="11"/>
  <c r="V416" i="11"/>
  <c r="Y416" i="11" s="1"/>
  <c r="F411" i="11"/>
  <c r="D411" i="11"/>
  <c r="V410" i="11"/>
  <c r="V409" i="11"/>
  <c r="V408" i="11"/>
  <c r="Q854" i="11"/>
  <c r="V407" i="11"/>
  <c r="V406" i="11"/>
  <c r="V405" i="11"/>
  <c r="V404" i="11"/>
  <c r="V403" i="11"/>
  <c r="V402" i="11"/>
  <c r="V401" i="11"/>
  <c r="V400" i="11"/>
  <c r="V399" i="11"/>
  <c r="V398" i="11"/>
  <c r="V397" i="11"/>
  <c r="V396" i="11"/>
  <c r="V395" i="11"/>
  <c r="V394" i="11"/>
  <c r="V393" i="11"/>
  <c r="V392" i="11"/>
  <c r="V391" i="11"/>
  <c r="Y391" i="11" s="1"/>
  <c r="AA391" i="11" s="1"/>
  <c r="AC391" i="11" s="1"/>
  <c r="AE391" i="11" s="1"/>
  <c r="V390" i="11"/>
  <c r="V389" i="11"/>
  <c r="Y389" i="11" s="1"/>
  <c r="AA389" i="11" s="1"/>
  <c r="AC389" i="11" s="1"/>
  <c r="AE389" i="11" s="1"/>
  <c r="V388" i="11"/>
  <c r="V387" i="11"/>
  <c r="Y387" i="11" s="1"/>
  <c r="AA387" i="11" s="1"/>
  <c r="AC387" i="11" s="1"/>
  <c r="AE387" i="11" s="1"/>
  <c r="V386" i="11"/>
  <c r="V385" i="11"/>
  <c r="Y385" i="11" s="1"/>
  <c r="AA385" i="11" s="1"/>
  <c r="AC385" i="11" s="1"/>
  <c r="AE385" i="11" s="1"/>
  <c r="V384" i="11"/>
  <c r="V383" i="11"/>
  <c r="Y383" i="11" s="1"/>
  <c r="AA383" i="11" s="1"/>
  <c r="AC383" i="11" s="1"/>
  <c r="AE383" i="11" s="1"/>
  <c r="V382" i="11"/>
  <c r="V381" i="11"/>
  <c r="Y381" i="11" s="1"/>
  <c r="V380" i="11"/>
  <c r="V379" i="11"/>
  <c r="Y379" i="11" s="1"/>
  <c r="V378" i="11"/>
  <c r="V377" i="11"/>
  <c r="Y377" i="11" s="1"/>
  <c r="S823" i="11"/>
  <c r="V376" i="11"/>
  <c r="V375" i="11"/>
  <c r="Y375" i="11" s="1"/>
  <c r="F372" i="11"/>
  <c r="D372" i="11"/>
  <c r="V371" i="11"/>
  <c r="V370" i="11"/>
  <c r="O255" i="11"/>
  <c r="K255" i="11"/>
  <c r="G255" i="11"/>
  <c r="V369" i="11"/>
  <c r="Q254" i="11"/>
  <c r="M254" i="11"/>
  <c r="V368" i="11"/>
  <c r="L253" i="11"/>
  <c r="V367" i="11"/>
  <c r="V366" i="11"/>
  <c r="V365" i="11"/>
  <c r="V364" i="11"/>
  <c r="V363" i="11"/>
  <c r="V362" i="11"/>
  <c r="V361" i="11"/>
  <c r="V360" i="11"/>
  <c r="V359" i="11"/>
  <c r="V358" i="11"/>
  <c r="V357" i="11"/>
  <c r="V356" i="11"/>
  <c r="V355" i="11"/>
  <c r="V354" i="11"/>
  <c r="V353" i="11"/>
  <c r="Y353" i="11" s="1"/>
  <c r="V352" i="11"/>
  <c r="V351" i="11"/>
  <c r="Y351" i="11" s="1"/>
  <c r="AA351" i="11" s="1"/>
  <c r="AC351" i="11" s="1"/>
  <c r="AE351" i="11" s="1"/>
  <c r="V350" i="11"/>
  <c r="S796" i="11"/>
  <c r="K796" i="11"/>
  <c r="V349" i="11"/>
  <c r="Y349" i="11" s="1"/>
  <c r="AA349" i="11" s="1"/>
  <c r="AC349" i="11" s="1"/>
  <c r="V348" i="11"/>
  <c r="V347" i="11"/>
  <c r="Y347" i="11" s="1"/>
  <c r="AA347" i="11" s="1"/>
  <c r="AC347" i="11" s="1"/>
  <c r="AE347" i="11" s="1"/>
  <c r="V346" i="11"/>
  <c r="V345" i="11"/>
  <c r="Y345" i="11" s="1"/>
  <c r="AA345" i="11" s="1"/>
  <c r="AC345" i="11" s="1"/>
  <c r="V344" i="11"/>
  <c r="V343" i="11"/>
  <c r="Y343" i="11" s="1"/>
  <c r="AA343" i="11" s="1"/>
  <c r="AC343" i="11" s="1"/>
  <c r="AE343" i="11" s="1"/>
  <c r="V342" i="11"/>
  <c r="V341" i="11"/>
  <c r="Y341" i="11" s="1"/>
  <c r="V340" i="11"/>
  <c r="V339" i="11"/>
  <c r="Y339" i="11" s="1"/>
  <c r="V338" i="11"/>
  <c r="V337" i="11"/>
  <c r="Y337" i="11" s="1"/>
  <c r="D333" i="11"/>
  <c r="V331" i="11"/>
  <c r="Y751" i="11" s="1"/>
  <c r="V330" i="11"/>
  <c r="Y750" i="11" s="1"/>
  <c r="E243" i="11"/>
  <c r="E761" i="11"/>
  <c r="F295" i="11"/>
  <c r="D295" i="11"/>
  <c r="S294" i="11"/>
  <c r="S293" i="11"/>
  <c r="V293" i="11" s="1"/>
  <c r="S292" i="11"/>
  <c r="H253" i="11"/>
  <c r="S291" i="11"/>
  <c r="V291" i="11" s="1"/>
  <c r="Y711" i="11" s="1"/>
  <c r="S290" i="11"/>
  <c r="J733" i="11"/>
  <c r="S289" i="11"/>
  <c r="S288" i="11"/>
  <c r="V288" i="11" s="1"/>
  <c r="Y708" i="11" s="1"/>
  <c r="S287" i="11"/>
  <c r="S286" i="11"/>
  <c r="V286" i="11" s="1"/>
  <c r="S285" i="11"/>
  <c r="V285" i="11" s="1"/>
  <c r="Y705" i="11" s="1"/>
  <c r="S284" i="11"/>
  <c r="V284" i="11" s="1"/>
  <c r="Y704" i="11" s="1"/>
  <c r="S283" i="11"/>
  <c r="V283" i="11" s="1"/>
  <c r="Y703" i="11" s="1"/>
  <c r="S282" i="11"/>
  <c r="V282" i="11" s="1"/>
  <c r="J725" i="11"/>
  <c r="S280" i="11"/>
  <c r="V280" i="11" s="1"/>
  <c r="S278" i="11"/>
  <c r="V278" i="11" s="1"/>
  <c r="E721" i="11"/>
  <c r="S277" i="11"/>
  <c r="S276" i="11"/>
  <c r="V276" i="11" s="1"/>
  <c r="S275" i="11"/>
  <c r="V275" i="11" s="1"/>
  <c r="Y275" i="11" s="1"/>
  <c r="AA275" i="11" s="1"/>
  <c r="S274" i="11"/>
  <c r="V274" i="11" s="1"/>
  <c r="Y274" i="11" s="1"/>
  <c r="AA274" i="11" s="1"/>
  <c r="E235" i="11"/>
  <c r="S273" i="11"/>
  <c r="V273" i="11" s="1"/>
  <c r="Y273" i="11" s="1"/>
  <c r="AA273" i="11" s="1"/>
  <c r="AC273" i="11" s="1"/>
  <c r="AE273" i="11" s="1"/>
  <c r="G234" i="11"/>
  <c r="S272" i="11"/>
  <c r="V272" i="11" s="1"/>
  <c r="Y272" i="11" s="1"/>
  <c r="AA272" i="11" s="1"/>
  <c r="S269" i="11"/>
  <c r="V269" i="11" s="1"/>
  <c r="Y269" i="11" s="1"/>
  <c r="AA269" i="11" s="1"/>
  <c r="S266" i="11"/>
  <c r="V266" i="11" s="1"/>
  <c r="S265" i="11"/>
  <c r="E707" i="11"/>
  <c r="E703" i="11"/>
  <c r="D256" i="11"/>
  <c r="R255" i="11"/>
  <c r="Q255" i="11"/>
  <c r="P255" i="11"/>
  <c r="N255" i="11"/>
  <c r="M255" i="11"/>
  <c r="L255" i="11"/>
  <c r="J255" i="11"/>
  <c r="H255" i="11"/>
  <c r="E255" i="11"/>
  <c r="P253" i="11"/>
  <c r="AE252" i="11"/>
  <c r="AC252" i="11"/>
  <c r="AA252" i="11"/>
  <c r="Y252" i="11"/>
  <c r="AE251" i="11"/>
  <c r="AC251" i="11"/>
  <c r="AA251" i="11"/>
  <c r="Y251" i="11"/>
  <c r="E251" i="11"/>
  <c r="G249" i="11"/>
  <c r="E241" i="11"/>
  <c r="E239" i="11"/>
  <c r="E233" i="11"/>
  <c r="E231" i="11"/>
  <c r="E229" i="11"/>
  <c r="E223" i="11"/>
  <c r="D211" i="11"/>
  <c r="E192" i="11"/>
  <c r="AE190" i="11"/>
  <c r="AC190" i="11"/>
  <c r="AA190" i="11"/>
  <c r="Y190" i="11"/>
  <c r="R190" i="11"/>
  <c r="G187" i="11"/>
  <c r="H184" i="11" s="1"/>
  <c r="H187" i="11" s="1"/>
  <c r="E187" i="11"/>
  <c r="E179" i="11" s="1"/>
  <c r="E181" i="11" s="1"/>
  <c r="G182" i="11"/>
  <c r="AE179" i="11"/>
  <c r="AC179" i="11"/>
  <c r="AA179" i="11"/>
  <c r="Y179" i="11"/>
  <c r="H178" i="11"/>
  <c r="G173" i="11"/>
  <c r="G161" i="11" s="1"/>
  <c r="G162" i="11" s="1"/>
  <c r="E173" i="11"/>
  <c r="G168" i="11"/>
  <c r="H165" i="11" s="1"/>
  <c r="E168" i="11"/>
  <c r="S166" i="11"/>
  <c r="S172" i="11" s="1"/>
  <c r="R166" i="11"/>
  <c r="Q166" i="11"/>
  <c r="P166" i="11"/>
  <c r="O166" i="11"/>
  <c r="M166" i="11"/>
  <c r="K166" i="11"/>
  <c r="AE160" i="11"/>
  <c r="AC160" i="11"/>
  <c r="AA160" i="11"/>
  <c r="Y160" i="11"/>
  <c r="E160" i="11"/>
  <c r="E162" i="11" s="1"/>
  <c r="H159" i="11"/>
  <c r="I159" i="11" s="1"/>
  <c r="D152" i="11"/>
  <c r="V146" i="11"/>
  <c r="AH146" i="11" s="1"/>
  <c r="P144" i="11"/>
  <c r="O144" i="11"/>
  <c r="N144" i="11"/>
  <c r="M144" i="11"/>
  <c r="L144" i="11"/>
  <c r="K144" i="11"/>
  <c r="J144" i="11"/>
  <c r="I144" i="11"/>
  <c r="H144" i="11"/>
  <c r="G144" i="11"/>
  <c r="E144" i="11"/>
  <c r="D144" i="11"/>
  <c r="V143" i="11"/>
  <c r="AH143" i="11" s="1"/>
  <c r="AE138" i="11"/>
  <c r="AC138" i="11"/>
  <c r="AA138" i="11"/>
  <c r="S138" i="11"/>
  <c r="R138" i="11"/>
  <c r="Q138" i="11"/>
  <c r="P138" i="11"/>
  <c r="O138" i="11"/>
  <c r="N138" i="11"/>
  <c r="M138" i="11"/>
  <c r="K138" i="11"/>
  <c r="H138" i="11"/>
  <c r="G138" i="11"/>
  <c r="E138" i="11"/>
  <c r="D138" i="11"/>
  <c r="V137" i="11"/>
  <c r="AH137" i="11" s="1"/>
  <c r="Y136" i="11"/>
  <c r="Y138" i="11" s="1"/>
  <c r="N166" i="11"/>
  <c r="L166" i="11"/>
  <c r="J166" i="11"/>
  <c r="I138" i="11"/>
  <c r="H160" i="11"/>
  <c r="E133" i="11"/>
  <c r="D133" i="11"/>
  <c r="AE131" i="11"/>
  <c r="AC131" i="11"/>
  <c r="AA131" i="11"/>
  <c r="Y131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V129" i="11"/>
  <c r="AH129" i="11" s="1"/>
  <c r="G129" i="11"/>
  <c r="V128" i="11"/>
  <c r="AH128" i="11" s="1"/>
  <c r="V125" i="11"/>
  <c r="AH125" i="11" s="1"/>
  <c r="G125" i="11"/>
  <c r="E117" i="11"/>
  <c r="D117" i="11"/>
  <c r="G115" i="11"/>
  <c r="V114" i="11"/>
  <c r="AH114" i="11" s="1"/>
  <c r="H113" i="11"/>
  <c r="E110" i="11"/>
  <c r="D110" i="11"/>
  <c r="V109" i="11"/>
  <c r="AH109" i="11" s="1"/>
  <c r="O108" i="11"/>
  <c r="P108" i="11" s="1"/>
  <c r="G108" i="11"/>
  <c r="H108" i="11" s="1"/>
  <c r="I108" i="11" s="1"/>
  <c r="J108" i="11" s="1"/>
  <c r="K108" i="11" s="1"/>
  <c r="L108" i="11" s="1"/>
  <c r="G107" i="11"/>
  <c r="H107" i="11" s="1"/>
  <c r="I107" i="11" s="1"/>
  <c r="J107" i="11" s="1"/>
  <c r="K107" i="11" s="1"/>
  <c r="L107" i="11" s="1"/>
  <c r="M107" i="11" s="1"/>
  <c r="N107" i="11" s="1"/>
  <c r="O107" i="11" s="1"/>
  <c r="P107" i="11" s="1"/>
  <c r="Q107" i="11" s="1"/>
  <c r="R107" i="11" s="1"/>
  <c r="S107" i="11" s="1"/>
  <c r="V107" i="11" s="1"/>
  <c r="V106" i="11"/>
  <c r="AH106" i="11" s="1"/>
  <c r="G104" i="11"/>
  <c r="H104" i="11" s="1"/>
  <c r="I104" i="11" s="1"/>
  <c r="J104" i="11" s="1"/>
  <c r="K104" i="11" s="1"/>
  <c r="L104" i="11" s="1"/>
  <c r="M104" i="11" s="1"/>
  <c r="N104" i="11" s="1"/>
  <c r="H103" i="11"/>
  <c r="E98" i="11"/>
  <c r="D98" i="11"/>
  <c r="H97" i="11"/>
  <c r="I97" i="11" s="1"/>
  <c r="J97" i="11" s="1"/>
  <c r="K97" i="11" s="1"/>
  <c r="L97" i="11" s="1"/>
  <c r="M97" i="11" s="1"/>
  <c r="N97" i="11" s="1"/>
  <c r="H96" i="11"/>
  <c r="I96" i="11" s="1"/>
  <c r="J96" i="11" s="1"/>
  <c r="K96" i="11" s="1"/>
  <c r="G93" i="11"/>
  <c r="G92" i="11"/>
  <c r="H92" i="11" s="1"/>
  <c r="H91" i="11"/>
  <c r="I91" i="11" s="1"/>
  <c r="J91" i="11" s="1"/>
  <c r="K91" i="11" s="1"/>
  <c r="L91" i="11" s="1"/>
  <c r="M91" i="11" s="1"/>
  <c r="N91" i="11" s="1"/>
  <c r="O91" i="11" s="1"/>
  <c r="P91" i="11" s="1"/>
  <c r="Q91" i="11" s="1"/>
  <c r="R91" i="11" s="1"/>
  <c r="S91" i="11" s="1"/>
  <c r="V91" i="11" s="1"/>
  <c r="AH91" i="11" s="1"/>
  <c r="H90" i="11"/>
  <c r="I90" i="11" s="1"/>
  <c r="J90" i="11" s="1"/>
  <c r="K90" i="11" s="1"/>
  <c r="L90" i="11" s="1"/>
  <c r="M90" i="11" s="1"/>
  <c r="N90" i="11" s="1"/>
  <c r="V89" i="11"/>
  <c r="AH89" i="11" s="1"/>
  <c r="E76" i="11"/>
  <c r="D76" i="11"/>
  <c r="G75" i="11"/>
  <c r="G74" i="11"/>
  <c r="AH73" i="11"/>
  <c r="G73" i="11"/>
  <c r="I72" i="11"/>
  <c r="G72" i="11"/>
  <c r="G71" i="11"/>
  <c r="B71" i="11"/>
  <c r="B76" i="11" s="1"/>
  <c r="Y70" i="11"/>
  <c r="G70" i="11"/>
  <c r="G69" i="11"/>
  <c r="G126" i="11" s="1"/>
  <c r="E64" i="11"/>
  <c r="D64" i="11"/>
  <c r="G62" i="11"/>
  <c r="B62" i="11"/>
  <c r="G61" i="11"/>
  <c r="G60" i="11"/>
  <c r="G59" i="11"/>
  <c r="S190" i="11"/>
  <c r="O190" i="11"/>
  <c r="N190" i="11"/>
  <c r="L190" i="11"/>
  <c r="K190" i="11"/>
  <c r="J190" i="11"/>
  <c r="G57" i="11"/>
  <c r="G192" i="11" s="1"/>
  <c r="H189" i="11" s="1"/>
  <c r="G56" i="11"/>
  <c r="G55" i="11"/>
  <c r="G54" i="11"/>
  <c r="G53" i="11"/>
  <c r="B53" i="11"/>
  <c r="G52" i="11"/>
  <c r="G174" i="11" s="1"/>
  <c r="G95" i="11"/>
  <c r="G51" i="11"/>
  <c r="G50" i="11"/>
  <c r="G49" i="11"/>
  <c r="B49" i="11"/>
  <c r="G48" i="11"/>
  <c r="G47" i="11"/>
  <c r="G46" i="11"/>
  <c r="G45" i="11"/>
  <c r="R131" i="11"/>
  <c r="P131" i="11"/>
  <c r="N131" i="11"/>
  <c r="L131" i="11"/>
  <c r="J131" i="11"/>
  <c r="G43" i="11"/>
  <c r="B43" i="11"/>
  <c r="E40" i="11"/>
  <c r="D40" i="11"/>
  <c r="B40" i="11"/>
  <c r="G88" i="11"/>
  <c r="E30" i="11"/>
  <c r="E28" i="11" s="1"/>
  <c r="D28" i="11"/>
  <c r="D30" i="11" s="1"/>
  <c r="AE25" i="11"/>
  <c r="AC25" i="11"/>
  <c r="AA25" i="11"/>
  <c r="Y25" i="11"/>
  <c r="AE24" i="11"/>
  <c r="AC24" i="11"/>
  <c r="AA24" i="11"/>
  <c r="Y24" i="11"/>
  <c r="V23" i="11"/>
  <c r="AE20" i="11"/>
  <c r="AC20" i="11"/>
  <c r="AA20" i="11"/>
  <c r="Y20" i="11"/>
  <c r="AE19" i="11"/>
  <c r="AC19" i="11"/>
  <c r="AA19" i="11"/>
  <c r="Y19" i="11"/>
  <c r="S14" i="11"/>
  <c r="V14" i="11" s="1"/>
  <c r="R14" i="11"/>
  <c r="Q14" i="11"/>
  <c r="P14" i="11"/>
  <c r="O14" i="11"/>
  <c r="N14" i="11"/>
  <c r="M14" i="11"/>
  <c r="L14" i="11"/>
  <c r="K14" i="11"/>
  <c r="J14" i="11"/>
  <c r="I14" i="11"/>
  <c r="H14" i="11"/>
  <c r="G14" i="11"/>
  <c r="E14" i="11"/>
  <c r="F13" i="11"/>
  <c r="D13" i="11"/>
  <c r="D15" i="11" s="1"/>
  <c r="B13" i="11"/>
  <c r="AE12" i="11"/>
  <c r="AC12" i="11"/>
  <c r="AA12" i="11"/>
  <c r="Y12" i="11"/>
  <c r="AE11" i="11"/>
  <c r="AC11" i="11"/>
  <c r="AA11" i="11"/>
  <c r="Y11" i="11"/>
  <c r="AE10" i="11"/>
  <c r="AC10" i="11"/>
  <c r="AA10" i="11"/>
  <c r="Y10" i="11"/>
  <c r="AE9" i="11"/>
  <c r="AC9" i="11"/>
  <c r="AA9" i="11"/>
  <c r="Y9" i="11"/>
  <c r="AE8" i="11"/>
  <c r="AC8" i="11"/>
  <c r="AA8" i="11"/>
  <c r="Y8" i="11"/>
  <c r="X8" i="11"/>
  <c r="AE7" i="11"/>
  <c r="AC7" i="11"/>
  <c r="AA7" i="11"/>
  <c r="Y7" i="11"/>
  <c r="AE6" i="11"/>
  <c r="AC6" i="11"/>
  <c r="AA6" i="11"/>
  <c r="Y6" i="11"/>
  <c r="S822" i="11" l="1"/>
  <c r="E729" i="11"/>
  <c r="M784" i="11"/>
  <c r="K823" i="11"/>
  <c r="P979" i="11"/>
  <c r="I696" i="11"/>
  <c r="I698" i="11" s="1"/>
  <c r="I29" i="11" s="1"/>
  <c r="M696" i="11"/>
  <c r="M698" i="11" s="1"/>
  <c r="M29" i="11" s="1"/>
  <c r="Q696" i="11"/>
  <c r="Q698" i="11" s="1"/>
  <c r="Q29" i="11" s="1"/>
  <c r="N721" i="11"/>
  <c r="R725" i="11"/>
  <c r="M861" i="11"/>
  <c r="L913" i="11"/>
  <c r="H979" i="11"/>
  <c r="N723" i="11"/>
  <c r="J735" i="11"/>
  <c r="E768" i="11"/>
  <c r="E715" i="11"/>
  <c r="L720" i="11"/>
  <c r="E727" i="11"/>
  <c r="H732" i="11"/>
  <c r="E755" i="11"/>
  <c r="H775" i="11"/>
  <c r="E723" i="11"/>
  <c r="N727" i="11"/>
  <c r="E712" i="11"/>
  <c r="E716" i="11"/>
  <c r="E720" i="11"/>
  <c r="P732" i="11"/>
  <c r="P734" i="11"/>
  <c r="K926" i="11"/>
  <c r="N809" i="11"/>
  <c r="H170" i="11"/>
  <c r="I170" i="11" s="1"/>
  <c r="M708" i="11"/>
  <c r="L726" i="11"/>
  <c r="M716" i="11"/>
  <c r="E722" i="11"/>
  <c r="E756" i="11"/>
  <c r="E772" i="11"/>
  <c r="Y988" i="11"/>
  <c r="Q108" i="11"/>
  <c r="M837" i="11"/>
  <c r="E705" i="11"/>
  <c r="E719" i="11"/>
  <c r="R721" i="11"/>
  <c r="J723" i="11"/>
  <c r="E725" i="11"/>
  <c r="J727" i="11"/>
  <c r="E731" i="11"/>
  <c r="I784" i="11"/>
  <c r="L785" i="11"/>
  <c r="S837" i="11"/>
  <c r="I861" i="11"/>
  <c r="Q901" i="11"/>
  <c r="H915" i="11"/>
  <c r="H991" i="11"/>
  <c r="I1017" i="11"/>
  <c r="I1032" i="11"/>
  <c r="I1056" i="11"/>
  <c r="Y1073" i="11"/>
  <c r="Y107" i="11"/>
  <c r="AA107" i="11" s="1"/>
  <c r="AC107" i="11" s="1"/>
  <c r="AE107" i="11" s="1"/>
  <c r="AH107" i="11"/>
  <c r="J721" i="11"/>
  <c r="R723" i="11"/>
  <c r="N725" i="11"/>
  <c r="R727" i="11"/>
  <c r="N733" i="11"/>
  <c r="S737" i="11"/>
  <c r="Q784" i="11"/>
  <c r="O796" i="11"/>
  <c r="O822" i="11"/>
  <c r="O823" i="11"/>
  <c r="K837" i="11"/>
  <c r="Q861" i="11"/>
  <c r="I901" i="11"/>
  <c r="L979" i="11"/>
  <c r="P991" i="11"/>
  <c r="D66" i="11"/>
  <c r="D83" i="11" s="1"/>
  <c r="G163" i="11"/>
  <c r="E710" i="11"/>
  <c r="E714" i="11"/>
  <c r="Q716" i="11"/>
  <c r="H720" i="11"/>
  <c r="P720" i="11"/>
  <c r="H726" i="11"/>
  <c r="P726" i="11"/>
  <c r="L732" i="11"/>
  <c r="E760" i="11"/>
  <c r="E762" i="11"/>
  <c r="E764" i="11"/>
  <c r="E770" i="11"/>
  <c r="H776" i="11"/>
  <c r="V255" i="11"/>
  <c r="F903" i="11"/>
  <c r="O903" i="11" s="1"/>
  <c r="E864" i="11"/>
  <c r="F951" i="11"/>
  <c r="F990" i="11" s="1"/>
  <c r="F1029" i="11" s="1"/>
  <c r="I1029" i="11" s="1"/>
  <c r="K912" i="11"/>
  <c r="O90" i="11"/>
  <c r="O104" i="11"/>
  <c r="AA533" i="11"/>
  <c r="AA954" i="11" s="1"/>
  <c r="N737" i="11"/>
  <c r="M776" i="11"/>
  <c r="I1092" i="11"/>
  <c r="I1105" i="11" s="1"/>
  <c r="O97" i="11"/>
  <c r="E174" i="11"/>
  <c r="AE671" i="11"/>
  <c r="M775" i="11"/>
  <c r="R696" i="11"/>
  <c r="R698" i="11" s="1"/>
  <c r="R29" i="11" s="1"/>
  <c r="F920" i="11"/>
  <c r="K881" i="11"/>
  <c r="F889" i="11"/>
  <c r="H889" i="11" s="1"/>
  <c r="Q850" i="11"/>
  <c r="M850" i="11"/>
  <c r="F968" i="11"/>
  <c r="M968" i="11" s="1"/>
  <c r="I929" i="11"/>
  <c r="Q929" i="11"/>
  <c r="G76" i="11"/>
  <c r="G110" i="11"/>
  <c r="I850" i="11"/>
  <c r="Y955" i="11"/>
  <c r="F839" i="11"/>
  <c r="I800" i="11"/>
  <c r="B64" i="11"/>
  <c r="B66" i="11" s="1"/>
  <c r="B78" i="11" s="1"/>
  <c r="B82" i="11" s="1"/>
  <c r="E119" i="11"/>
  <c r="E120" i="11" s="1"/>
  <c r="E148" i="11"/>
  <c r="E151" i="11" s="1"/>
  <c r="E152" i="11" s="1"/>
  <c r="D148" i="11"/>
  <c r="F748" i="11"/>
  <c r="E708" i="11"/>
  <c r="F827" i="11"/>
  <c r="O788" i="11"/>
  <c r="K788" i="11"/>
  <c r="F1023" i="11"/>
  <c r="F1062" i="11" s="1"/>
  <c r="E1062" i="11" s="1"/>
  <c r="P984" i="11"/>
  <c r="L984" i="11"/>
  <c r="H984" i="11"/>
  <c r="F907" i="11"/>
  <c r="F946" i="11" s="1"/>
  <c r="O946" i="11" s="1"/>
  <c r="E868" i="11"/>
  <c r="F752" i="11"/>
  <c r="F791" i="11" s="1"/>
  <c r="J791" i="11" s="1"/>
  <c r="M712" i="11"/>
  <c r="F831" i="11"/>
  <c r="F870" i="11" s="1"/>
  <c r="S870" i="11" s="1"/>
  <c r="Q792" i="11"/>
  <c r="M792" i="11"/>
  <c r="F793" i="11"/>
  <c r="R793" i="11" s="1"/>
  <c r="E754" i="11"/>
  <c r="F758" i="11"/>
  <c r="E718" i="11"/>
  <c r="F840" i="11"/>
  <c r="E840" i="11" s="1"/>
  <c r="N801" i="11"/>
  <c r="E766" i="11"/>
  <c r="F805" i="11"/>
  <c r="K805" i="11" s="1"/>
  <c r="F965" i="11"/>
  <c r="I965" i="11" s="1"/>
  <c r="Q926" i="11"/>
  <c r="I926" i="11"/>
  <c r="O926" i="11"/>
  <c r="M926" i="11"/>
  <c r="F774" i="11"/>
  <c r="G774" i="11" s="1"/>
  <c r="L734" i="11"/>
  <c r="F860" i="11"/>
  <c r="H860" i="11" s="1"/>
  <c r="S821" i="11"/>
  <c r="O821" i="11"/>
  <c r="F843" i="11"/>
  <c r="M804" i="11"/>
  <c r="I804" i="11"/>
  <c r="F916" i="11"/>
  <c r="F955" i="11" s="1"/>
  <c r="F994" i="11" s="1"/>
  <c r="F1033" i="11" s="1"/>
  <c r="F1072" i="11" s="1"/>
  <c r="Q1072" i="11" s="1"/>
  <c r="K877" i="11"/>
  <c r="F885" i="11"/>
  <c r="L885" i="11" s="1"/>
  <c r="S846" i="11"/>
  <c r="O846" i="11"/>
  <c r="K846" i="11"/>
  <c r="F893" i="11"/>
  <c r="R893" i="11" s="1"/>
  <c r="O854" i="11"/>
  <c r="M854" i="11"/>
  <c r="S854" i="11"/>
  <c r="K854" i="11"/>
  <c r="E66" i="11"/>
  <c r="AA671" i="11"/>
  <c r="D119" i="11"/>
  <c r="D120" i="11" s="1"/>
  <c r="M800" i="11"/>
  <c r="I854" i="11"/>
  <c r="M929" i="11"/>
  <c r="F841" i="11"/>
  <c r="S802" i="11"/>
  <c r="O802" i="11"/>
  <c r="F962" i="11"/>
  <c r="E962" i="11" s="1"/>
  <c r="K923" i="11"/>
  <c r="S923" i="11"/>
  <c r="F849" i="11"/>
  <c r="S849" i="11" s="1"/>
  <c r="O810" i="11"/>
  <c r="K810" i="11"/>
  <c r="F911" i="11"/>
  <c r="S911" i="11" s="1"/>
  <c r="M872" i="11"/>
  <c r="I872" i="11"/>
  <c r="E872" i="11"/>
  <c r="F847" i="11"/>
  <c r="P847" i="11" s="1"/>
  <c r="Q808" i="11"/>
  <c r="Y957" i="11"/>
  <c r="AC672" i="11"/>
  <c r="V294" i="11"/>
  <c r="Y294" i="11" s="1"/>
  <c r="O837" i="11"/>
  <c r="O912" i="11"/>
  <c r="M1032" i="11"/>
  <c r="F814" i="11"/>
  <c r="F853" i="11" s="1"/>
  <c r="G853" i="11" s="1"/>
  <c r="I1096" i="11"/>
  <c r="I1109" i="11" s="1"/>
  <c r="I837" i="11"/>
  <c r="Q837" i="11"/>
  <c r="S912" i="11"/>
  <c r="Q1032" i="11"/>
  <c r="F76" i="11"/>
  <c r="F15" i="11"/>
  <c r="H166" i="11"/>
  <c r="H168" i="11" s="1"/>
  <c r="V289" i="11"/>
  <c r="Y709" i="11" s="1"/>
  <c r="V277" i="11"/>
  <c r="V287" i="11"/>
  <c r="Y707" i="11" s="1"/>
  <c r="I255" i="11"/>
  <c r="H131" i="11"/>
  <c r="AH53" i="11"/>
  <c r="AH55" i="11"/>
  <c r="H190" i="11"/>
  <c r="H192" i="11" s="1"/>
  <c r="J138" i="11"/>
  <c r="E247" i="11"/>
  <c r="W14" i="11"/>
  <c r="V63" i="11"/>
  <c r="AH63" i="11" s="1"/>
  <c r="E225" i="11"/>
  <c r="E245" i="11"/>
  <c r="H718" i="11"/>
  <c r="L718" i="11"/>
  <c r="P718" i="11"/>
  <c r="J719" i="11"/>
  <c r="N719" i="11"/>
  <c r="R719" i="11"/>
  <c r="H730" i="11"/>
  <c r="L730" i="11"/>
  <c r="P730" i="11"/>
  <c r="J731" i="11"/>
  <c r="N731" i="11"/>
  <c r="R731" i="11"/>
  <c r="AH49" i="11"/>
  <c r="E227" i="11"/>
  <c r="H728" i="11"/>
  <c r="L728" i="11"/>
  <c r="P728" i="11"/>
  <c r="J729" i="11"/>
  <c r="N729" i="11"/>
  <c r="R729" i="11"/>
  <c r="H736" i="11"/>
  <c r="L736" i="11"/>
  <c r="P736" i="11"/>
  <c r="J718" i="11"/>
  <c r="N718" i="11"/>
  <c r="R718" i="11"/>
  <c r="H719" i="11"/>
  <c r="L719" i="11"/>
  <c r="P719" i="11"/>
  <c r="J720" i="11"/>
  <c r="N720" i="11"/>
  <c r="R720" i="11"/>
  <c r="H721" i="11"/>
  <c r="L721" i="11"/>
  <c r="P721" i="11"/>
  <c r="H723" i="11"/>
  <c r="L723" i="11"/>
  <c r="P723" i="11"/>
  <c r="H725" i="11"/>
  <c r="L725" i="11"/>
  <c r="P725" i="11"/>
  <c r="J726" i="11"/>
  <c r="N726" i="11"/>
  <c r="R726" i="11"/>
  <c r="H727" i="11"/>
  <c r="L727" i="11"/>
  <c r="P727" i="11"/>
  <c r="J728" i="11"/>
  <c r="N728" i="11"/>
  <c r="R728" i="11"/>
  <c r="H729" i="11"/>
  <c r="L729" i="11"/>
  <c r="P729" i="11"/>
  <c r="J730" i="11"/>
  <c r="N730" i="11"/>
  <c r="R730" i="11"/>
  <c r="H731" i="11"/>
  <c r="L731" i="11"/>
  <c r="P731" i="11"/>
  <c r="J732" i="11"/>
  <c r="N732" i="11"/>
  <c r="R732" i="11"/>
  <c r="J734" i="11"/>
  <c r="N734" i="11"/>
  <c r="R734" i="11"/>
  <c r="J736" i="11"/>
  <c r="N736" i="11"/>
  <c r="R736" i="11"/>
  <c r="K790" i="11"/>
  <c r="O790" i="11"/>
  <c r="S790" i="11"/>
  <c r="I794" i="11"/>
  <c r="M794" i="11"/>
  <c r="Q794" i="11"/>
  <c r="N795" i="11"/>
  <c r="K806" i="11"/>
  <c r="O806" i="11"/>
  <c r="S806" i="11"/>
  <c r="I812" i="11"/>
  <c r="M812" i="11"/>
  <c r="Q812" i="11"/>
  <c r="E221" i="11"/>
  <c r="K782" i="11"/>
  <c r="O782" i="11"/>
  <c r="S782" i="11"/>
  <c r="I783" i="11"/>
  <c r="M783" i="11"/>
  <c r="Q783" i="11"/>
  <c r="I786" i="11"/>
  <c r="M786" i="11"/>
  <c r="Q786" i="11"/>
  <c r="K789" i="11"/>
  <c r="O789" i="11"/>
  <c r="S789" i="11"/>
  <c r="E237" i="11"/>
  <c r="K798" i="11"/>
  <c r="O798" i="11"/>
  <c r="S798" i="11"/>
  <c r="I808" i="11"/>
  <c r="M808" i="11"/>
  <c r="M846" i="11"/>
  <c r="Q846" i="11"/>
  <c r="K850" i="11"/>
  <c r="O850" i="11"/>
  <c r="S850" i="11"/>
  <c r="K952" i="11"/>
  <c r="O952" i="11"/>
  <c r="S952" i="11"/>
  <c r="E238" i="11"/>
  <c r="K838" i="11"/>
  <c r="O838" i="11"/>
  <c r="S838" i="11"/>
  <c r="M839" i="11"/>
  <c r="M842" i="11"/>
  <c r="Q842" i="11"/>
  <c r="I890" i="11"/>
  <c r="M890" i="11"/>
  <c r="Q890" i="11"/>
  <c r="O824" i="11"/>
  <c r="S824" i="11"/>
  <c r="I825" i="11"/>
  <c r="M825" i="11"/>
  <c r="Q825" i="11"/>
  <c r="I828" i="11"/>
  <c r="M828" i="11"/>
  <c r="Q828" i="11"/>
  <c r="K833" i="11"/>
  <c r="O833" i="11"/>
  <c r="S833" i="11"/>
  <c r="K834" i="11"/>
  <c r="O834" i="11"/>
  <c r="S834" i="11"/>
  <c r="I838" i="11"/>
  <c r="M838" i="11"/>
  <c r="K848" i="11"/>
  <c r="O848" i="11"/>
  <c r="S848" i="11"/>
  <c r="I862" i="11"/>
  <c r="M862" i="11"/>
  <c r="Q862" i="11"/>
  <c r="I915" i="11"/>
  <c r="M915" i="11"/>
  <c r="Q915" i="11"/>
  <c r="K978" i="11"/>
  <c r="O978" i="11"/>
  <c r="S978" i="11"/>
  <c r="K906" i="11"/>
  <c r="O906" i="11"/>
  <c r="S906" i="11"/>
  <c r="I945" i="11"/>
  <c r="M945" i="11"/>
  <c r="Q945" i="11"/>
  <c r="K1056" i="11"/>
  <c r="O1056" i="11"/>
  <c r="S1056" i="11"/>
  <c r="S873" i="11"/>
  <c r="K874" i="11"/>
  <c r="O874" i="11"/>
  <c r="S874" i="11"/>
  <c r="K884" i="11"/>
  <c r="O884" i="11"/>
  <c r="S884" i="11"/>
  <c r="I900" i="11"/>
  <c r="M900" i="11"/>
  <c r="Q900" i="11"/>
  <c r="K903" i="11"/>
  <c r="K913" i="11"/>
  <c r="O913" i="11"/>
  <c r="S913" i="11"/>
  <c r="K915" i="11"/>
  <c r="O915" i="11"/>
  <c r="S915" i="11"/>
  <c r="I254" i="11"/>
  <c r="K939" i="11"/>
  <c r="O939" i="11"/>
  <c r="S939" i="11"/>
  <c r="K940" i="11"/>
  <c r="O940" i="11"/>
  <c r="S940" i="11"/>
  <c r="I952" i="11"/>
  <c r="M952" i="11"/>
  <c r="Q952" i="11"/>
  <c r="I954" i="11"/>
  <c r="M954" i="11"/>
  <c r="Q954" i="11"/>
  <c r="J993" i="11"/>
  <c r="N993" i="11"/>
  <c r="R993" i="11"/>
  <c r="K1017" i="11"/>
  <c r="O1017" i="11"/>
  <c r="S1017" i="11"/>
  <c r="K1032" i="11"/>
  <c r="O1032" i="11"/>
  <c r="S1032" i="11"/>
  <c r="M1017" i="11"/>
  <c r="Q1017" i="11"/>
  <c r="R1018" i="11"/>
  <c r="Y266" i="11"/>
  <c r="AA266" i="11" s="1"/>
  <c r="AC266" i="11" s="1"/>
  <c r="AE266" i="11" s="1"/>
  <c r="V265" i="11"/>
  <c r="Y265" i="11" s="1"/>
  <c r="AA265" i="11" s="1"/>
  <c r="AC265" i="11" s="1"/>
  <c r="AE265" i="11" s="1"/>
  <c r="V130" i="11"/>
  <c r="AH130" i="11" s="1"/>
  <c r="J708" i="11"/>
  <c r="N708" i="11"/>
  <c r="R708" i="11"/>
  <c r="J709" i="11"/>
  <c r="N709" i="11"/>
  <c r="R709" i="11"/>
  <c r="E234" i="11"/>
  <c r="AH46" i="11"/>
  <c r="J193" i="11"/>
  <c r="R193" i="11"/>
  <c r="L138" i="11"/>
  <c r="G238" i="11"/>
  <c r="G248" i="11"/>
  <c r="S255" i="11"/>
  <c r="F40" i="11"/>
  <c r="F64" i="11"/>
  <c r="N193" i="11"/>
  <c r="O696" i="11"/>
  <c r="O698" i="11" s="1"/>
  <c r="O29" i="11" s="1"/>
  <c r="S696" i="11"/>
  <c r="S698" i="11" s="1"/>
  <c r="S29" i="11" s="1"/>
  <c r="L193" i="11"/>
  <c r="I92" i="11"/>
  <c r="J92" i="11" s="1"/>
  <c r="K92" i="11" s="1"/>
  <c r="L92" i="11" s="1"/>
  <c r="M92" i="11" s="1"/>
  <c r="N92" i="11" s="1"/>
  <c r="P190" i="11"/>
  <c r="P193" i="11" s="1"/>
  <c r="G236" i="11"/>
  <c r="G252" i="11"/>
  <c r="H708" i="11"/>
  <c r="L708" i="11"/>
  <c r="P708" i="11"/>
  <c r="H709" i="11"/>
  <c r="L709" i="11"/>
  <c r="P709" i="11"/>
  <c r="H712" i="11"/>
  <c r="L712" i="11"/>
  <c r="P712" i="11"/>
  <c r="H715" i="11"/>
  <c r="L715" i="11"/>
  <c r="P715" i="11"/>
  <c r="J716" i="11"/>
  <c r="N716" i="11"/>
  <c r="R716" i="11"/>
  <c r="J717" i="11"/>
  <c r="N717" i="11"/>
  <c r="R717" i="11"/>
  <c r="E333" i="11"/>
  <c r="E222" i="11"/>
  <c r="J411" i="11"/>
  <c r="J5" i="11" s="1"/>
  <c r="I843" i="11"/>
  <c r="K845" i="11"/>
  <c r="O845" i="11"/>
  <c r="S845" i="11"/>
  <c r="M451" i="11"/>
  <c r="M6" i="11" s="1"/>
  <c r="J712" i="11"/>
  <c r="N712" i="11"/>
  <c r="R712" i="11"/>
  <c r="J715" i="11"/>
  <c r="N715" i="11"/>
  <c r="R715" i="11"/>
  <c r="H716" i="11"/>
  <c r="L716" i="11"/>
  <c r="P716" i="11"/>
  <c r="H717" i="11"/>
  <c r="L717" i="11"/>
  <c r="P717" i="11"/>
  <c r="M718" i="11"/>
  <c r="Q718" i="11"/>
  <c r="M720" i="11"/>
  <c r="Q720" i="11"/>
  <c r="I726" i="11"/>
  <c r="M726" i="11"/>
  <c r="Q726" i="11"/>
  <c r="I728" i="11"/>
  <c r="M728" i="11"/>
  <c r="Q728" i="11"/>
  <c r="I730" i="11"/>
  <c r="M730" i="11"/>
  <c r="Q730" i="11"/>
  <c r="I732" i="11"/>
  <c r="M732" i="11"/>
  <c r="S372" i="11"/>
  <c r="S4" i="11" s="1"/>
  <c r="V4" i="11" s="1"/>
  <c r="V336" i="11"/>
  <c r="Y336" i="11" s="1"/>
  <c r="E249" i="11"/>
  <c r="K835" i="11"/>
  <c r="O835" i="11"/>
  <c r="S835" i="11"/>
  <c r="G837" i="11"/>
  <c r="E837" i="11"/>
  <c r="I529" i="11"/>
  <c r="I9" i="11" s="1"/>
  <c r="Q529" i="11"/>
  <c r="Q9" i="11" s="1"/>
  <c r="G939" i="11"/>
  <c r="E939" i="11"/>
  <c r="V496" i="11"/>
  <c r="Y496" i="11" s="1"/>
  <c r="Y917" i="11" s="1"/>
  <c r="S529" i="11"/>
  <c r="S9" i="11" s="1"/>
  <c r="V9" i="11" s="1"/>
  <c r="I782" i="11"/>
  <c r="M782" i="11"/>
  <c r="Q782" i="11"/>
  <c r="R783" i="11"/>
  <c r="K786" i="11"/>
  <c r="O786" i="11"/>
  <c r="S786" i="11"/>
  <c r="I789" i="11"/>
  <c r="M789" i="11"/>
  <c r="Q789" i="11"/>
  <c r="I790" i="11"/>
  <c r="M790" i="11"/>
  <c r="Q790" i="11"/>
  <c r="K794" i="11"/>
  <c r="O794" i="11"/>
  <c r="S794" i="11"/>
  <c r="I798" i="11"/>
  <c r="M798" i="11"/>
  <c r="Q798" i="11"/>
  <c r="N799" i="11"/>
  <c r="S411" i="11"/>
  <c r="S5" i="11" s="1"/>
  <c r="V5" i="11" s="1"/>
  <c r="I823" i="11"/>
  <c r="M823" i="11"/>
  <c r="Q823" i="11"/>
  <c r="I824" i="11"/>
  <c r="M824" i="11"/>
  <c r="Q824" i="11"/>
  <c r="O828" i="11"/>
  <c r="S828" i="11"/>
  <c r="M848" i="11"/>
  <c r="Q848" i="11"/>
  <c r="I851" i="11"/>
  <c r="M851" i="11"/>
  <c r="Q851" i="11"/>
  <c r="G451" i="11"/>
  <c r="G6" i="11" s="1"/>
  <c r="K451" i="11"/>
  <c r="K6" i="11" s="1"/>
  <c r="O451" i="11"/>
  <c r="O6" i="11" s="1"/>
  <c r="S451" i="11"/>
  <c r="S6" i="11" s="1"/>
  <c r="V6" i="11" s="1"/>
  <c r="V415" i="11"/>
  <c r="V451" i="11" s="1"/>
  <c r="J861" i="11"/>
  <c r="K862" i="11"/>
  <c r="O862" i="11"/>
  <c r="S862" i="11"/>
  <c r="K868" i="11"/>
  <c r="O868" i="11"/>
  <c r="S868" i="11"/>
  <c r="I884" i="11"/>
  <c r="M884" i="11"/>
  <c r="Q884" i="11"/>
  <c r="O490" i="11"/>
  <c r="O7" i="11" s="1"/>
  <c r="S490" i="11"/>
  <c r="S7" i="11" s="1"/>
  <c r="V7" i="11" s="1"/>
  <c r="V454" i="11"/>
  <c r="Y956" i="11"/>
  <c r="AA535" i="11"/>
  <c r="AA956" i="11" s="1"/>
  <c r="M372" i="11"/>
  <c r="M4" i="11" s="1"/>
  <c r="K783" i="11"/>
  <c r="O783" i="11"/>
  <c r="S783" i="11"/>
  <c r="K784" i="11"/>
  <c r="O784" i="11"/>
  <c r="S784" i="11"/>
  <c r="I788" i="11"/>
  <c r="M788" i="11"/>
  <c r="Q788" i="11"/>
  <c r="J789" i="11"/>
  <c r="R789" i="11"/>
  <c r="K792" i="11"/>
  <c r="O792" i="11"/>
  <c r="S792" i="11"/>
  <c r="I796" i="11"/>
  <c r="M796" i="11"/>
  <c r="Q796" i="11"/>
  <c r="K800" i="11"/>
  <c r="O800" i="11"/>
  <c r="S800" i="11"/>
  <c r="I802" i="11"/>
  <c r="M802" i="11"/>
  <c r="Q802" i="11"/>
  <c r="N803" i="11"/>
  <c r="K804" i="11"/>
  <c r="O804" i="11"/>
  <c r="S804" i="11"/>
  <c r="I806" i="11"/>
  <c r="M806" i="11"/>
  <c r="Q806" i="11"/>
  <c r="N807" i="11"/>
  <c r="K808" i="11"/>
  <c r="O808" i="11"/>
  <c r="S808" i="11"/>
  <c r="I810" i="11"/>
  <c r="M810" i="11"/>
  <c r="Q810" i="11"/>
  <c r="N811" i="11"/>
  <c r="K812" i="11"/>
  <c r="O812" i="11"/>
  <c r="S812" i="11"/>
  <c r="N815" i="11"/>
  <c r="I821" i="11"/>
  <c r="M821" i="11"/>
  <c r="P411" i="11"/>
  <c r="P5" i="11" s="1"/>
  <c r="Q821" i="11"/>
  <c r="I822" i="11"/>
  <c r="M822" i="11"/>
  <c r="Q822" i="11"/>
  <c r="K825" i="11"/>
  <c r="O825" i="11"/>
  <c r="S825" i="11"/>
  <c r="E226" i="11"/>
  <c r="E230" i="11"/>
  <c r="I833" i="11"/>
  <c r="M833" i="11"/>
  <c r="Q833" i="11"/>
  <c r="I834" i="11"/>
  <c r="M834" i="11"/>
  <c r="Q834" i="11"/>
  <c r="K842" i="11"/>
  <c r="O842" i="11"/>
  <c r="S842" i="11"/>
  <c r="Q847" i="11"/>
  <c r="K861" i="11"/>
  <c r="O861" i="11"/>
  <c r="S861" i="11"/>
  <c r="I864" i="11"/>
  <c r="M864" i="11"/>
  <c r="Q864" i="11"/>
  <c r="K867" i="11"/>
  <c r="O867" i="11"/>
  <c r="S867" i="11"/>
  <c r="I874" i="11"/>
  <c r="M874" i="11"/>
  <c r="Q874" i="11"/>
  <c r="K876" i="11"/>
  <c r="O876" i="11"/>
  <c r="S876" i="11"/>
  <c r="K890" i="11"/>
  <c r="O890" i="11"/>
  <c r="S890" i="11"/>
  <c r="K900" i="11"/>
  <c r="O900" i="11"/>
  <c r="S900" i="11"/>
  <c r="I912" i="11"/>
  <c r="M912" i="11"/>
  <c r="Q912" i="11"/>
  <c r="L490" i="11"/>
  <c r="L7" i="11" s="1"/>
  <c r="I835" i="11"/>
  <c r="M835" i="11"/>
  <c r="Q835" i="11"/>
  <c r="K839" i="11"/>
  <c r="I845" i="11"/>
  <c r="M845" i="11"/>
  <c r="Q845" i="11"/>
  <c r="K851" i="11"/>
  <c r="O851" i="11"/>
  <c r="S851" i="11"/>
  <c r="Q853" i="11"/>
  <c r="R861" i="11"/>
  <c r="K864" i="11"/>
  <c r="O864" i="11"/>
  <c r="S864" i="11"/>
  <c r="I867" i="11"/>
  <c r="M867" i="11"/>
  <c r="Q867" i="11"/>
  <c r="I868" i="11"/>
  <c r="M868" i="11"/>
  <c r="Q868" i="11"/>
  <c r="K872" i="11"/>
  <c r="O872" i="11"/>
  <c r="S872" i="11"/>
  <c r="I876" i="11"/>
  <c r="M876" i="11"/>
  <c r="Q876" i="11"/>
  <c r="I490" i="11"/>
  <c r="I7" i="11" s="1"/>
  <c r="M490" i="11"/>
  <c r="M7" i="11" s="1"/>
  <c r="Q490" i="11"/>
  <c r="Q7" i="11" s="1"/>
  <c r="K901" i="11"/>
  <c r="O901" i="11"/>
  <c r="S901" i="11"/>
  <c r="I906" i="11"/>
  <c r="M906" i="11"/>
  <c r="Q906" i="11"/>
  <c r="I913" i="11"/>
  <c r="M913" i="11"/>
  <c r="Q913" i="11"/>
  <c r="I923" i="11"/>
  <c r="M923" i="11"/>
  <c r="Q923" i="11"/>
  <c r="K929" i="11"/>
  <c r="O929" i="11"/>
  <c r="S929" i="11"/>
  <c r="G529" i="11"/>
  <c r="G9" i="11" s="1"/>
  <c r="K529" i="11"/>
  <c r="K9" i="11" s="1"/>
  <c r="I939" i="11"/>
  <c r="M939" i="11"/>
  <c r="Q939" i="11"/>
  <c r="I940" i="11"/>
  <c r="M940" i="11"/>
  <c r="Q940" i="11"/>
  <c r="K945" i="11"/>
  <c r="O945" i="11"/>
  <c r="S945" i="11"/>
  <c r="K954" i="11"/>
  <c r="O954" i="11"/>
  <c r="S954" i="11"/>
  <c r="H978" i="11"/>
  <c r="L978" i="11"/>
  <c r="P978" i="11"/>
  <c r="J984" i="11"/>
  <c r="N984" i="11"/>
  <c r="R984" i="11"/>
  <c r="J991" i="11"/>
  <c r="N991" i="11"/>
  <c r="R991" i="11"/>
  <c r="H993" i="11"/>
  <c r="L993" i="11"/>
  <c r="P993" i="11"/>
  <c r="K979" i="11"/>
  <c r="O979" i="11"/>
  <c r="S979" i="11"/>
  <c r="K980" i="11"/>
  <c r="L608" i="11"/>
  <c r="L11" i="11" s="1"/>
  <c r="V608" i="11"/>
  <c r="Y572" i="11"/>
  <c r="AA572" i="11" s="1"/>
  <c r="K1018" i="11"/>
  <c r="O1018" i="11"/>
  <c r="S1018" i="11"/>
  <c r="I1030" i="11"/>
  <c r="M1030" i="11"/>
  <c r="Q1030" i="11"/>
  <c r="K1071" i="11"/>
  <c r="O1071" i="11"/>
  <c r="S1071" i="11"/>
  <c r="G608" i="11"/>
  <c r="G11" i="11" s="1"/>
  <c r="K608" i="11"/>
  <c r="K11" i="11" s="1"/>
  <c r="O608" i="11"/>
  <c r="O11" i="11" s="1"/>
  <c r="S608" i="11"/>
  <c r="S11" i="11" s="1"/>
  <c r="V11" i="11" s="1"/>
  <c r="I1018" i="11"/>
  <c r="M1018" i="11"/>
  <c r="Q1018" i="11"/>
  <c r="K1030" i="11"/>
  <c r="O1030" i="11"/>
  <c r="S1030" i="11"/>
  <c r="I1071" i="11"/>
  <c r="M1071" i="11"/>
  <c r="Q1071" i="11"/>
  <c r="I184" i="11"/>
  <c r="I187" i="11" s="1"/>
  <c r="H179" i="11"/>
  <c r="I131" i="11"/>
  <c r="M131" i="11"/>
  <c r="Q131" i="11"/>
  <c r="I190" i="11"/>
  <c r="I193" i="11" s="1"/>
  <c r="M190" i="11"/>
  <c r="M193" i="11" s="1"/>
  <c r="Q190" i="11"/>
  <c r="Q193" i="11" s="1"/>
  <c r="I103" i="11"/>
  <c r="S193" i="11"/>
  <c r="K696" i="11"/>
  <c r="K698" i="11" s="1"/>
  <c r="K29" i="11" s="1"/>
  <c r="J696" i="11"/>
  <c r="J698" i="11" s="1"/>
  <c r="J29" i="11" s="1"/>
  <c r="H124" i="11"/>
  <c r="H93" i="11"/>
  <c r="AH61" i="11"/>
  <c r="J72" i="11"/>
  <c r="L96" i="11"/>
  <c r="G193" i="11"/>
  <c r="AE345" i="11"/>
  <c r="G131" i="11"/>
  <c r="K131" i="11"/>
  <c r="O131" i="11"/>
  <c r="S131" i="11"/>
  <c r="I113" i="11"/>
  <c r="I178" i="11"/>
  <c r="K193" i="11"/>
  <c r="AC272" i="11"/>
  <c r="AH45" i="11"/>
  <c r="AH57" i="11"/>
  <c r="AH59" i="11"/>
  <c r="V136" i="11"/>
  <c r="J159" i="11"/>
  <c r="I166" i="11"/>
  <c r="O193" i="11"/>
  <c r="AC275" i="11"/>
  <c r="AE349" i="11"/>
  <c r="AC274" i="11"/>
  <c r="R733" i="11"/>
  <c r="H735" i="11"/>
  <c r="G253" i="11"/>
  <c r="K253" i="11"/>
  <c r="L735" i="11"/>
  <c r="I253" i="11"/>
  <c r="P735" i="11"/>
  <c r="O253" i="11"/>
  <c r="V292" i="11"/>
  <c r="S253" i="11"/>
  <c r="G333" i="11"/>
  <c r="G784" i="11"/>
  <c r="E784" i="11"/>
  <c r="Y759" i="11"/>
  <c r="AA339" i="11"/>
  <c r="G788" i="11"/>
  <c r="E788" i="11"/>
  <c r="G792" i="11"/>
  <c r="E792" i="11"/>
  <c r="G796" i="11"/>
  <c r="E796" i="11"/>
  <c r="G800" i="11"/>
  <c r="E800" i="11"/>
  <c r="G804" i="11"/>
  <c r="E804" i="11"/>
  <c r="G808" i="11"/>
  <c r="E808" i="11"/>
  <c r="Y784" i="11"/>
  <c r="G812" i="11"/>
  <c r="E812" i="11"/>
  <c r="Y788" i="11"/>
  <c r="L372" i="11"/>
  <c r="L4" i="11" s="1"/>
  <c r="Y795" i="11"/>
  <c r="AA375" i="11"/>
  <c r="G824" i="11"/>
  <c r="E824" i="11"/>
  <c r="Y799" i="11"/>
  <c r="AA379" i="11"/>
  <c r="G828" i="11"/>
  <c r="E828" i="11"/>
  <c r="G842" i="11"/>
  <c r="E842" i="11"/>
  <c r="G846" i="11"/>
  <c r="E846" i="11"/>
  <c r="Y822" i="11"/>
  <c r="G850" i="11"/>
  <c r="E850" i="11"/>
  <c r="Y826" i="11"/>
  <c r="G854" i="11"/>
  <c r="E854" i="11"/>
  <c r="N411" i="11"/>
  <c r="N5" i="11" s="1"/>
  <c r="E860" i="11"/>
  <c r="E451" i="11"/>
  <c r="E6" i="11" s="1"/>
  <c r="Y836" i="11"/>
  <c r="AA416" i="11"/>
  <c r="Y840" i="11"/>
  <c r="AA420" i="11"/>
  <c r="E876" i="11"/>
  <c r="G876" i="11"/>
  <c r="E884" i="11"/>
  <c r="G884" i="11"/>
  <c r="Y862" i="11"/>
  <c r="Y866" i="11"/>
  <c r="L451" i="11"/>
  <c r="L6" i="11" s="1"/>
  <c r="G902" i="11"/>
  <c r="E902" i="11"/>
  <c r="K902" i="11"/>
  <c r="O902" i="11"/>
  <c r="S902" i="11"/>
  <c r="Y879" i="11"/>
  <c r="AA458" i="11"/>
  <c r="G906" i="11"/>
  <c r="E906" i="11"/>
  <c r="G920" i="11"/>
  <c r="Y902" i="11"/>
  <c r="Y906" i="11"/>
  <c r="Y910" i="11"/>
  <c r="J490" i="11"/>
  <c r="J7" i="11" s="1"/>
  <c r="R490" i="11"/>
  <c r="R7" i="11" s="1"/>
  <c r="H529" i="11"/>
  <c r="H9" i="11" s="1"/>
  <c r="L529" i="11"/>
  <c r="L9" i="11" s="1"/>
  <c r="P529" i="11"/>
  <c r="P9" i="11" s="1"/>
  <c r="G940" i="11"/>
  <c r="E940" i="11"/>
  <c r="G952" i="11"/>
  <c r="E952" i="11"/>
  <c r="Y942" i="11"/>
  <c r="E569" i="11"/>
  <c r="E10" i="11" s="1"/>
  <c r="J569" i="11"/>
  <c r="J10" i="11" s="1"/>
  <c r="N569" i="11"/>
  <c r="N10" i="11" s="1"/>
  <c r="R569" i="11"/>
  <c r="R10" i="11" s="1"/>
  <c r="AA534" i="11"/>
  <c r="Y542" i="11"/>
  <c r="Y544" i="11"/>
  <c r="AA544" i="11" s="1"/>
  <c r="AC544" i="11" s="1"/>
  <c r="AE544" i="11" s="1"/>
  <c r="Y981" i="11"/>
  <c r="I569" i="11"/>
  <c r="I10" i="11" s="1"/>
  <c r="Y573" i="11"/>
  <c r="I1019" i="11"/>
  <c r="M1019" i="11"/>
  <c r="Q1019" i="11"/>
  <c r="Y575" i="11"/>
  <c r="Y577" i="11"/>
  <c r="AA577" i="11" s="1"/>
  <c r="AC577" i="11" s="1"/>
  <c r="AE577" i="11" s="1"/>
  <c r="Y579" i="11"/>
  <c r="AA579" i="11" s="1"/>
  <c r="AC579" i="11" s="1"/>
  <c r="AE579" i="11" s="1"/>
  <c r="Y581" i="11"/>
  <c r="Y583" i="11"/>
  <c r="AA583" i="11" s="1"/>
  <c r="AC583" i="11" s="1"/>
  <c r="AE583" i="11" s="1"/>
  <c r="Y585" i="11"/>
  <c r="AA585" i="11" s="1"/>
  <c r="AC585" i="11" s="1"/>
  <c r="AE585" i="11" s="1"/>
  <c r="Y587" i="11"/>
  <c r="AA587" i="11" s="1"/>
  <c r="AC587" i="11" s="1"/>
  <c r="AE587" i="11" s="1"/>
  <c r="Y589" i="11"/>
  <c r="AA589" i="11" s="1"/>
  <c r="AC589" i="11" s="1"/>
  <c r="AE589" i="11" s="1"/>
  <c r="R608" i="11"/>
  <c r="R11" i="11" s="1"/>
  <c r="Y1065" i="11"/>
  <c r="Y706" i="11"/>
  <c r="M709" i="11"/>
  <c r="M717" i="11"/>
  <c r="Q719" i="11"/>
  <c r="Q721" i="11"/>
  <c r="Q723" i="11"/>
  <c r="Q727" i="11"/>
  <c r="Q731" i="11"/>
  <c r="J788" i="11"/>
  <c r="L790" i="11"/>
  <c r="K822" i="11"/>
  <c r="K824" i="11"/>
  <c r="K828" i="11"/>
  <c r="Q829" i="11"/>
  <c r="Q838" i="11"/>
  <c r="I848" i="11"/>
  <c r="R862" i="11"/>
  <c r="S863" i="11"/>
  <c r="G864" i="11"/>
  <c r="G868" i="11"/>
  <c r="G872" i="11"/>
  <c r="K887" i="11"/>
  <c r="N696" i="11"/>
  <c r="N698" i="11" s="1"/>
  <c r="N29" i="11" s="1"/>
  <c r="G239" i="11"/>
  <c r="E242" i="11"/>
  <c r="E246" i="11"/>
  <c r="J253" i="11"/>
  <c r="R253" i="11"/>
  <c r="G254" i="11"/>
  <c r="O254" i="11"/>
  <c r="M715" i="11"/>
  <c r="M719" i="11"/>
  <c r="M723" i="11"/>
  <c r="M727" i="11"/>
  <c r="M731" i="11"/>
  <c r="G785" i="11"/>
  <c r="E785" i="11"/>
  <c r="K785" i="11"/>
  <c r="O785" i="11"/>
  <c r="S785" i="11"/>
  <c r="Y340" i="11"/>
  <c r="G789" i="11"/>
  <c r="E789" i="11"/>
  <c r="Y344" i="11"/>
  <c r="N794" i="11"/>
  <c r="Y348" i="11"/>
  <c r="AA348" i="11" s="1"/>
  <c r="AC348" i="11" s="1"/>
  <c r="AE348" i="11" s="1"/>
  <c r="I795" i="11"/>
  <c r="M795" i="11"/>
  <c r="Q795" i="11"/>
  <c r="R798" i="11"/>
  <c r="Y352" i="11"/>
  <c r="I799" i="11"/>
  <c r="M799" i="11"/>
  <c r="Q799" i="11"/>
  <c r="I801" i="11"/>
  <c r="M801" i="11"/>
  <c r="Q801" i="11"/>
  <c r="N802" i="11"/>
  <c r="G803" i="11"/>
  <c r="E803" i="11"/>
  <c r="K803" i="11"/>
  <c r="O803" i="11"/>
  <c r="S803" i="11"/>
  <c r="N806" i="11"/>
  <c r="G807" i="11"/>
  <c r="E807" i="11"/>
  <c r="K807" i="11"/>
  <c r="O807" i="11"/>
  <c r="S807" i="11"/>
  <c r="I809" i="11"/>
  <c r="M809" i="11"/>
  <c r="Q809" i="11"/>
  <c r="Y783" i="11"/>
  <c r="N810" i="11"/>
  <c r="G811" i="11"/>
  <c r="E811" i="11"/>
  <c r="E250" i="11"/>
  <c r="K811" i="11"/>
  <c r="O811" i="11"/>
  <c r="S811" i="11"/>
  <c r="Y787" i="11"/>
  <c r="G815" i="11"/>
  <c r="E815" i="11"/>
  <c r="E254" i="11"/>
  <c r="K815" i="11"/>
  <c r="J254" i="11"/>
  <c r="O815" i="11"/>
  <c r="N254" i="11"/>
  <c r="S815" i="11"/>
  <c r="R254" i="11"/>
  <c r="N372" i="11"/>
  <c r="N4" i="11" s="1"/>
  <c r="G821" i="11"/>
  <c r="E821" i="11"/>
  <c r="E411" i="11"/>
  <c r="E5" i="11" s="1"/>
  <c r="Y376" i="11"/>
  <c r="G825" i="11"/>
  <c r="E825" i="11"/>
  <c r="Y380" i="11"/>
  <c r="G829" i="11"/>
  <c r="E829" i="11"/>
  <c r="K829" i="11"/>
  <c r="O829" i="11"/>
  <c r="S829" i="11"/>
  <c r="Y384" i="11"/>
  <c r="G833" i="11"/>
  <c r="E833" i="11"/>
  <c r="Y388" i="11"/>
  <c r="AA388" i="11" s="1"/>
  <c r="AC388" i="11" s="1"/>
  <c r="AE388" i="11" s="1"/>
  <c r="Y392" i="11"/>
  <c r="AA392" i="11" s="1"/>
  <c r="AC392" i="11" s="1"/>
  <c r="AE392" i="11" s="1"/>
  <c r="G845" i="11"/>
  <c r="E845" i="11"/>
  <c r="Y821" i="11"/>
  <c r="Y825" i="11"/>
  <c r="Y829" i="11"/>
  <c r="H411" i="11"/>
  <c r="H5" i="11" s="1"/>
  <c r="E861" i="11"/>
  <c r="G861" i="11"/>
  <c r="J862" i="11"/>
  <c r="Y417" i="11"/>
  <c r="I863" i="11"/>
  <c r="M863" i="11"/>
  <c r="Q863" i="11"/>
  <c r="Y421" i="11"/>
  <c r="AA421" i="11" s="1"/>
  <c r="AC421" i="11" s="1"/>
  <c r="AE421" i="11" s="1"/>
  <c r="AC424" i="11"/>
  <c r="Y425" i="11"/>
  <c r="AA425" i="11" s="1"/>
  <c r="AC425" i="11" s="1"/>
  <c r="AE425" i="11" s="1"/>
  <c r="E873" i="11"/>
  <c r="G873" i="11"/>
  <c r="K873" i="11"/>
  <c r="O873" i="11"/>
  <c r="Y429" i="11"/>
  <c r="AA429" i="11" s="1"/>
  <c r="AC429" i="11" s="1"/>
  <c r="AE429" i="11" s="1"/>
  <c r="E877" i="11"/>
  <c r="G877" i="11"/>
  <c r="O877" i="11"/>
  <c r="S877" i="11"/>
  <c r="I881" i="11"/>
  <c r="M881" i="11"/>
  <c r="Q881" i="11"/>
  <c r="Y861" i="11"/>
  <c r="E887" i="11"/>
  <c r="G887" i="11"/>
  <c r="O887" i="11"/>
  <c r="S887" i="11"/>
  <c r="Y865" i="11"/>
  <c r="Y869" i="11"/>
  <c r="N451" i="11"/>
  <c r="N6" i="11" s="1"/>
  <c r="E490" i="11"/>
  <c r="E7" i="11" s="1"/>
  <c r="Y455" i="11"/>
  <c r="Y459" i="11"/>
  <c r="AA459" i="11" s="1"/>
  <c r="AC459" i="11" s="1"/>
  <c r="AE459" i="11" s="1"/>
  <c r="Y463" i="11"/>
  <c r="Y467" i="11"/>
  <c r="AA467" i="11" s="1"/>
  <c r="AC467" i="11" s="1"/>
  <c r="AE467" i="11" s="1"/>
  <c r="E915" i="11"/>
  <c r="G915" i="11"/>
  <c r="Y471" i="11"/>
  <c r="AA471" i="11" s="1"/>
  <c r="AC471" i="11" s="1"/>
  <c r="AE471" i="11" s="1"/>
  <c r="E923" i="11"/>
  <c r="G923" i="11"/>
  <c r="Y901" i="11"/>
  <c r="Y905" i="11"/>
  <c r="Y493" i="11"/>
  <c r="G941" i="11"/>
  <c r="E941" i="11"/>
  <c r="K941" i="11"/>
  <c r="O941" i="11"/>
  <c r="S941" i="11"/>
  <c r="Y497" i="11"/>
  <c r="G945" i="11"/>
  <c r="E945" i="11"/>
  <c r="Y501" i="11"/>
  <c r="AA501" i="11" s="1"/>
  <c r="AC501" i="11" s="1"/>
  <c r="AE501" i="11" s="1"/>
  <c r="Y505" i="11"/>
  <c r="AA505" i="11" s="1"/>
  <c r="AC505" i="11" s="1"/>
  <c r="AE505" i="11" s="1"/>
  <c r="Y509" i="11"/>
  <c r="AA509" i="11" s="1"/>
  <c r="AC509" i="11" s="1"/>
  <c r="AE509" i="11" s="1"/>
  <c r="Y941" i="11"/>
  <c r="Y945" i="11"/>
  <c r="Y949" i="11"/>
  <c r="G569" i="11"/>
  <c r="G10" i="11" s="1"/>
  <c r="O569" i="11"/>
  <c r="O10" i="11" s="1"/>
  <c r="E978" i="11"/>
  <c r="G978" i="11"/>
  <c r="E979" i="11"/>
  <c r="G979" i="11"/>
  <c r="AA536" i="11"/>
  <c r="Y540" i="11"/>
  <c r="AA540" i="11" s="1"/>
  <c r="AC540" i="11" s="1"/>
  <c r="AE540" i="11" s="1"/>
  <c r="Y983" i="11"/>
  <c r="M569" i="11"/>
  <c r="M10" i="11" s="1"/>
  <c r="Y995" i="11"/>
  <c r="AA574" i="11"/>
  <c r="Y1018" i="11"/>
  <c r="Y1022" i="11"/>
  <c r="Y1026" i="11"/>
  <c r="Y611" i="11"/>
  <c r="Y623" i="11"/>
  <c r="AA623" i="11" s="1"/>
  <c r="AC623" i="11" s="1"/>
  <c r="AE623" i="11" s="1"/>
  <c r="Y627" i="11"/>
  <c r="AA627" i="11" s="1"/>
  <c r="AC627" i="11" s="1"/>
  <c r="AE627" i="11" s="1"/>
  <c r="Q712" i="11"/>
  <c r="I715" i="11"/>
  <c r="I716" i="11"/>
  <c r="I725" i="11"/>
  <c r="I729" i="11"/>
  <c r="N782" i="11"/>
  <c r="J783" i="11"/>
  <c r="R784" i="11"/>
  <c r="N791" i="11"/>
  <c r="J792" i="11"/>
  <c r="J798" i="11"/>
  <c r="Y946" i="11"/>
  <c r="H733" i="11"/>
  <c r="L733" i="11"/>
  <c r="P733" i="11"/>
  <c r="V290" i="11"/>
  <c r="N735" i="11"/>
  <c r="M253" i="11"/>
  <c r="R735" i="11"/>
  <c r="Q253" i="11"/>
  <c r="G782" i="11"/>
  <c r="E782" i="11"/>
  <c r="E372" i="11"/>
  <c r="E4" i="11" s="1"/>
  <c r="Y757" i="11"/>
  <c r="AA337" i="11"/>
  <c r="G786" i="11"/>
  <c r="E786" i="11"/>
  <c r="Y761" i="11"/>
  <c r="AA341" i="11"/>
  <c r="G790" i="11"/>
  <c r="E790" i="11"/>
  <c r="G794" i="11"/>
  <c r="E794" i="11"/>
  <c r="G798" i="11"/>
  <c r="E798" i="11"/>
  <c r="AA353" i="11"/>
  <c r="Y255" i="11"/>
  <c r="G802" i="11"/>
  <c r="E802" i="11"/>
  <c r="G806" i="11"/>
  <c r="E806" i="11"/>
  <c r="Y782" i="11"/>
  <c r="G810" i="11"/>
  <c r="E810" i="11"/>
  <c r="Y786" i="11"/>
  <c r="Y790" i="11"/>
  <c r="H372" i="11"/>
  <c r="H4" i="11" s="1"/>
  <c r="P372" i="11"/>
  <c r="P4" i="11" s="1"/>
  <c r="G822" i="11"/>
  <c r="E822" i="11"/>
  <c r="Y797" i="11"/>
  <c r="AA377" i="11"/>
  <c r="Y801" i="11"/>
  <c r="AA381" i="11"/>
  <c r="G834" i="11"/>
  <c r="E834" i="11"/>
  <c r="G838" i="11"/>
  <c r="E838" i="11"/>
  <c r="G848" i="11"/>
  <c r="E848" i="11"/>
  <c r="Y824" i="11"/>
  <c r="Y828" i="11"/>
  <c r="Y830" i="11"/>
  <c r="R411" i="11"/>
  <c r="R5" i="11" s="1"/>
  <c r="E862" i="11"/>
  <c r="G862" i="11"/>
  <c r="Y838" i="11"/>
  <c r="AA418" i="11"/>
  <c r="E874" i="11"/>
  <c r="G874" i="11"/>
  <c r="Y860" i="11"/>
  <c r="Y864" i="11"/>
  <c r="E890" i="11"/>
  <c r="G890" i="11"/>
  <c r="Y868" i="11"/>
  <c r="Y870" i="11"/>
  <c r="H451" i="11"/>
  <c r="H6" i="11" s="1"/>
  <c r="P451" i="11"/>
  <c r="P6" i="11" s="1"/>
  <c r="G900" i="11"/>
  <c r="E900" i="11"/>
  <c r="Y877" i="11"/>
  <c r="AA456" i="11"/>
  <c r="I902" i="11"/>
  <c r="M902" i="11"/>
  <c r="Q902" i="11"/>
  <c r="E912" i="11"/>
  <c r="G912" i="11"/>
  <c r="Y900" i="11"/>
  <c r="E926" i="11"/>
  <c r="G926" i="11"/>
  <c r="Y904" i="11"/>
  <c r="Y908" i="11"/>
  <c r="N490" i="11"/>
  <c r="N7" i="11" s="1"/>
  <c r="E529" i="11"/>
  <c r="E9" i="11" s="1"/>
  <c r="J529" i="11"/>
  <c r="J9" i="11" s="1"/>
  <c r="R529" i="11"/>
  <c r="R9" i="11" s="1"/>
  <c r="Y915" i="11"/>
  <c r="AA494" i="11"/>
  <c r="G954" i="11"/>
  <c r="E954" i="11"/>
  <c r="Y940" i="11"/>
  <c r="Y944" i="11"/>
  <c r="N529" i="11"/>
  <c r="N9" i="11" s="1"/>
  <c r="E980" i="11"/>
  <c r="G980" i="11"/>
  <c r="O980" i="11"/>
  <c r="S980" i="11"/>
  <c r="Y550" i="11"/>
  <c r="AA550" i="11" s="1"/>
  <c r="AC550" i="11" s="1"/>
  <c r="AE550" i="11" s="1"/>
  <c r="Y977" i="11"/>
  <c r="Y985" i="11"/>
  <c r="Q569" i="11"/>
  <c r="Q10" i="11" s="1"/>
  <c r="E1017" i="11"/>
  <c r="G1017" i="11"/>
  <c r="E1019" i="11"/>
  <c r="G1019" i="11"/>
  <c r="K1019" i="11"/>
  <c r="O1019" i="11"/>
  <c r="S1019" i="11"/>
  <c r="J608" i="11"/>
  <c r="J11" i="11" s="1"/>
  <c r="Y1033" i="11"/>
  <c r="AA612" i="11"/>
  <c r="Y1035" i="11"/>
  <c r="AA614" i="11"/>
  <c r="Y1066" i="11"/>
  <c r="Q715" i="11"/>
  <c r="Q725" i="11"/>
  <c r="Q729" i="11"/>
  <c r="N786" i="11"/>
  <c r="R796" i="11"/>
  <c r="I842" i="11"/>
  <c r="I846" i="11"/>
  <c r="Y938" i="11"/>
  <c r="H696" i="11"/>
  <c r="L696" i="11"/>
  <c r="L698" i="11" s="1"/>
  <c r="L29" i="11" s="1"/>
  <c r="P696" i="11"/>
  <c r="P698" i="11" s="1"/>
  <c r="P29" i="11" s="1"/>
  <c r="E224" i="11"/>
  <c r="E228" i="11"/>
  <c r="E232" i="11"/>
  <c r="G233" i="11"/>
  <c r="E236" i="11"/>
  <c r="G237" i="11"/>
  <c r="E240" i="11"/>
  <c r="G241" i="11"/>
  <c r="E244" i="11"/>
  <c r="G245" i="11"/>
  <c r="E248" i="11"/>
  <c r="E253" i="11"/>
  <c r="N253" i="11"/>
  <c r="K254" i="11"/>
  <c r="S254" i="11"/>
  <c r="I709" i="11"/>
  <c r="Q709" i="11"/>
  <c r="AC269" i="11"/>
  <c r="I717" i="11"/>
  <c r="Q717" i="11"/>
  <c r="M721" i="11"/>
  <c r="M725" i="11"/>
  <c r="M729" i="11"/>
  <c r="V254" i="11"/>
  <c r="G783" i="11"/>
  <c r="E783" i="11"/>
  <c r="J784" i="11"/>
  <c r="Y338" i="11"/>
  <c r="I785" i="11"/>
  <c r="M785" i="11"/>
  <c r="Q785" i="11"/>
  <c r="R788" i="11"/>
  <c r="Y342" i="11"/>
  <c r="R792" i="11"/>
  <c r="Y346" i="11"/>
  <c r="G795" i="11"/>
  <c r="E795" i="11"/>
  <c r="K795" i="11"/>
  <c r="O795" i="11"/>
  <c r="S795" i="11"/>
  <c r="J796" i="11"/>
  <c r="Y350" i="11"/>
  <c r="AA350" i="11" s="1"/>
  <c r="AC350" i="11" s="1"/>
  <c r="AE350" i="11" s="1"/>
  <c r="G799" i="11"/>
  <c r="E799" i="11"/>
  <c r="K799" i="11"/>
  <c r="O799" i="11"/>
  <c r="S799" i="11"/>
  <c r="N800" i="11"/>
  <c r="G801" i="11"/>
  <c r="E801" i="11"/>
  <c r="K801" i="11"/>
  <c r="O801" i="11"/>
  <c r="S801" i="11"/>
  <c r="I803" i="11"/>
  <c r="M803" i="11"/>
  <c r="Q803" i="11"/>
  <c r="N804" i="11"/>
  <c r="I807" i="11"/>
  <c r="M807" i="11"/>
  <c r="Q807" i="11"/>
  <c r="N808" i="11"/>
  <c r="G809" i="11"/>
  <c r="E809" i="11"/>
  <c r="K809" i="11"/>
  <c r="O809" i="11"/>
  <c r="S809" i="11"/>
  <c r="I811" i="11"/>
  <c r="M811" i="11"/>
  <c r="Q811" i="11"/>
  <c r="Y785" i="11"/>
  <c r="N812" i="11"/>
  <c r="E252" i="11"/>
  <c r="I815" i="11"/>
  <c r="H254" i="11"/>
  <c r="M815" i="11"/>
  <c r="L254" i="11"/>
  <c r="Q815" i="11"/>
  <c r="P254" i="11"/>
  <c r="Y789" i="11"/>
  <c r="Y791" i="11"/>
  <c r="J372" i="11"/>
  <c r="J4" i="11" s="1"/>
  <c r="R372" i="11"/>
  <c r="R4" i="11" s="1"/>
  <c r="G823" i="11"/>
  <c r="E823" i="11"/>
  <c r="Y378" i="11"/>
  <c r="Y382" i="11"/>
  <c r="AA382" i="11" s="1"/>
  <c r="AC382" i="11" s="1"/>
  <c r="AE382" i="11" s="1"/>
  <c r="I829" i="11"/>
  <c r="M829" i="11"/>
  <c r="Y386" i="11"/>
  <c r="AA386" i="11" s="1"/>
  <c r="AC386" i="11" s="1"/>
  <c r="AE386" i="11" s="1"/>
  <c r="G835" i="11"/>
  <c r="E835" i="11"/>
  <c r="Y390" i="11"/>
  <c r="AA390" i="11" s="1"/>
  <c r="AC390" i="11" s="1"/>
  <c r="AE390" i="11" s="1"/>
  <c r="Y823" i="11"/>
  <c r="G851" i="11"/>
  <c r="E851" i="11"/>
  <c r="Y827" i="11"/>
  <c r="L411" i="11"/>
  <c r="L5" i="11" s="1"/>
  <c r="V411" i="11"/>
  <c r="E863" i="11"/>
  <c r="G863" i="11"/>
  <c r="K863" i="11"/>
  <c r="O863" i="11"/>
  <c r="Y419" i="11"/>
  <c r="E867" i="11"/>
  <c r="G867" i="11"/>
  <c r="Y423" i="11"/>
  <c r="AA423" i="11" s="1"/>
  <c r="AC423" i="11" s="1"/>
  <c r="AE423" i="11" s="1"/>
  <c r="Y427" i="11"/>
  <c r="AA427" i="11" s="1"/>
  <c r="AC427" i="11" s="1"/>
  <c r="AE427" i="11" s="1"/>
  <c r="I873" i="11"/>
  <c r="M873" i="11"/>
  <c r="Q873" i="11"/>
  <c r="Y431" i="11"/>
  <c r="AA431" i="11" s="1"/>
  <c r="AC431" i="11" s="1"/>
  <c r="AE431" i="11" s="1"/>
  <c r="I877" i="11"/>
  <c r="M877" i="11"/>
  <c r="Q877" i="11"/>
  <c r="E881" i="11"/>
  <c r="G881" i="11"/>
  <c r="O881" i="11"/>
  <c r="S881" i="11"/>
  <c r="O885" i="11"/>
  <c r="I887" i="11"/>
  <c r="M887" i="11"/>
  <c r="Q887" i="11"/>
  <c r="Y863" i="11"/>
  <c r="Y867" i="11"/>
  <c r="O893" i="11"/>
  <c r="Y871" i="11"/>
  <c r="J451" i="11"/>
  <c r="J6" i="11" s="1"/>
  <c r="R451" i="11"/>
  <c r="R6" i="11" s="1"/>
  <c r="G901" i="11"/>
  <c r="E901" i="11"/>
  <c r="Y457" i="11"/>
  <c r="Y461" i="11"/>
  <c r="AA461" i="11" s="1"/>
  <c r="AC461" i="11" s="1"/>
  <c r="AE461" i="11" s="1"/>
  <c r="Y465" i="11"/>
  <c r="AA465" i="11" s="1"/>
  <c r="AC465" i="11" s="1"/>
  <c r="AE465" i="11" s="1"/>
  <c r="E913" i="11"/>
  <c r="G913" i="11"/>
  <c r="Y469" i="11"/>
  <c r="AA469" i="11" s="1"/>
  <c r="AC469" i="11" s="1"/>
  <c r="AE469" i="11" s="1"/>
  <c r="Y899" i="11"/>
  <c r="Y903" i="11"/>
  <c r="E929" i="11"/>
  <c r="G929" i="11"/>
  <c r="Y907" i="11"/>
  <c r="Y909" i="11"/>
  <c r="H490" i="11"/>
  <c r="H7" i="11" s="1"/>
  <c r="P490" i="11"/>
  <c r="P7" i="11" s="1"/>
  <c r="Y495" i="11"/>
  <c r="I941" i="11"/>
  <c r="M941" i="11"/>
  <c r="Q941" i="11"/>
  <c r="Y499" i="11"/>
  <c r="AA499" i="11" s="1"/>
  <c r="AC499" i="11" s="1"/>
  <c r="AE499" i="11" s="1"/>
  <c r="AC502" i="11"/>
  <c r="Y503" i="11"/>
  <c r="AA503" i="11" s="1"/>
  <c r="AC503" i="11" s="1"/>
  <c r="AE503" i="11" s="1"/>
  <c r="Y507" i="11"/>
  <c r="AA507" i="11" s="1"/>
  <c r="AC507" i="11" s="1"/>
  <c r="AE507" i="11" s="1"/>
  <c r="Y939" i="11"/>
  <c r="Y943" i="11"/>
  <c r="Y947" i="11"/>
  <c r="Y546" i="11"/>
  <c r="AA546" i="11" s="1"/>
  <c r="AC546" i="11" s="1"/>
  <c r="AE546" i="11" s="1"/>
  <c r="Y548" i="11"/>
  <c r="AA548" i="11" s="1"/>
  <c r="AC548" i="11" s="1"/>
  <c r="AE548" i="11" s="1"/>
  <c r="Y979" i="11"/>
  <c r="Y987" i="11"/>
  <c r="Y1016" i="11"/>
  <c r="Y1020" i="11"/>
  <c r="Y1024" i="11"/>
  <c r="Y1028" i="11"/>
  <c r="N608" i="11"/>
  <c r="N11" i="11" s="1"/>
  <c r="E647" i="11"/>
  <c r="E12" i="11" s="1"/>
  <c r="E1057" i="11"/>
  <c r="E1069" i="11"/>
  <c r="E1071" i="11"/>
  <c r="G1071" i="11"/>
  <c r="Y1057" i="11"/>
  <c r="Y1061" i="11"/>
  <c r="AA672" i="11"/>
  <c r="Q708" i="11"/>
  <c r="Y713" i="11"/>
  <c r="I718" i="11"/>
  <c r="I719" i="11"/>
  <c r="I720" i="11"/>
  <c r="I721" i="11"/>
  <c r="I723" i="11"/>
  <c r="I727" i="11"/>
  <c r="I731" i="11"/>
  <c r="N900" i="11"/>
  <c r="AC671" i="11"/>
  <c r="AE672" i="11"/>
  <c r="G708" i="11"/>
  <c r="K708" i="11"/>
  <c r="O708" i="11"/>
  <c r="S708" i="11"/>
  <c r="G709" i="11"/>
  <c r="K709" i="11"/>
  <c r="O709" i="11"/>
  <c r="S709" i="11"/>
  <c r="G712" i="11"/>
  <c r="K712" i="11"/>
  <c r="O712" i="11"/>
  <c r="S712" i="11"/>
  <c r="G715" i="11"/>
  <c r="K715" i="11"/>
  <c r="O715" i="11"/>
  <c r="S715" i="11"/>
  <c r="G716" i="11"/>
  <c r="K716" i="11"/>
  <c r="O716" i="11"/>
  <c r="S716" i="11"/>
  <c r="G717" i="11"/>
  <c r="K717" i="11"/>
  <c r="O717" i="11"/>
  <c r="S717" i="11"/>
  <c r="G718" i="11"/>
  <c r="K718" i="11"/>
  <c r="O718" i="11"/>
  <c r="S718" i="11"/>
  <c r="G719" i="11"/>
  <c r="K719" i="11"/>
  <c r="O719" i="11"/>
  <c r="S719" i="11"/>
  <c r="G720" i="11"/>
  <c r="K720" i="11"/>
  <c r="O720" i="11"/>
  <c r="S720" i="11"/>
  <c r="G721" i="11"/>
  <c r="K721" i="11"/>
  <c r="O721" i="11"/>
  <c r="S721" i="11"/>
  <c r="G723" i="11"/>
  <c r="K723" i="11"/>
  <c r="O723" i="11"/>
  <c r="S723" i="11"/>
  <c r="G725" i="11"/>
  <c r="K725" i="11"/>
  <c r="O725" i="11"/>
  <c r="S725" i="11"/>
  <c r="G726" i="11"/>
  <c r="K726" i="11"/>
  <c r="O726" i="11"/>
  <c r="S726" i="11"/>
  <c r="G727" i="11"/>
  <c r="K727" i="11"/>
  <c r="O727" i="11"/>
  <c r="S727" i="11"/>
  <c r="G728" i="11"/>
  <c r="K728" i="11"/>
  <c r="O728" i="11"/>
  <c r="S728" i="11"/>
  <c r="G729" i="11"/>
  <c r="K729" i="11"/>
  <c r="O729" i="11"/>
  <c r="S729" i="11"/>
  <c r="G730" i="11"/>
  <c r="K730" i="11"/>
  <c r="O730" i="11"/>
  <c r="S730" i="11"/>
  <c r="G731" i="11"/>
  <c r="K731" i="11"/>
  <c r="O731" i="11"/>
  <c r="S731" i="11"/>
  <c r="G732" i="11"/>
  <c r="K732" i="11"/>
  <c r="O732" i="11"/>
  <c r="S732" i="11"/>
  <c r="E733" i="11"/>
  <c r="G733" i="11"/>
  <c r="K733" i="11"/>
  <c r="O733" i="11"/>
  <c r="S733" i="11"/>
  <c r="E734" i="11"/>
  <c r="G734" i="11"/>
  <c r="K734" i="11"/>
  <c r="O734" i="11"/>
  <c r="S734" i="11"/>
  <c r="E735" i="11"/>
  <c r="G735" i="11"/>
  <c r="K735" i="11"/>
  <c r="O735" i="11"/>
  <c r="S735" i="11"/>
  <c r="E736" i="11"/>
  <c r="G736" i="11"/>
  <c r="K736" i="11"/>
  <c r="O736" i="11"/>
  <c r="S736" i="11"/>
  <c r="E295" i="11"/>
  <c r="E2" i="11" s="1"/>
  <c r="J782" i="11"/>
  <c r="R782" i="11"/>
  <c r="N783" i="11"/>
  <c r="N784" i="11"/>
  <c r="J785" i="11"/>
  <c r="N785" i="11"/>
  <c r="R785" i="11"/>
  <c r="J786" i="11"/>
  <c r="R786" i="11"/>
  <c r="N788" i="11"/>
  <c r="N789" i="11"/>
  <c r="J790" i="11"/>
  <c r="N790" i="11"/>
  <c r="R790" i="11"/>
  <c r="N792" i="11"/>
  <c r="J794" i="11"/>
  <c r="R794" i="11"/>
  <c r="J795" i="11"/>
  <c r="R795" i="11"/>
  <c r="N796" i="11"/>
  <c r="N798" i="11"/>
  <c r="J799" i="11"/>
  <c r="R799" i="11"/>
  <c r="J800" i="11"/>
  <c r="R800" i="11"/>
  <c r="J801" i="11"/>
  <c r="R801" i="11"/>
  <c r="J802" i="11"/>
  <c r="R802" i="11"/>
  <c r="J803" i="11"/>
  <c r="R803" i="11"/>
  <c r="J804" i="11"/>
  <c r="R804" i="11"/>
  <c r="J806" i="11"/>
  <c r="R806" i="11"/>
  <c r="J807" i="11"/>
  <c r="R807" i="11"/>
  <c r="J808" i="11"/>
  <c r="R808" i="11"/>
  <c r="J809" i="11"/>
  <c r="R809" i="11"/>
  <c r="J810" i="11"/>
  <c r="R810" i="11"/>
  <c r="J811" i="11"/>
  <c r="R811" i="11"/>
  <c r="J812" i="11"/>
  <c r="R812" i="11"/>
  <c r="J815" i="11"/>
  <c r="R815" i="11"/>
  <c r="I372" i="11"/>
  <c r="I4" i="11" s="1"/>
  <c r="Q372" i="11"/>
  <c r="Q4" i="11" s="1"/>
  <c r="J821" i="11"/>
  <c r="N821" i="11"/>
  <c r="R821" i="11"/>
  <c r="J822" i="11"/>
  <c r="N822" i="11"/>
  <c r="R822" i="11"/>
  <c r="J823" i="11"/>
  <c r="N823" i="11"/>
  <c r="R823" i="11"/>
  <c r="J824" i="11"/>
  <c r="N824" i="11"/>
  <c r="R824" i="11"/>
  <c r="J825" i="11"/>
  <c r="N825" i="11"/>
  <c r="R825" i="11"/>
  <c r="J828" i="11"/>
  <c r="N828" i="11"/>
  <c r="R828" i="11"/>
  <c r="J829" i="11"/>
  <c r="N829" i="11"/>
  <c r="R829" i="11"/>
  <c r="J833" i="11"/>
  <c r="N833" i="11"/>
  <c r="R833" i="11"/>
  <c r="J834" i="11"/>
  <c r="N834" i="11"/>
  <c r="R834" i="11"/>
  <c r="J835" i="11"/>
  <c r="N835" i="11"/>
  <c r="R835" i="11"/>
  <c r="J837" i="11"/>
  <c r="N837" i="11"/>
  <c r="R837" i="11"/>
  <c r="J838" i="11"/>
  <c r="N838" i="11"/>
  <c r="R838" i="11"/>
  <c r="J839" i="11"/>
  <c r="J842" i="11"/>
  <c r="N842" i="11"/>
  <c r="R842" i="11"/>
  <c r="J845" i="11"/>
  <c r="N845" i="11"/>
  <c r="R845" i="11"/>
  <c r="J846" i="11"/>
  <c r="N846" i="11"/>
  <c r="R846" i="11"/>
  <c r="J848" i="11"/>
  <c r="N848" i="11"/>
  <c r="R848" i="11"/>
  <c r="J850" i="11"/>
  <c r="N850" i="11"/>
  <c r="R850" i="11"/>
  <c r="J851" i="11"/>
  <c r="N851" i="11"/>
  <c r="R851" i="11"/>
  <c r="J854" i="11"/>
  <c r="N854" i="11"/>
  <c r="R854" i="11"/>
  <c r="I411" i="11"/>
  <c r="I5" i="11" s="1"/>
  <c r="M411" i="11"/>
  <c r="M5" i="11" s="1"/>
  <c r="Q411" i="11"/>
  <c r="Q5" i="11" s="1"/>
  <c r="N861" i="11"/>
  <c r="N862" i="11"/>
  <c r="J863" i="11"/>
  <c r="N863" i="11"/>
  <c r="R863" i="11"/>
  <c r="J864" i="11"/>
  <c r="N864" i="11"/>
  <c r="R864" i="11"/>
  <c r="J867" i="11"/>
  <c r="N867" i="11"/>
  <c r="R867" i="11"/>
  <c r="J868" i="11"/>
  <c r="N868" i="11"/>
  <c r="R868" i="11"/>
  <c r="J872" i="11"/>
  <c r="N872" i="11"/>
  <c r="R872" i="11"/>
  <c r="J873" i="11"/>
  <c r="N873" i="11"/>
  <c r="R873" i="11"/>
  <c r="J874" i="11"/>
  <c r="N874" i="11"/>
  <c r="R874" i="11"/>
  <c r="J876" i="11"/>
  <c r="N876" i="11"/>
  <c r="R876" i="11"/>
  <c r="J877" i="11"/>
  <c r="N877" i="11"/>
  <c r="R877" i="11"/>
  <c r="J881" i="11"/>
  <c r="N881" i="11"/>
  <c r="R881" i="11"/>
  <c r="J884" i="11"/>
  <c r="N884" i="11"/>
  <c r="R884" i="11"/>
  <c r="J887" i="11"/>
  <c r="N887" i="11"/>
  <c r="R887" i="11"/>
  <c r="J890" i="11"/>
  <c r="N890" i="11"/>
  <c r="R890" i="11"/>
  <c r="H900" i="11"/>
  <c r="L900" i="11"/>
  <c r="P900" i="11"/>
  <c r="H901" i="11"/>
  <c r="L901" i="11"/>
  <c r="P901" i="11"/>
  <c r="H902" i="11"/>
  <c r="L902" i="11"/>
  <c r="P902" i="11"/>
  <c r="H906" i="11"/>
  <c r="L906" i="11"/>
  <c r="P906" i="11"/>
  <c r="H912" i="11"/>
  <c r="L912" i="11"/>
  <c r="P912" i="11"/>
  <c r="H913" i="11"/>
  <c r="P913" i="11"/>
  <c r="L915" i="11"/>
  <c r="P915" i="11"/>
  <c r="H923" i="11"/>
  <c r="L923" i="11"/>
  <c r="P923" i="11"/>
  <c r="H926" i="11"/>
  <c r="L926" i="11"/>
  <c r="P926" i="11"/>
  <c r="H929" i="11"/>
  <c r="L929" i="11"/>
  <c r="P929" i="11"/>
  <c r="J939" i="11"/>
  <c r="N939" i="11"/>
  <c r="R939" i="11"/>
  <c r="J940" i="11"/>
  <c r="N940" i="11"/>
  <c r="R940" i="11"/>
  <c r="J941" i="11"/>
  <c r="N941" i="11"/>
  <c r="R941" i="11"/>
  <c r="J945" i="11"/>
  <c r="N945" i="11"/>
  <c r="R945" i="11"/>
  <c r="J952" i="11"/>
  <c r="N952" i="11"/>
  <c r="R952" i="11"/>
  <c r="J954" i="11"/>
  <c r="N954" i="11"/>
  <c r="R954" i="11"/>
  <c r="N965" i="11"/>
  <c r="M529" i="11"/>
  <c r="M9" i="11" s="1"/>
  <c r="J979" i="11"/>
  <c r="N979" i="11"/>
  <c r="R979" i="11"/>
  <c r="H980" i="11"/>
  <c r="L980" i="11"/>
  <c r="P980" i="11"/>
  <c r="E608" i="11"/>
  <c r="E11" i="11" s="1"/>
  <c r="E1032" i="11"/>
  <c r="G1032" i="11"/>
  <c r="Y1019" i="11"/>
  <c r="Y1023" i="11"/>
  <c r="E1058" i="11"/>
  <c r="G1058" i="11"/>
  <c r="K1058" i="11"/>
  <c r="O1058" i="11"/>
  <c r="S1058" i="11"/>
  <c r="Y1060" i="11"/>
  <c r="E704" i="11"/>
  <c r="E711" i="11"/>
  <c r="E717" i="11"/>
  <c r="E724" i="11"/>
  <c r="E728" i="11"/>
  <c r="E732" i="11"/>
  <c r="Q732" i="11"/>
  <c r="I733" i="11"/>
  <c r="M733" i="11"/>
  <c r="Q733" i="11"/>
  <c r="I734" i="11"/>
  <c r="M734" i="11"/>
  <c r="Q734" i="11"/>
  <c r="I735" i="11"/>
  <c r="M735" i="11"/>
  <c r="Q735" i="11"/>
  <c r="I736" i="11"/>
  <c r="M736" i="11"/>
  <c r="Q736" i="11"/>
  <c r="G743" i="11"/>
  <c r="E743" i="11"/>
  <c r="G744" i="11"/>
  <c r="G745" i="11"/>
  <c r="G746" i="11"/>
  <c r="E744" i="11"/>
  <c r="G747" i="11"/>
  <c r="E745" i="11"/>
  <c r="E746" i="11"/>
  <c r="G749" i="11"/>
  <c r="E747" i="11"/>
  <c r="G750" i="11"/>
  <c r="G751" i="11"/>
  <c r="E749" i="11"/>
  <c r="E750" i="11"/>
  <c r="G753" i="11"/>
  <c r="E751" i="11"/>
  <c r="G754" i="11"/>
  <c r="E753" i="11"/>
  <c r="G755" i="11"/>
  <c r="G756" i="11"/>
  <c r="G757" i="11"/>
  <c r="G758" i="11"/>
  <c r="G759" i="11"/>
  <c r="E757" i="11"/>
  <c r="G760" i="11"/>
  <c r="E759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5" i="11"/>
  <c r="G776" i="11"/>
  <c r="H782" i="11"/>
  <c r="L782" i="11"/>
  <c r="P782" i="11"/>
  <c r="H783" i="11"/>
  <c r="L783" i="11"/>
  <c r="P783" i="11"/>
  <c r="H784" i="11"/>
  <c r="L784" i="11"/>
  <c r="P784" i="11"/>
  <c r="H785" i="11"/>
  <c r="P785" i="11"/>
  <c r="H786" i="11"/>
  <c r="L786" i="11"/>
  <c r="P786" i="11"/>
  <c r="H788" i="11"/>
  <c r="L788" i="11"/>
  <c r="P788" i="11"/>
  <c r="H789" i="11"/>
  <c r="L789" i="11"/>
  <c r="P789" i="11"/>
  <c r="H790" i="11"/>
  <c r="P790" i="11"/>
  <c r="H792" i="11"/>
  <c r="L792" i="11"/>
  <c r="P792" i="11"/>
  <c r="H794" i="11"/>
  <c r="L794" i="11"/>
  <c r="P794" i="11"/>
  <c r="H795" i="11"/>
  <c r="L795" i="11"/>
  <c r="P795" i="11"/>
  <c r="H796" i="11"/>
  <c r="L796" i="11"/>
  <c r="P796" i="11"/>
  <c r="H798" i="11"/>
  <c r="L798" i="11"/>
  <c r="P798" i="11"/>
  <c r="H799" i="11"/>
  <c r="L799" i="11"/>
  <c r="P799" i="11"/>
  <c r="H800" i="11"/>
  <c r="L800" i="11"/>
  <c r="P800" i="11"/>
  <c r="H801" i="11"/>
  <c r="L801" i="11"/>
  <c r="P801" i="11"/>
  <c r="H802" i="11"/>
  <c r="L802" i="11"/>
  <c r="P802" i="11"/>
  <c r="H803" i="11"/>
  <c r="L803" i="11"/>
  <c r="P803" i="11"/>
  <c r="H804" i="11"/>
  <c r="L804" i="11"/>
  <c r="P804" i="11"/>
  <c r="P805" i="11"/>
  <c r="H806" i="11"/>
  <c r="L806" i="11"/>
  <c r="P806" i="11"/>
  <c r="H807" i="11"/>
  <c r="L807" i="11"/>
  <c r="P807" i="11"/>
  <c r="H808" i="11"/>
  <c r="L808" i="11"/>
  <c r="P808" i="11"/>
  <c r="H809" i="11"/>
  <c r="L809" i="11"/>
  <c r="P809" i="11"/>
  <c r="H810" i="11"/>
  <c r="L810" i="11"/>
  <c r="P810" i="11"/>
  <c r="H811" i="11"/>
  <c r="L811" i="11"/>
  <c r="P811" i="11"/>
  <c r="H812" i="11"/>
  <c r="L812" i="11"/>
  <c r="P812" i="11"/>
  <c r="P814" i="11"/>
  <c r="H815" i="11"/>
  <c r="L815" i="11"/>
  <c r="P815" i="11"/>
  <c r="G372" i="11"/>
  <c r="G4" i="11" s="1"/>
  <c r="K372" i="11"/>
  <c r="K4" i="11" s="1"/>
  <c r="O372" i="11"/>
  <c r="O4" i="11" s="1"/>
  <c r="H821" i="11"/>
  <c r="L821" i="11"/>
  <c r="P821" i="11"/>
  <c r="H822" i="11"/>
  <c r="L822" i="11"/>
  <c r="P822" i="11"/>
  <c r="H823" i="11"/>
  <c r="L823" i="11"/>
  <c r="P823" i="11"/>
  <c r="H824" i="11"/>
  <c r="L824" i="11"/>
  <c r="P824" i="11"/>
  <c r="H825" i="11"/>
  <c r="L825" i="11"/>
  <c r="P825" i="11"/>
  <c r="H827" i="11"/>
  <c r="H828" i="11"/>
  <c r="L828" i="11"/>
  <c r="P828" i="11"/>
  <c r="H829" i="11"/>
  <c r="L829" i="11"/>
  <c r="P829" i="11"/>
  <c r="H833" i="11"/>
  <c r="L833" i="11"/>
  <c r="P833" i="11"/>
  <c r="H834" i="11"/>
  <c r="L834" i="11"/>
  <c r="P834" i="11"/>
  <c r="H835" i="11"/>
  <c r="L835" i="11"/>
  <c r="P835" i="11"/>
  <c r="H837" i="11"/>
  <c r="L837" i="11"/>
  <c r="P837" i="11"/>
  <c r="H838" i="11"/>
  <c r="L838" i="11"/>
  <c r="P838" i="11"/>
  <c r="H842" i="11"/>
  <c r="L842" i="11"/>
  <c r="P842" i="11"/>
  <c r="H845" i="11"/>
  <c r="L845" i="11"/>
  <c r="P845" i="11"/>
  <c r="H846" i="11"/>
  <c r="L846" i="11"/>
  <c r="P846" i="11"/>
  <c r="H848" i="11"/>
  <c r="L848" i="11"/>
  <c r="P848" i="11"/>
  <c r="H850" i="11"/>
  <c r="L850" i="11"/>
  <c r="P850" i="11"/>
  <c r="H851" i="11"/>
  <c r="L851" i="11"/>
  <c r="P851" i="11"/>
  <c r="L853" i="11"/>
  <c r="H854" i="11"/>
  <c r="L854" i="11"/>
  <c r="P854" i="11"/>
  <c r="G411" i="11"/>
  <c r="G5" i="11" s="1"/>
  <c r="K411" i="11"/>
  <c r="K5" i="11" s="1"/>
  <c r="O411" i="11"/>
  <c r="O5" i="11" s="1"/>
  <c r="H861" i="11"/>
  <c r="L861" i="11"/>
  <c r="P861" i="11"/>
  <c r="H862" i="11"/>
  <c r="L862" i="11"/>
  <c r="P862" i="11"/>
  <c r="H863" i="11"/>
  <c r="L863" i="11"/>
  <c r="P863" i="11"/>
  <c r="H864" i="11"/>
  <c r="L864" i="11"/>
  <c r="P864" i="11"/>
  <c r="H867" i="11"/>
  <c r="L867" i="11"/>
  <c r="P867" i="11"/>
  <c r="H868" i="11"/>
  <c r="L868" i="11"/>
  <c r="P868" i="11"/>
  <c r="H872" i="11"/>
  <c r="L872" i="11"/>
  <c r="P872" i="11"/>
  <c r="H873" i="11"/>
  <c r="L873" i="11"/>
  <c r="P873" i="11"/>
  <c r="H874" i="11"/>
  <c r="L874" i="11"/>
  <c r="P874" i="11"/>
  <c r="H876" i="11"/>
  <c r="L876" i="11"/>
  <c r="P876" i="11"/>
  <c r="H877" i="11"/>
  <c r="L877" i="11"/>
  <c r="P877" i="11"/>
  <c r="H881" i="11"/>
  <c r="L881" i="11"/>
  <c r="P881" i="11"/>
  <c r="H884" i="11"/>
  <c r="L884" i="11"/>
  <c r="P884" i="11"/>
  <c r="H887" i="11"/>
  <c r="L887" i="11"/>
  <c r="P887" i="11"/>
  <c r="H890" i="11"/>
  <c r="L890" i="11"/>
  <c r="P890" i="11"/>
  <c r="L893" i="11"/>
  <c r="I451" i="11"/>
  <c r="I6" i="11" s="1"/>
  <c r="Q451" i="11"/>
  <c r="Q6" i="11" s="1"/>
  <c r="J900" i="11"/>
  <c r="R900" i="11"/>
  <c r="J901" i="11"/>
  <c r="N901" i="11"/>
  <c r="R901" i="11"/>
  <c r="J902" i="11"/>
  <c r="N902" i="11"/>
  <c r="R902" i="11"/>
  <c r="J903" i="11"/>
  <c r="J906" i="11"/>
  <c r="N906" i="11"/>
  <c r="R906" i="11"/>
  <c r="J912" i="11"/>
  <c r="N912" i="11"/>
  <c r="R912" i="11"/>
  <c r="J913" i="11"/>
  <c r="N913" i="11"/>
  <c r="R913" i="11"/>
  <c r="J915" i="11"/>
  <c r="N915" i="11"/>
  <c r="R915" i="11"/>
  <c r="J920" i="11"/>
  <c r="J923" i="11"/>
  <c r="N923" i="11"/>
  <c r="R923" i="11"/>
  <c r="J926" i="11"/>
  <c r="N926" i="11"/>
  <c r="R926" i="11"/>
  <c r="J929" i="11"/>
  <c r="N929" i="11"/>
  <c r="R929" i="11"/>
  <c r="G490" i="11"/>
  <c r="G7" i="11" s="1"/>
  <c r="K490" i="11"/>
  <c r="K7" i="11" s="1"/>
  <c r="H939" i="11"/>
  <c r="L939" i="11"/>
  <c r="P939" i="11"/>
  <c r="H940" i="11"/>
  <c r="L940" i="11"/>
  <c r="P940" i="11"/>
  <c r="H941" i="11"/>
  <c r="L941" i="11"/>
  <c r="P941" i="11"/>
  <c r="H945" i="11"/>
  <c r="L945" i="11"/>
  <c r="P945" i="11"/>
  <c r="H952" i="11"/>
  <c r="L952" i="11"/>
  <c r="P952" i="11"/>
  <c r="H954" i="11"/>
  <c r="L954" i="11"/>
  <c r="P954" i="11"/>
  <c r="P968" i="11"/>
  <c r="O529" i="11"/>
  <c r="O9" i="11" s="1"/>
  <c r="V569" i="11"/>
  <c r="J978" i="11"/>
  <c r="N978" i="11"/>
  <c r="R978" i="11"/>
  <c r="J980" i="11"/>
  <c r="N980" i="11"/>
  <c r="R980" i="11"/>
  <c r="K569" i="11"/>
  <c r="K10" i="11" s="1"/>
  <c r="S569" i="11"/>
  <c r="S10" i="11" s="1"/>
  <c r="V10" i="11" s="1"/>
  <c r="E1018" i="11"/>
  <c r="G1018" i="11"/>
  <c r="E1030" i="11"/>
  <c r="G1030" i="11"/>
  <c r="Y1017" i="11"/>
  <c r="Y1021" i="11"/>
  <c r="Y1025" i="11"/>
  <c r="Y1027" i="11"/>
  <c r="H608" i="11"/>
  <c r="H11" i="11" s="1"/>
  <c r="P608" i="11"/>
  <c r="P11" i="11" s="1"/>
  <c r="E1056" i="11"/>
  <c r="G1056" i="11"/>
  <c r="I1058" i="11"/>
  <c r="M1058" i="11"/>
  <c r="Q1058" i="11"/>
  <c r="V697" i="11"/>
  <c r="E706" i="11"/>
  <c r="E709" i="11"/>
  <c r="E713" i="11"/>
  <c r="E726" i="11"/>
  <c r="E730" i="11"/>
  <c r="E763" i="11"/>
  <c r="E765" i="11"/>
  <c r="E767" i="11"/>
  <c r="E769" i="11"/>
  <c r="E771" i="11"/>
  <c r="E773" i="11"/>
  <c r="I978" i="11"/>
  <c r="M978" i="11"/>
  <c r="Q978" i="11"/>
  <c r="I979" i="11"/>
  <c r="M979" i="11"/>
  <c r="Q979" i="11"/>
  <c r="I980" i="11"/>
  <c r="M980" i="11"/>
  <c r="Q980" i="11"/>
  <c r="I984" i="11"/>
  <c r="M984" i="11"/>
  <c r="Q984" i="11"/>
  <c r="I991" i="11"/>
  <c r="M991" i="11"/>
  <c r="Q991" i="11"/>
  <c r="I993" i="11"/>
  <c r="M993" i="11"/>
  <c r="Q993" i="11"/>
  <c r="J1017" i="11"/>
  <c r="N1017" i="11"/>
  <c r="R1017" i="11"/>
  <c r="J1018" i="11"/>
  <c r="N1018" i="11"/>
  <c r="J1019" i="11"/>
  <c r="N1019" i="11"/>
  <c r="R1019" i="11"/>
  <c r="J1030" i="11"/>
  <c r="N1030" i="11"/>
  <c r="R1030" i="11"/>
  <c r="J1032" i="11"/>
  <c r="N1032" i="11"/>
  <c r="R1032" i="11"/>
  <c r="H1056" i="11"/>
  <c r="L1056" i="11"/>
  <c r="P1056" i="11"/>
  <c r="H1058" i="11"/>
  <c r="L1058" i="11"/>
  <c r="P1058" i="11"/>
  <c r="H1071" i="11"/>
  <c r="L1071" i="11"/>
  <c r="P1071" i="11"/>
  <c r="E984" i="11"/>
  <c r="G984" i="11"/>
  <c r="K984" i="11"/>
  <c r="O984" i="11"/>
  <c r="S984" i="11"/>
  <c r="S990" i="11"/>
  <c r="E991" i="11"/>
  <c r="G991" i="11"/>
  <c r="K991" i="11"/>
  <c r="O991" i="11"/>
  <c r="S991" i="11"/>
  <c r="E993" i="11"/>
  <c r="G993" i="11"/>
  <c r="K993" i="11"/>
  <c r="O993" i="11"/>
  <c r="S993" i="11"/>
  <c r="H569" i="11"/>
  <c r="H10" i="11" s="1"/>
  <c r="L569" i="11"/>
  <c r="L10" i="11" s="1"/>
  <c r="P569" i="11"/>
  <c r="P10" i="11" s="1"/>
  <c r="H1017" i="11"/>
  <c r="L1017" i="11"/>
  <c r="P1017" i="11"/>
  <c r="H1018" i="11"/>
  <c r="L1018" i="11"/>
  <c r="P1018" i="11"/>
  <c r="H1019" i="11"/>
  <c r="L1019" i="11"/>
  <c r="P1019" i="11"/>
  <c r="H1030" i="11"/>
  <c r="L1030" i="11"/>
  <c r="P1030" i="11"/>
  <c r="H1032" i="11"/>
  <c r="L1032" i="11"/>
  <c r="P1032" i="11"/>
  <c r="I608" i="11"/>
  <c r="I11" i="11" s="1"/>
  <c r="M608" i="11"/>
  <c r="M11" i="11" s="1"/>
  <c r="Q608" i="11"/>
  <c r="Q11" i="11" s="1"/>
  <c r="J1056" i="11"/>
  <c r="N1056" i="11"/>
  <c r="R1056" i="11"/>
  <c r="J1058" i="11"/>
  <c r="N1058" i="11"/>
  <c r="R1058" i="11"/>
  <c r="J1071" i="11"/>
  <c r="N1071" i="11"/>
  <c r="R1071" i="11"/>
  <c r="V652" i="11"/>
  <c r="Y1074" i="11" s="1"/>
  <c r="P775" i="11"/>
  <c r="L775" i="11"/>
  <c r="R775" i="11"/>
  <c r="N775" i="11"/>
  <c r="J775" i="11"/>
  <c r="S775" i="11"/>
  <c r="K775" i="11"/>
  <c r="Q775" i="11"/>
  <c r="I775" i="11"/>
  <c r="P776" i="11"/>
  <c r="L776" i="11"/>
  <c r="R776" i="11"/>
  <c r="N776" i="11"/>
  <c r="J776" i="11"/>
  <c r="S776" i="11"/>
  <c r="K776" i="11"/>
  <c r="Q776" i="11"/>
  <c r="I776" i="11"/>
  <c r="Q737" i="11"/>
  <c r="M737" i="11"/>
  <c r="I737" i="11"/>
  <c r="E737" i="11"/>
  <c r="F777" i="11"/>
  <c r="O737" i="11"/>
  <c r="K737" i="11"/>
  <c r="G737" i="11"/>
  <c r="R737" i="11"/>
  <c r="J737" i="11"/>
  <c r="P737" i="11"/>
  <c r="H737" i="11"/>
  <c r="O775" i="11"/>
  <c r="O776" i="11"/>
  <c r="H1108" i="11"/>
  <c r="I1095" i="11"/>
  <c r="H1107" i="11"/>
  <c r="I1094" i="11"/>
  <c r="J1096" i="11"/>
  <c r="H1111" i="11"/>
  <c r="I1098" i="11"/>
  <c r="I1106" i="11"/>
  <c r="J1093" i="11"/>
  <c r="H1106" i="11"/>
  <c r="H1110" i="11"/>
  <c r="I1097" i="11"/>
  <c r="V1105" i="11"/>
  <c r="E1102" i="11"/>
  <c r="E1103" i="11" s="1"/>
  <c r="N916" i="11" l="1"/>
  <c r="R831" i="11"/>
  <c r="T4" i="11"/>
  <c r="G990" i="11"/>
  <c r="M951" i="11"/>
  <c r="P1072" i="11"/>
  <c r="R1029" i="11"/>
  <c r="G962" i="11"/>
  <c r="T9" i="11"/>
  <c r="Q1033" i="11"/>
  <c r="F880" i="11"/>
  <c r="K841" i="11"/>
  <c r="E841" i="11"/>
  <c r="O841" i="11"/>
  <c r="Q841" i="11"/>
  <c r="G841" i="11"/>
  <c r="R841" i="11"/>
  <c r="P841" i="11"/>
  <c r="I841" i="11"/>
  <c r="J841" i="11"/>
  <c r="H841" i="11"/>
  <c r="F882" i="11"/>
  <c r="Q882" i="11" s="1"/>
  <c r="Q843" i="11"/>
  <c r="K843" i="11"/>
  <c r="M843" i="11"/>
  <c r="E843" i="11"/>
  <c r="J843" i="11"/>
  <c r="H843" i="11"/>
  <c r="N843" i="11"/>
  <c r="L843" i="11"/>
  <c r="O843" i="11"/>
  <c r="R843" i="11"/>
  <c r="P843" i="11"/>
  <c r="K827" i="11"/>
  <c r="E827" i="11"/>
  <c r="J827" i="11"/>
  <c r="G827" i="11"/>
  <c r="R827" i="11"/>
  <c r="L827" i="11"/>
  <c r="P827" i="11"/>
  <c r="O827" i="11"/>
  <c r="F878" i="11"/>
  <c r="I878" i="11" s="1"/>
  <c r="S839" i="11"/>
  <c r="G839" i="11"/>
  <c r="I839" i="11"/>
  <c r="Q839" i="11"/>
  <c r="O839" i="11"/>
  <c r="N839" i="11"/>
  <c r="L839" i="11"/>
  <c r="R839" i="11"/>
  <c r="P839" i="11"/>
  <c r="E839" i="11"/>
  <c r="M920" i="11"/>
  <c r="I920" i="11"/>
  <c r="H920" i="11"/>
  <c r="N920" i="11"/>
  <c r="L920" i="11"/>
  <c r="R920" i="11"/>
  <c r="Q920" i="11"/>
  <c r="E920" i="11"/>
  <c r="P920" i="11"/>
  <c r="L841" i="11"/>
  <c r="S843" i="11"/>
  <c r="S827" i="11"/>
  <c r="H839" i="11"/>
  <c r="N841" i="11"/>
  <c r="N827" i="11"/>
  <c r="G843" i="11"/>
  <c r="M841" i="11"/>
  <c r="S841" i="11"/>
  <c r="L951" i="11"/>
  <c r="E1072" i="11"/>
  <c r="L955" i="11"/>
  <c r="R951" i="11"/>
  <c r="O951" i="11"/>
  <c r="R994" i="11"/>
  <c r="K946" i="11"/>
  <c r="S962" i="11"/>
  <c r="Q990" i="11"/>
  <c r="L990" i="11"/>
  <c r="E1029" i="11"/>
  <c r="J853" i="11"/>
  <c r="H990" i="11"/>
  <c r="O955" i="11"/>
  <c r="E951" i="11"/>
  <c r="S893" i="11"/>
  <c r="E1023" i="11"/>
  <c r="E663" i="11" s="1"/>
  <c r="R990" i="11"/>
  <c r="Q955" i="11"/>
  <c r="AC533" i="11"/>
  <c r="AE533" i="11" s="1"/>
  <c r="AE954" i="11" s="1"/>
  <c r="M1023" i="11"/>
  <c r="S831" i="11"/>
  <c r="K1033" i="11"/>
  <c r="S814" i="11"/>
  <c r="R108" i="11"/>
  <c r="O990" i="11"/>
  <c r="M1072" i="11"/>
  <c r="L1029" i="11"/>
  <c r="K990" i="11"/>
  <c r="J1029" i="11"/>
  <c r="M990" i="11"/>
  <c r="J951" i="11"/>
  <c r="G951" i="11"/>
  <c r="O870" i="11"/>
  <c r="Q831" i="11"/>
  <c r="Q1029" i="11"/>
  <c r="P1029" i="11"/>
  <c r="G994" i="11"/>
  <c r="N1033" i="11"/>
  <c r="N1029" i="11"/>
  <c r="H951" i="11"/>
  <c r="L870" i="11"/>
  <c r="P831" i="11"/>
  <c r="R962" i="11"/>
  <c r="J955" i="11"/>
  <c r="N951" i="11"/>
  <c r="L946" i="11"/>
  <c r="N1072" i="11"/>
  <c r="H1029" i="11"/>
  <c r="E990" i="11"/>
  <c r="N1023" i="11"/>
  <c r="I990" i="11"/>
  <c r="P951" i="11"/>
  <c r="J946" i="11"/>
  <c r="P916" i="11"/>
  <c r="L907" i="11"/>
  <c r="H903" i="11"/>
  <c r="R805" i="11"/>
  <c r="P990" i="11"/>
  <c r="S951" i="11"/>
  <c r="G831" i="11"/>
  <c r="G1033" i="11"/>
  <c r="E870" i="11"/>
  <c r="G814" i="11"/>
  <c r="Q951" i="11"/>
  <c r="G907" i="11"/>
  <c r="Q885" i="11"/>
  <c r="O1023" i="11"/>
  <c r="S916" i="11"/>
  <c r="Q814" i="11"/>
  <c r="P994" i="11"/>
  <c r="M916" i="11"/>
  <c r="H853" i="11"/>
  <c r="L814" i="11"/>
  <c r="O814" i="11"/>
  <c r="L965" i="11"/>
  <c r="W7" i="11"/>
  <c r="H814" i="11"/>
  <c r="E752" i="11"/>
  <c r="G752" i="11"/>
  <c r="J893" i="11"/>
  <c r="R889" i="11"/>
  <c r="R885" i="11"/>
  <c r="R853" i="11"/>
  <c r="N847" i="11"/>
  <c r="J814" i="11"/>
  <c r="P903" i="11"/>
  <c r="E903" i="11"/>
  <c r="E853" i="11"/>
  <c r="I853" i="11"/>
  <c r="K847" i="11"/>
  <c r="I814" i="11"/>
  <c r="R814" i="11"/>
  <c r="N814" i="11"/>
  <c r="M853" i="11"/>
  <c r="M814" i="11"/>
  <c r="N903" i="11"/>
  <c r="P893" i="11"/>
  <c r="H885" i="11"/>
  <c r="P853" i="11"/>
  <c r="H847" i="11"/>
  <c r="L903" i="11"/>
  <c r="J885" i="11"/>
  <c r="N853" i="11"/>
  <c r="S885" i="11"/>
  <c r="E814" i="11"/>
  <c r="I860" i="11"/>
  <c r="Q791" i="11"/>
  <c r="Q903" i="11"/>
  <c r="R840" i="11"/>
  <c r="L968" i="11"/>
  <c r="R911" i="11"/>
  <c r="H893" i="11"/>
  <c r="P885" i="11"/>
  <c r="L860" i="11"/>
  <c r="X5" i="11"/>
  <c r="L805" i="11"/>
  <c r="H793" i="11"/>
  <c r="P791" i="11"/>
  <c r="R968" i="11"/>
  <c r="J860" i="11"/>
  <c r="J805" i="11"/>
  <c r="R791" i="11"/>
  <c r="G965" i="11"/>
  <c r="G893" i="11"/>
  <c r="O805" i="11"/>
  <c r="G903" i="11"/>
  <c r="I885" i="11"/>
  <c r="G849" i="11"/>
  <c r="I805" i="11"/>
  <c r="E793" i="11"/>
  <c r="M911" i="11"/>
  <c r="S968" i="11"/>
  <c r="S903" i="11"/>
  <c r="J1092" i="11"/>
  <c r="H968" i="11"/>
  <c r="J911" i="11"/>
  <c r="R903" i="11"/>
  <c r="P849" i="11"/>
  <c r="H805" i="11"/>
  <c r="H791" i="11"/>
  <c r="J968" i="11"/>
  <c r="L911" i="11"/>
  <c r="P911" i="11"/>
  <c r="I911" i="11"/>
  <c r="K814" i="11"/>
  <c r="H180" i="11"/>
  <c r="H181" i="11" s="1"/>
  <c r="H182" i="11" s="1"/>
  <c r="I189" i="11"/>
  <c r="I192" i="11" s="1"/>
  <c r="I180" i="11" s="1"/>
  <c r="Y56" i="11"/>
  <c r="AA56" i="11" s="1"/>
  <c r="AC56" i="11" s="1"/>
  <c r="AE56" i="11" s="1"/>
  <c r="AH56" i="11"/>
  <c r="J1072" i="11"/>
  <c r="P1033" i="11"/>
  <c r="P1023" i="11"/>
  <c r="S994" i="11"/>
  <c r="E994" i="11"/>
  <c r="L1072" i="11"/>
  <c r="J1033" i="11"/>
  <c r="J1023" i="11"/>
  <c r="Q994" i="11"/>
  <c r="S1072" i="11"/>
  <c r="G1072" i="11"/>
  <c r="P962" i="11"/>
  <c r="H955" i="11"/>
  <c r="H946" i="11"/>
  <c r="J916" i="11"/>
  <c r="R907" i="11"/>
  <c r="H870" i="11"/>
  <c r="L831" i="11"/>
  <c r="I1072" i="11"/>
  <c r="N962" i="11"/>
  <c r="L916" i="11"/>
  <c r="H907" i="11"/>
  <c r="R870" i="11"/>
  <c r="N831" i="11"/>
  <c r="K955" i="11"/>
  <c r="Q907" i="11"/>
  <c r="E946" i="11"/>
  <c r="M955" i="11"/>
  <c r="S907" i="11"/>
  <c r="E907" i="11"/>
  <c r="K1023" i="11"/>
  <c r="X11" i="11"/>
  <c r="I1023" i="11"/>
  <c r="N994" i="11"/>
  <c r="O962" i="11"/>
  <c r="O831" i="11"/>
  <c r="O916" i="11"/>
  <c r="K870" i="11"/>
  <c r="M831" i="11"/>
  <c r="Y50" i="11"/>
  <c r="AA50" i="11" s="1"/>
  <c r="AC50" i="11" s="1"/>
  <c r="AE50" i="11" s="1"/>
  <c r="AH50" i="11"/>
  <c r="L994" i="11"/>
  <c r="I916" i="11"/>
  <c r="M1033" i="11"/>
  <c r="Y60" i="11"/>
  <c r="AA60" i="11" s="1"/>
  <c r="AC60" i="11" s="1"/>
  <c r="AE60" i="11" s="1"/>
  <c r="AH60" i="11"/>
  <c r="D78" i="11"/>
  <c r="D82" i="11" s="1"/>
  <c r="G1029" i="11"/>
  <c r="G946" i="11"/>
  <c r="G916" i="11"/>
  <c r="Y993" i="11"/>
  <c r="N990" i="11"/>
  <c r="I955" i="11"/>
  <c r="I951" i="11"/>
  <c r="O907" i="11"/>
  <c r="H193" i="11"/>
  <c r="J994" i="11"/>
  <c r="S946" i="11"/>
  <c r="K962" i="11"/>
  <c r="K831" i="11"/>
  <c r="K916" i="11"/>
  <c r="I831" i="11"/>
  <c r="W47" i="11"/>
  <c r="AH47" i="11"/>
  <c r="Y54" i="11"/>
  <c r="AA54" i="11" s="1"/>
  <c r="AC54" i="11" s="1"/>
  <c r="AE54" i="11" s="1"/>
  <c r="AH54" i="11"/>
  <c r="S1033" i="11"/>
  <c r="M1029" i="11"/>
  <c r="H994" i="11"/>
  <c r="I1033" i="11"/>
  <c r="K1029" i="11"/>
  <c r="Y74" i="11"/>
  <c r="AH74" i="11"/>
  <c r="L1033" i="11"/>
  <c r="L1023" i="11"/>
  <c r="O994" i="11"/>
  <c r="H1072" i="11"/>
  <c r="M994" i="11"/>
  <c r="O1072" i="11"/>
  <c r="L962" i="11"/>
  <c r="N907" i="11"/>
  <c r="H831" i="11"/>
  <c r="J962" i="11"/>
  <c r="R955" i="11"/>
  <c r="R946" i="11"/>
  <c r="H916" i="11"/>
  <c r="N870" i="11"/>
  <c r="J831" i="11"/>
  <c r="E955" i="11"/>
  <c r="M907" i="11"/>
  <c r="R1072" i="11"/>
  <c r="H1033" i="11"/>
  <c r="H1023" i="11"/>
  <c r="K994" i="11"/>
  <c r="R1033" i="11"/>
  <c r="R1023" i="11"/>
  <c r="I994" i="11"/>
  <c r="K1072" i="11"/>
  <c r="H962" i="11"/>
  <c r="P955" i="11"/>
  <c r="P946" i="11"/>
  <c r="R916" i="11"/>
  <c r="J907" i="11"/>
  <c r="P870" i="11"/>
  <c r="N955" i="11"/>
  <c r="N946" i="11"/>
  <c r="P907" i="11"/>
  <c r="J870" i="11"/>
  <c r="S955" i="11"/>
  <c r="G955" i="11"/>
  <c r="K951" i="11"/>
  <c r="I907" i="11"/>
  <c r="E831" i="11"/>
  <c r="E1033" i="11"/>
  <c r="G1023" i="11"/>
  <c r="E916" i="11"/>
  <c r="G870" i="11"/>
  <c r="Y675" i="11"/>
  <c r="J990" i="11"/>
  <c r="K907" i="11"/>
  <c r="V138" i="11"/>
  <c r="AH138" i="11" s="1"/>
  <c r="AH136" i="11"/>
  <c r="S1023" i="11"/>
  <c r="Q1023" i="11"/>
  <c r="W51" i="11"/>
  <c r="AH51" i="11"/>
  <c r="Y48" i="11"/>
  <c r="AA48" i="11" s="1"/>
  <c r="AC48" i="11" s="1"/>
  <c r="AE48" i="11" s="1"/>
  <c r="AH48" i="11"/>
  <c r="Y62" i="11"/>
  <c r="AA62" i="11" s="1"/>
  <c r="AC62" i="11" s="1"/>
  <c r="AE62" i="11" s="1"/>
  <c r="AH62" i="11"/>
  <c r="O1033" i="11"/>
  <c r="Q916" i="11"/>
  <c r="H1115" i="11"/>
  <c r="H1117" i="11" s="1"/>
  <c r="P97" i="11"/>
  <c r="P104" i="11"/>
  <c r="P90" i="11"/>
  <c r="O92" i="11"/>
  <c r="F1068" i="11"/>
  <c r="S1029" i="11"/>
  <c r="O1029" i="11"/>
  <c r="F942" i="11"/>
  <c r="I903" i="11"/>
  <c r="M903" i="11"/>
  <c r="W50" i="11"/>
  <c r="V851" i="11"/>
  <c r="V835" i="11"/>
  <c r="W49" i="11"/>
  <c r="Y49" i="11"/>
  <c r="AA49" i="11" s="1"/>
  <c r="AC49" i="11" s="1"/>
  <c r="AE49" i="11" s="1"/>
  <c r="I165" i="11"/>
  <c r="I168" i="11" s="1"/>
  <c r="I160" i="11"/>
  <c r="I171" i="11" s="1"/>
  <c r="I174" i="11" s="1"/>
  <c r="F888" i="11"/>
  <c r="K849" i="11"/>
  <c r="O849" i="11"/>
  <c r="I849" i="11"/>
  <c r="E849" i="11"/>
  <c r="Q849" i="11"/>
  <c r="R849" i="11"/>
  <c r="J849" i="11"/>
  <c r="E83" i="11"/>
  <c r="E78" i="11"/>
  <c r="E82" i="11" s="1"/>
  <c r="F1004" i="11"/>
  <c r="M965" i="11"/>
  <c r="E965" i="11"/>
  <c r="S965" i="11"/>
  <c r="J965" i="11"/>
  <c r="O965" i="11"/>
  <c r="H965" i="11"/>
  <c r="F879" i="11"/>
  <c r="S840" i="11"/>
  <c r="O840" i="11"/>
  <c r="K840" i="11"/>
  <c r="Q840" i="11"/>
  <c r="N840" i="11"/>
  <c r="G840" i="11"/>
  <c r="J840" i="11"/>
  <c r="P840" i="11"/>
  <c r="F832" i="11"/>
  <c r="G793" i="11"/>
  <c r="S793" i="11"/>
  <c r="Q793" i="11"/>
  <c r="N793" i="11"/>
  <c r="K793" i="11"/>
  <c r="I793" i="11"/>
  <c r="J793" i="11"/>
  <c r="F787" i="11"/>
  <c r="E748" i="11"/>
  <c r="F928" i="11"/>
  <c r="M889" i="11"/>
  <c r="E889" i="11"/>
  <c r="I889" i="11"/>
  <c r="Q889" i="11"/>
  <c r="O889" i="11"/>
  <c r="G889" i="11"/>
  <c r="K889" i="11"/>
  <c r="P889" i="11"/>
  <c r="L849" i="11"/>
  <c r="L840" i="11"/>
  <c r="V823" i="11"/>
  <c r="P793" i="11"/>
  <c r="N889" i="11"/>
  <c r="V372" i="11"/>
  <c r="K72" i="11"/>
  <c r="L72" i="11" s="1"/>
  <c r="M72" i="11" s="1"/>
  <c r="N72" i="11" s="1"/>
  <c r="M840" i="11"/>
  <c r="P965" i="11"/>
  <c r="V915" i="11"/>
  <c r="L889" i="11"/>
  <c r="H849" i="11"/>
  <c r="H840" i="11"/>
  <c r="L793" i="11"/>
  <c r="G748" i="11"/>
  <c r="R965" i="11"/>
  <c r="J889" i="11"/>
  <c r="N849" i="11"/>
  <c r="K965" i="11"/>
  <c r="S889" i="11"/>
  <c r="M793" i="11"/>
  <c r="Q965" i="11"/>
  <c r="O793" i="11"/>
  <c r="W62" i="11"/>
  <c r="M849" i="11"/>
  <c r="I840" i="11"/>
  <c r="W4" i="11"/>
  <c r="F886" i="11"/>
  <c r="S847" i="11"/>
  <c r="I847" i="11"/>
  <c r="G847" i="11"/>
  <c r="M847" i="11"/>
  <c r="O847" i="11"/>
  <c r="E847" i="11"/>
  <c r="J847" i="11"/>
  <c r="F950" i="11"/>
  <c r="K911" i="11"/>
  <c r="Q911" i="11"/>
  <c r="O911" i="11"/>
  <c r="E911" i="11"/>
  <c r="G911" i="11"/>
  <c r="H911" i="11"/>
  <c r="F932" i="11"/>
  <c r="K893" i="11"/>
  <c r="M893" i="11"/>
  <c r="E893" i="11"/>
  <c r="I893" i="11"/>
  <c r="F924" i="11"/>
  <c r="K885" i="11"/>
  <c r="M885" i="11"/>
  <c r="E885" i="11"/>
  <c r="G885" i="11"/>
  <c r="F899" i="11"/>
  <c r="K860" i="11"/>
  <c r="S860" i="11"/>
  <c r="O860" i="11"/>
  <c r="Q860" i="11"/>
  <c r="M860" i="11"/>
  <c r="N860" i="11"/>
  <c r="R860" i="11"/>
  <c r="F844" i="11"/>
  <c r="N805" i="11"/>
  <c r="Q805" i="11"/>
  <c r="E805" i="11"/>
  <c r="M805" i="11"/>
  <c r="G805" i="11"/>
  <c r="F830" i="11"/>
  <c r="I791" i="11"/>
  <c r="M791" i="11"/>
  <c r="K791" i="11"/>
  <c r="O791" i="11"/>
  <c r="S791" i="11"/>
  <c r="G791" i="11"/>
  <c r="F1007" i="11"/>
  <c r="E968" i="11"/>
  <c r="K968" i="11"/>
  <c r="I968" i="11"/>
  <c r="O968" i="11"/>
  <c r="Q968" i="11"/>
  <c r="G968" i="11"/>
  <c r="N911" i="11"/>
  <c r="P860" i="11"/>
  <c r="L847" i="11"/>
  <c r="L791" i="11"/>
  <c r="E657" i="11"/>
  <c r="N968" i="11"/>
  <c r="N893" i="11"/>
  <c r="N885" i="11"/>
  <c r="R847" i="11"/>
  <c r="S805" i="11"/>
  <c r="E791" i="11"/>
  <c r="Q893" i="11"/>
  <c r="G860" i="11"/>
  <c r="V166" i="11"/>
  <c r="AH166" i="11" s="1"/>
  <c r="F921" i="11"/>
  <c r="I882" i="11"/>
  <c r="F797" i="11"/>
  <c r="E758" i="11"/>
  <c r="F866" i="11"/>
  <c r="M827" i="11"/>
  <c r="I827" i="11"/>
  <c r="Q827" i="11"/>
  <c r="Q878" i="11"/>
  <c r="M878" i="11"/>
  <c r="F959" i="11"/>
  <c r="O920" i="11"/>
  <c r="K920" i="11"/>
  <c r="S920" i="11"/>
  <c r="F892" i="11"/>
  <c r="S853" i="11"/>
  <c r="O853" i="11"/>
  <c r="K853" i="11"/>
  <c r="F1001" i="11"/>
  <c r="M962" i="11"/>
  <c r="I962" i="11"/>
  <c r="Q962" i="11"/>
  <c r="F813" i="11"/>
  <c r="E774" i="11"/>
  <c r="F909" i="11"/>
  <c r="Q870" i="11"/>
  <c r="M870" i="11"/>
  <c r="I870" i="11"/>
  <c r="F985" i="11"/>
  <c r="I946" i="11"/>
  <c r="Q946" i="11"/>
  <c r="M946" i="11"/>
  <c r="F66" i="11"/>
  <c r="F83" i="11" s="1"/>
  <c r="V993" i="11"/>
  <c r="W46" i="11"/>
  <c r="Y46" i="11"/>
  <c r="AA46" i="11" s="1"/>
  <c r="AC46" i="11" s="1"/>
  <c r="AE46" i="11" s="1"/>
  <c r="H171" i="11"/>
  <c r="W56" i="11"/>
  <c r="Y47" i="11"/>
  <c r="AA47" i="11" s="1"/>
  <c r="AC47" i="11" s="1"/>
  <c r="AE47" i="11" s="1"/>
  <c r="W60" i="11"/>
  <c r="Y51" i="11"/>
  <c r="AA51" i="11" s="1"/>
  <c r="AC51" i="11" s="1"/>
  <c r="AE51" i="11" s="1"/>
  <c r="W48" i="11"/>
  <c r="W6" i="11"/>
  <c r="X6" i="11"/>
  <c r="E776" i="11"/>
  <c r="E3" i="11"/>
  <c r="E13" i="11" s="1"/>
  <c r="E15" i="11" s="1"/>
  <c r="W9" i="11"/>
  <c r="X9" i="11"/>
  <c r="V812" i="11"/>
  <c r="V808" i="11"/>
  <c r="V796" i="11"/>
  <c r="V734" i="11"/>
  <c r="V727" i="11"/>
  <c r="V776" i="11"/>
  <c r="V1019" i="11"/>
  <c r="V991" i="11"/>
  <c r="V984" i="11"/>
  <c r="V979" i="11"/>
  <c r="V728" i="11"/>
  <c r="V720" i="11"/>
  <c r="Y415" i="11"/>
  <c r="Y835" i="11" s="1"/>
  <c r="E256" i="11"/>
  <c r="AA496" i="11"/>
  <c r="AA917" i="11" s="1"/>
  <c r="V529" i="11"/>
  <c r="X7" i="11"/>
  <c r="V131" i="11"/>
  <c r="AH131" i="11" s="1"/>
  <c r="W11" i="11"/>
  <c r="V490" i="11"/>
  <c r="Y454" i="11"/>
  <c r="Y490" i="11" s="1"/>
  <c r="AC535" i="11"/>
  <c r="AC956" i="11" s="1"/>
  <c r="V978" i="11"/>
  <c r="X4" i="11"/>
  <c r="V804" i="11"/>
  <c r="V800" i="11"/>
  <c r="V792" i="11"/>
  <c r="V789" i="11"/>
  <c r="V775" i="11"/>
  <c r="E658" i="11"/>
  <c r="V945" i="11"/>
  <c r="V941" i="11"/>
  <c r="V890" i="11"/>
  <c r="V874" i="11"/>
  <c r="V862" i="11"/>
  <c r="E672" i="11"/>
  <c r="V712" i="11"/>
  <c r="W54" i="11"/>
  <c r="I1111" i="11"/>
  <c r="J1098" i="11"/>
  <c r="J1094" i="11"/>
  <c r="I1107" i="11"/>
  <c r="J1095" i="11"/>
  <c r="I1108" i="11"/>
  <c r="V1017" i="11"/>
  <c r="V1056" i="11"/>
  <c r="V939" i="11"/>
  <c r="V884" i="11"/>
  <c r="V876" i="11"/>
  <c r="V872" i="11"/>
  <c r="V868" i="11"/>
  <c r="V864" i="11"/>
  <c r="V845" i="11"/>
  <c r="V837" i="11"/>
  <c r="V833" i="11"/>
  <c r="V829" i="11"/>
  <c r="V825" i="11"/>
  <c r="V821" i="11"/>
  <c r="V810" i="11"/>
  <c r="V806" i="11"/>
  <c r="V802" i="11"/>
  <c r="V798" i="11"/>
  <c r="V794" i="11"/>
  <c r="V784" i="11"/>
  <c r="E670" i="11"/>
  <c r="V902" i="11"/>
  <c r="G672" i="11"/>
  <c r="Y916" i="11"/>
  <c r="AA495" i="11"/>
  <c r="Y839" i="11"/>
  <c r="AA419" i="11"/>
  <c r="AA346" i="11"/>
  <c r="V736" i="11"/>
  <c r="AE269" i="11"/>
  <c r="E739" i="11"/>
  <c r="E17" i="11" s="1"/>
  <c r="AA838" i="11"/>
  <c r="AC418" i="11"/>
  <c r="AA761" i="11"/>
  <c r="AC341" i="11"/>
  <c r="Y710" i="11"/>
  <c r="V725" i="11"/>
  <c r="V717" i="11"/>
  <c r="Y1032" i="11"/>
  <c r="AA611" i="11"/>
  <c r="AA995" i="11"/>
  <c r="AC574" i="11"/>
  <c r="Y529" i="11"/>
  <c r="AA463" i="11"/>
  <c r="Y372" i="11"/>
  <c r="V726" i="11"/>
  <c r="Y994" i="11"/>
  <c r="AA573" i="11"/>
  <c r="AC954" i="11"/>
  <c r="AA836" i="11"/>
  <c r="AC416" i="11"/>
  <c r="AE274" i="11"/>
  <c r="K159" i="11"/>
  <c r="Y57" i="11"/>
  <c r="AA57" i="11" s="1"/>
  <c r="AC57" i="11" s="1"/>
  <c r="AE57" i="11" s="1"/>
  <c r="W57" i="11"/>
  <c r="J113" i="11"/>
  <c r="J170" i="11"/>
  <c r="I179" i="11"/>
  <c r="J184" i="11"/>
  <c r="J187" i="11" s="1"/>
  <c r="J1106" i="11"/>
  <c r="K1093" i="11"/>
  <c r="P777" i="11"/>
  <c r="L777" i="11"/>
  <c r="H777" i="11"/>
  <c r="R777" i="11"/>
  <c r="N777" i="11"/>
  <c r="J777" i="11"/>
  <c r="S777" i="11"/>
  <c r="K777" i="11"/>
  <c r="Q777" i="11"/>
  <c r="I777" i="11"/>
  <c r="O777" i="11"/>
  <c r="G777" i="11"/>
  <c r="E777" i="11"/>
  <c r="F816" i="11"/>
  <c r="M777" i="11"/>
  <c r="V1030" i="11"/>
  <c r="V1018" i="11"/>
  <c r="X10" i="11"/>
  <c r="W10" i="11"/>
  <c r="V952" i="11"/>
  <c r="V940" i="11"/>
  <c r="V881" i="11"/>
  <c r="V877" i="11"/>
  <c r="V873" i="11"/>
  <c r="V861" i="11"/>
  <c r="V854" i="11"/>
  <c r="V850" i="11"/>
  <c r="V846" i="11"/>
  <c r="V842" i="11"/>
  <c r="V838" i="11"/>
  <c r="V834" i="11"/>
  <c r="V822" i="11"/>
  <c r="V815" i="11"/>
  <c r="V811" i="11"/>
  <c r="V807" i="11"/>
  <c r="V803" i="11"/>
  <c r="V799" i="11"/>
  <c r="V795" i="11"/>
  <c r="V788" i="11"/>
  <c r="V785" i="11"/>
  <c r="V929" i="11"/>
  <c r="AA342" i="11"/>
  <c r="Y762" i="11"/>
  <c r="Y758" i="11"/>
  <c r="AA338" i="11"/>
  <c r="Y714" i="11"/>
  <c r="AA294" i="11"/>
  <c r="V718" i="11"/>
  <c r="V696" i="11"/>
  <c r="V698" i="11" s="1"/>
  <c r="V29" i="11" s="1"/>
  <c r="H698" i="11"/>
  <c r="H29" i="11" s="1"/>
  <c r="AA1033" i="11"/>
  <c r="AC612" i="11"/>
  <c r="AA915" i="11"/>
  <c r="AC494" i="11"/>
  <c r="AA757" i="11"/>
  <c r="AC337" i="11"/>
  <c r="V729" i="11"/>
  <c r="Y914" i="11"/>
  <c r="AA493" i="11"/>
  <c r="AA417" i="11"/>
  <c r="Y837" i="11"/>
  <c r="Y800" i="11"/>
  <c r="AA380" i="11"/>
  <c r="Y796" i="11"/>
  <c r="AA376" i="11"/>
  <c r="AA581" i="11"/>
  <c r="Y608" i="11"/>
  <c r="Y569" i="11"/>
  <c r="AA542" i="11"/>
  <c r="AA840" i="11"/>
  <c r="AC420" i="11"/>
  <c r="AA799" i="11"/>
  <c r="AC379" i="11"/>
  <c r="V723" i="11"/>
  <c r="V719" i="11"/>
  <c r="Y53" i="11"/>
  <c r="AA53" i="11" s="1"/>
  <c r="AC53" i="11" s="1"/>
  <c r="AE53" i="11" s="1"/>
  <c r="W53" i="11"/>
  <c r="W5" i="11"/>
  <c r="AE272" i="11"/>
  <c r="I1110" i="11"/>
  <c r="J1097" i="11"/>
  <c r="V737" i="11"/>
  <c r="V1058" i="11"/>
  <c r="V782" i="11"/>
  <c r="V926" i="11"/>
  <c r="V912" i="11"/>
  <c r="V906" i="11"/>
  <c r="V900" i="11"/>
  <c r="Y878" i="11"/>
  <c r="AA457" i="11"/>
  <c r="AA801" i="11"/>
  <c r="AC381" i="11"/>
  <c r="AC353" i="11"/>
  <c r="AA255" i="11"/>
  <c r="AA675" i="11" s="1"/>
  <c r="V733" i="11"/>
  <c r="V709" i="11"/>
  <c r="AA993" i="11"/>
  <c r="AC572" i="11"/>
  <c r="Y918" i="11"/>
  <c r="AA497" i="11"/>
  <c r="AE424" i="11"/>
  <c r="AA384" i="11"/>
  <c r="Y411" i="11"/>
  <c r="AA336" i="11"/>
  <c r="Y756" i="11"/>
  <c r="V730" i="11"/>
  <c r="AA795" i="11"/>
  <c r="AC375" i="11"/>
  <c r="V735" i="11"/>
  <c r="Y45" i="11"/>
  <c r="W45" i="11"/>
  <c r="J178" i="11"/>
  <c r="M96" i="11"/>
  <c r="Y61" i="11"/>
  <c r="AA61" i="11" s="1"/>
  <c r="AC61" i="11" s="1"/>
  <c r="AE61" i="11" s="1"/>
  <c r="W61" i="11"/>
  <c r="J1109" i="11"/>
  <c r="K1096" i="11"/>
  <c r="V1032" i="11"/>
  <c r="V1071" i="11"/>
  <c r="E659" i="11"/>
  <c r="V954" i="11"/>
  <c r="V887" i="11"/>
  <c r="V867" i="11"/>
  <c r="V863" i="11"/>
  <c r="V848" i="11"/>
  <c r="V828" i="11"/>
  <c r="V824" i="11"/>
  <c r="V809" i="11"/>
  <c r="V801" i="11"/>
  <c r="V790" i="11"/>
  <c r="V786" i="11"/>
  <c r="V783" i="11"/>
  <c r="V980" i="11"/>
  <c r="V923" i="11"/>
  <c r="V913" i="11"/>
  <c r="V901" i="11"/>
  <c r="AE502" i="11"/>
  <c r="Y798" i="11"/>
  <c r="AA378" i="11"/>
  <c r="V732" i="11"/>
  <c r="AA1035" i="11"/>
  <c r="AC614" i="11"/>
  <c r="AA877" i="11"/>
  <c r="AC456" i="11"/>
  <c r="AA797" i="11"/>
  <c r="AC377" i="11"/>
  <c r="V721" i="11"/>
  <c r="AA957" i="11"/>
  <c r="AC536" i="11"/>
  <c r="Y876" i="11"/>
  <c r="AA455" i="11"/>
  <c r="AA352" i="11"/>
  <c r="Y254" i="11"/>
  <c r="Y674" i="11" s="1"/>
  <c r="AA344" i="11"/>
  <c r="Y18" i="11"/>
  <c r="AA340" i="11"/>
  <c r="Y760" i="11"/>
  <c r="V716" i="11"/>
  <c r="V708" i="11"/>
  <c r="Y996" i="11"/>
  <c r="AA575" i="11"/>
  <c r="AA955" i="11"/>
  <c r="AC534" i="11"/>
  <c r="AA879" i="11"/>
  <c r="AC458" i="11"/>
  <c r="AA759" i="11"/>
  <c r="AC339" i="11"/>
  <c r="G3" i="11"/>
  <c r="Y712" i="11"/>
  <c r="V253" i="11"/>
  <c r="V731" i="11"/>
  <c r="V715" i="11"/>
  <c r="AE275" i="11"/>
  <c r="Y59" i="11"/>
  <c r="AA59" i="11" s="1"/>
  <c r="AC59" i="11" s="1"/>
  <c r="AE59" i="11" s="1"/>
  <c r="W59" i="11"/>
  <c r="Y55" i="11"/>
  <c r="AA55" i="11" s="1"/>
  <c r="AC55" i="11" s="1"/>
  <c r="AE55" i="11" s="1"/>
  <c r="W55" i="11"/>
  <c r="J103" i="11"/>
  <c r="V839" i="11" l="1"/>
  <c r="V843" i="11"/>
  <c r="V841" i="11"/>
  <c r="S108" i="11"/>
  <c r="F917" i="11"/>
  <c r="I917" i="11" s="1"/>
  <c r="M882" i="11"/>
  <c r="K878" i="11"/>
  <c r="P878" i="11"/>
  <c r="J878" i="11"/>
  <c r="O878" i="11"/>
  <c r="E878" i="11"/>
  <c r="N878" i="11"/>
  <c r="H878" i="11"/>
  <c r="R878" i="11"/>
  <c r="S878" i="11"/>
  <c r="G878" i="11"/>
  <c r="L878" i="11"/>
  <c r="S882" i="11"/>
  <c r="G882" i="11"/>
  <c r="P882" i="11"/>
  <c r="O882" i="11"/>
  <c r="E882" i="11"/>
  <c r="R882" i="11"/>
  <c r="L882" i="11"/>
  <c r="J882" i="11"/>
  <c r="H882" i="11"/>
  <c r="K882" i="11"/>
  <c r="N882" i="11"/>
  <c r="F919" i="11"/>
  <c r="R880" i="11"/>
  <c r="S880" i="11"/>
  <c r="Q880" i="11"/>
  <c r="J880" i="11"/>
  <c r="N880" i="11"/>
  <c r="H880" i="11"/>
  <c r="K880" i="11"/>
  <c r="I880" i="11"/>
  <c r="E880" i="11"/>
  <c r="O880" i="11"/>
  <c r="M880" i="11"/>
  <c r="L880" i="11"/>
  <c r="G880" i="11"/>
  <c r="P880" i="11"/>
  <c r="V990" i="11"/>
  <c r="V903" i="11"/>
  <c r="V831" i="11"/>
  <c r="V994" i="11"/>
  <c r="V1033" i="11"/>
  <c r="V814" i="11"/>
  <c r="I173" i="11"/>
  <c r="I161" i="11" s="1"/>
  <c r="I162" i="11" s="1"/>
  <c r="I95" i="11" s="1"/>
  <c r="I163" i="11" s="1"/>
  <c r="G673" i="11"/>
  <c r="AA415" i="11"/>
  <c r="AA835" i="11" s="1"/>
  <c r="Y451" i="11"/>
  <c r="Y872" i="11" s="1"/>
  <c r="V951" i="11"/>
  <c r="V907" i="11"/>
  <c r="V962" i="11"/>
  <c r="V916" i="11"/>
  <c r="V1023" i="11"/>
  <c r="V1072" i="11"/>
  <c r="F78" i="11"/>
  <c r="F82" i="11" s="1"/>
  <c r="AC496" i="11"/>
  <c r="AC917" i="11" s="1"/>
  <c r="K1092" i="11"/>
  <c r="J1105" i="11"/>
  <c r="E673" i="11"/>
  <c r="V1029" i="11"/>
  <c r="V955" i="11"/>
  <c r="W70" i="11"/>
  <c r="AH70" i="11"/>
  <c r="Q104" i="11"/>
  <c r="W43" i="11"/>
  <c r="AH43" i="11"/>
  <c r="V889" i="11"/>
  <c r="Q97" i="11"/>
  <c r="Q90" i="11"/>
  <c r="P92" i="11"/>
  <c r="V870" i="11"/>
  <c r="V827" i="11"/>
  <c r="V968" i="11"/>
  <c r="V840" i="11"/>
  <c r="I181" i="11"/>
  <c r="I182" i="11" s="1"/>
  <c r="V946" i="11"/>
  <c r="V853" i="11"/>
  <c r="V920" i="11"/>
  <c r="V885" i="11"/>
  <c r="V847" i="11"/>
  <c r="V849" i="11"/>
  <c r="V793" i="11"/>
  <c r="I1068" i="11"/>
  <c r="Q1068" i="11"/>
  <c r="K1068" i="11"/>
  <c r="H1068" i="11"/>
  <c r="N1068" i="11"/>
  <c r="M1068" i="11"/>
  <c r="E1068" i="11"/>
  <c r="E669" i="11" s="1"/>
  <c r="O1068" i="11"/>
  <c r="L1068" i="11"/>
  <c r="J1068" i="11"/>
  <c r="R1068" i="11"/>
  <c r="G1068" i="11"/>
  <c r="G669" i="11" s="1"/>
  <c r="S1068" i="11"/>
  <c r="P1068" i="11"/>
  <c r="G779" i="11"/>
  <c r="G18" i="11" s="1"/>
  <c r="O72" i="11"/>
  <c r="F981" i="11"/>
  <c r="K942" i="11"/>
  <c r="S942" i="11"/>
  <c r="I942" i="11"/>
  <c r="Q942" i="11"/>
  <c r="G942" i="11"/>
  <c r="J942" i="11"/>
  <c r="R942" i="11"/>
  <c r="H942" i="11"/>
  <c r="O942" i="11"/>
  <c r="M942" i="11"/>
  <c r="E942" i="11"/>
  <c r="N942" i="11"/>
  <c r="L942" i="11"/>
  <c r="P942" i="11"/>
  <c r="V805" i="11"/>
  <c r="V860" i="11"/>
  <c r="V965" i="11"/>
  <c r="J189" i="11"/>
  <c r="J192" i="11" s="1"/>
  <c r="K189" i="11" s="1"/>
  <c r="K192" i="11" s="1"/>
  <c r="V791" i="11"/>
  <c r="V911" i="11"/>
  <c r="J165" i="11"/>
  <c r="J168" i="11" s="1"/>
  <c r="K165" i="11" s="1"/>
  <c r="K168" i="11" s="1"/>
  <c r="J160" i="11"/>
  <c r="F836" i="11"/>
  <c r="O797" i="11"/>
  <c r="S797" i="11"/>
  <c r="I797" i="11"/>
  <c r="N797" i="11"/>
  <c r="E797" i="11"/>
  <c r="Q797" i="11"/>
  <c r="G797" i="11"/>
  <c r="R797" i="11"/>
  <c r="J797" i="11"/>
  <c r="L797" i="11"/>
  <c r="P797" i="11"/>
  <c r="K797" i="11"/>
  <c r="M797" i="11"/>
  <c r="H797" i="11"/>
  <c r="F960" i="11"/>
  <c r="M921" i="11"/>
  <c r="I921" i="11"/>
  <c r="Q921" i="11"/>
  <c r="S921" i="11"/>
  <c r="K921" i="11"/>
  <c r="L921" i="11"/>
  <c r="G921" i="11"/>
  <c r="E921" i="11"/>
  <c r="H921" i="11"/>
  <c r="J921" i="11"/>
  <c r="P921" i="11"/>
  <c r="N921" i="11"/>
  <c r="R921" i="11"/>
  <c r="O921" i="11"/>
  <c r="F869" i="11"/>
  <c r="Q830" i="11"/>
  <c r="O830" i="11"/>
  <c r="E830" i="11"/>
  <c r="I830" i="11"/>
  <c r="S830" i="11"/>
  <c r="G830" i="11"/>
  <c r="K830" i="11"/>
  <c r="J830" i="11"/>
  <c r="H830" i="11"/>
  <c r="M830" i="11"/>
  <c r="N830" i="11"/>
  <c r="R830" i="11"/>
  <c r="L830" i="11"/>
  <c r="P830" i="11"/>
  <c r="F971" i="11"/>
  <c r="Q932" i="11"/>
  <c r="S932" i="11"/>
  <c r="O932" i="11"/>
  <c r="K932" i="11"/>
  <c r="H932" i="11"/>
  <c r="G932" i="11"/>
  <c r="L932" i="11"/>
  <c r="R932" i="11"/>
  <c r="I932" i="11"/>
  <c r="P932" i="11"/>
  <c r="J932" i="11"/>
  <c r="M932" i="11"/>
  <c r="N932" i="11"/>
  <c r="E932" i="11"/>
  <c r="F826" i="11"/>
  <c r="S787" i="11"/>
  <c r="I787" i="11"/>
  <c r="N787" i="11"/>
  <c r="G787" i="11"/>
  <c r="R787" i="11"/>
  <c r="H787" i="11"/>
  <c r="K787" i="11"/>
  <c r="M787" i="11"/>
  <c r="Q787" i="11"/>
  <c r="L787" i="11"/>
  <c r="O787" i="11"/>
  <c r="J787" i="11"/>
  <c r="P787" i="11"/>
  <c r="E787" i="11"/>
  <c r="F871" i="11"/>
  <c r="I832" i="11"/>
  <c r="M832" i="11"/>
  <c r="K832" i="11"/>
  <c r="Q832" i="11"/>
  <c r="E832" i="11"/>
  <c r="O832" i="11"/>
  <c r="G832" i="11"/>
  <c r="N832" i="11"/>
  <c r="S832" i="11"/>
  <c r="P832" i="11"/>
  <c r="J832" i="11"/>
  <c r="R832" i="11"/>
  <c r="H832" i="11"/>
  <c r="L832" i="11"/>
  <c r="F1043" i="11"/>
  <c r="L1004" i="11"/>
  <c r="N1004" i="11"/>
  <c r="H1004" i="11"/>
  <c r="P1004" i="11"/>
  <c r="Q1004" i="11"/>
  <c r="K1004" i="11"/>
  <c r="R1004" i="11"/>
  <c r="S1004" i="11"/>
  <c r="E1004" i="11"/>
  <c r="I1004" i="11"/>
  <c r="G1004" i="11"/>
  <c r="J1004" i="11"/>
  <c r="O1004" i="11"/>
  <c r="M1004" i="11"/>
  <c r="V893" i="11"/>
  <c r="E779" i="11"/>
  <c r="E18" i="11" s="1"/>
  <c r="F1040" i="11"/>
  <c r="L1001" i="11"/>
  <c r="R1001" i="11"/>
  <c r="E1001" i="11"/>
  <c r="S1001" i="11"/>
  <c r="M1001" i="11"/>
  <c r="K1001" i="11"/>
  <c r="H1001" i="11"/>
  <c r="Q1001" i="11"/>
  <c r="O1001" i="11"/>
  <c r="P1001" i="11"/>
  <c r="J1001" i="11"/>
  <c r="N1001" i="11"/>
  <c r="I1001" i="11"/>
  <c r="G1001" i="11"/>
  <c r="F918" i="11"/>
  <c r="E879" i="11"/>
  <c r="Q879" i="11"/>
  <c r="K879" i="11"/>
  <c r="G879" i="11"/>
  <c r="M879" i="11"/>
  <c r="N879" i="11"/>
  <c r="O879" i="11"/>
  <c r="R879" i="11"/>
  <c r="L879" i="11"/>
  <c r="S879" i="11"/>
  <c r="J879" i="11"/>
  <c r="H879" i="11"/>
  <c r="P879" i="11"/>
  <c r="I879" i="11"/>
  <c r="F998" i="11"/>
  <c r="G959" i="11"/>
  <c r="S959" i="11"/>
  <c r="E959" i="11"/>
  <c r="Q959" i="11"/>
  <c r="R959" i="11"/>
  <c r="K959" i="11"/>
  <c r="P959" i="11"/>
  <c r="O959" i="11"/>
  <c r="J959" i="11"/>
  <c r="H959" i="11"/>
  <c r="I959" i="11"/>
  <c r="N959" i="11"/>
  <c r="L959" i="11"/>
  <c r="M959" i="11"/>
  <c r="F956" i="11"/>
  <c r="Q917" i="11"/>
  <c r="P917" i="11"/>
  <c r="J917" i="11"/>
  <c r="F905" i="11"/>
  <c r="S866" i="11"/>
  <c r="O866" i="11"/>
  <c r="K866" i="11"/>
  <c r="I866" i="11"/>
  <c r="Q866" i="11"/>
  <c r="G866" i="11"/>
  <c r="J866" i="11"/>
  <c r="R866" i="11"/>
  <c r="H866" i="11"/>
  <c r="N866" i="11"/>
  <c r="M866" i="11"/>
  <c r="L866" i="11"/>
  <c r="P866" i="11"/>
  <c r="E866" i="11"/>
  <c r="F883" i="11"/>
  <c r="K844" i="11"/>
  <c r="Q844" i="11"/>
  <c r="O844" i="11"/>
  <c r="I844" i="11"/>
  <c r="E844" i="11"/>
  <c r="M844" i="11"/>
  <c r="N844" i="11"/>
  <c r="S844" i="11"/>
  <c r="R844" i="11"/>
  <c r="P844" i="11"/>
  <c r="L844" i="11"/>
  <c r="J844" i="11"/>
  <c r="H844" i="11"/>
  <c r="G844" i="11"/>
  <c r="F938" i="11"/>
  <c r="G899" i="11"/>
  <c r="O899" i="11"/>
  <c r="M899" i="11"/>
  <c r="K899" i="11"/>
  <c r="E899" i="11"/>
  <c r="Q899" i="11"/>
  <c r="H899" i="11"/>
  <c r="S899" i="11"/>
  <c r="R899" i="11"/>
  <c r="P899" i="11"/>
  <c r="I899" i="11"/>
  <c r="J899" i="11"/>
  <c r="L899" i="11"/>
  <c r="N899" i="11"/>
  <c r="F967" i="11"/>
  <c r="K928" i="11"/>
  <c r="S928" i="11"/>
  <c r="O928" i="11"/>
  <c r="I928" i="11"/>
  <c r="M928" i="11"/>
  <c r="G928" i="11"/>
  <c r="E928" i="11"/>
  <c r="H928" i="11"/>
  <c r="R928" i="11"/>
  <c r="Q928" i="11"/>
  <c r="P928" i="11"/>
  <c r="N928" i="11"/>
  <c r="J928" i="11"/>
  <c r="L928" i="11"/>
  <c r="F927" i="11"/>
  <c r="Q888" i="11"/>
  <c r="K888" i="11"/>
  <c r="G888" i="11"/>
  <c r="O888" i="11"/>
  <c r="S888" i="11"/>
  <c r="R888" i="11"/>
  <c r="M888" i="11"/>
  <c r="N888" i="11"/>
  <c r="P888" i="11"/>
  <c r="I888" i="11"/>
  <c r="H888" i="11"/>
  <c r="L888" i="11"/>
  <c r="E888" i="11"/>
  <c r="J888" i="11"/>
  <c r="F852" i="11"/>
  <c r="N813" i="11"/>
  <c r="Q813" i="11"/>
  <c r="E813" i="11"/>
  <c r="S813" i="11"/>
  <c r="L813" i="11"/>
  <c r="K813" i="11"/>
  <c r="P813" i="11"/>
  <c r="I813" i="11"/>
  <c r="O813" i="11"/>
  <c r="J813" i="11"/>
  <c r="R813" i="11"/>
  <c r="M813" i="11"/>
  <c r="G813" i="11"/>
  <c r="H813" i="11"/>
  <c r="F931" i="11"/>
  <c r="S892" i="11"/>
  <c r="O892" i="11"/>
  <c r="K892" i="11"/>
  <c r="Q892" i="11"/>
  <c r="M892" i="11"/>
  <c r="I892" i="11"/>
  <c r="R892" i="11"/>
  <c r="G892" i="11"/>
  <c r="P892" i="11"/>
  <c r="N892" i="11"/>
  <c r="L892" i="11"/>
  <c r="E892" i="11"/>
  <c r="H892" i="11"/>
  <c r="J892" i="11"/>
  <c r="F1046" i="11"/>
  <c r="J1007" i="11"/>
  <c r="N1007" i="11"/>
  <c r="H1007" i="11"/>
  <c r="M1007" i="11"/>
  <c r="O1007" i="11"/>
  <c r="E1007" i="11"/>
  <c r="I1007" i="11"/>
  <c r="G1007" i="11"/>
  <c r="L1007" i="11"/>
  <c r="Q1007" i="11"/>
  <c r="K1007" i="11"/>
  <c r="S1007" i="11"/>
  <c r="R1007" i="11"/>
  <c r="P1007" i="11"/>
  <c r="F1024" i="11"/>
  <c r="L985" i="11"/>
  <c r="N985" i="11"/>
  <c r="G985" i="11"/>
  <c r="P985" i="11"/>
  <c r="I985" i="11"/>
  <c r="K985" i="11"/>
  <c r="M985" i="11"/>
  <c r="O985" i="11"/>
  <c r="J985" i="11"/>
  <c r="Q985" i="11"/>
  <c r="S985" i="11"/>
  <c r="R985" i="11"/>
  <c r="E985" i="11"/>
  <c r="H985" i="11"/>
  <c r="F948" i="11"/>
  <c r="I909" i="11"/>
  <c r="M909" i="11"/>
  <c r="O909" i="11"/>
  <c r="G909" i="11"/>
  <c r="P909" i="11"/>
  <c r="Q909" i="11"/>
  <c r="S909" i="11"/>
  <c r="K909" i="11"/>
  <c r="H909" i="11"/>
  <c r="L909" i="11"/>
  <c r="N909" i="11"/>
  <c r="J909" i="11"/>
  <c r="R909" i="11"/>
  <c r="E909" i="11"/>
  <c r="F963" i="11"/>
  <c r="I924" i="11"/>
  <c r="Q924" i="11"/>
  <c r="M924" i="11"/>
  <c r="O924" i="11"/>
  <c r="S924" i="11"/>
  <c r="E924" i="11"/>
  <c r="H924" i="11"/>
  <c r="G924" i="11"/>
  <c r="L924" i="11"/>
  <c r="R924" i="11"/>
  <c r="J924" i="11"/>
  <c r="K924" i="11"/>
  <c r="N924" i="11"/>
  <c r="P924" i="11"/>
  <c r="F989" i="11"/>
  <c r="S950" i="11"/>
  <c r="O950" i="11"/>
  <c r="M950" i="11"/>
  <c r="N950" i="11"/>
  <c r="L950" i="11"/>
  <c r="Q950" i="11"/>
  <c r="G950" i="11"/>
  <c r="H950" i="11"/>
  <c r="E950" i="11"/>
  <c r="J950" i="11"/>
  <c r="P950" i="11"/>
  <c r="R950" i="11"/>
  <c r="K950" i="11"/>
  <c r="I950" i="11"/>
  <c r="F925" i="11"/>
  <c r="O886" i="11"/>
  <c r="M886" i="11"/>
  <c r="S886" i="11"/>
  <c r="K886" i="11"/>
  <c r="I886" i="11"/>
  <c r="Q886" i="11"/>
  <c r="E886" i="11"/>
  <c r="J886" i="11"/>
  <c r="G886" i="11"/>
  <c r="H886" i="11"/>
  <c r="L886" i="11"/>
  <c r="P886" i="11"/>
  <c r="N886" i="11"/>
  <c r="R886" i="11"/>
  <c r="AE535" i="11"/>
  <c r="AE956" i="11" s="1"/>
  <c r="H174" i="11"/>
  <c r="H173" i="11"/>
  <c r="H161" i="11" s="1"/>
  <c r="H162" i="11" s="1"/>
  <c r="H95" i="11" s="1"/>
  <c r="H163" i="11" s="1"/>
  <c r="AA454" i="11"/>
  <c r="AA490" i="11" s="1"/>
  <c r="Y875" i="11"/>
  <c r="AA798" i="11"/>
  <c r="AC378" i="11"/>
  <c r="AE353" i="11"/>
  <c r="AE255" i="11" s="1"/>
  <c r="AC255" i="11"/>
  <c r="AC675" i="11" s="1"/>
  <c r="AC757" i="11"/>
  <c r="AE337" i="11"/>
  <c r="AE757" i="11" s="1"/>
  <c r="AA714" i="11"/>
  <c r="AC294" i="11"/>
  <c r="AC346" i="11"/>
  <c r="J1108" i="11"/>
  <c r="K1095" i="11"/>
  <c r="AA876" i="11"/>
  <c r="AC455" i="11"/>
  <c r="K1109" i="11"/>
  <c r="L1096" i="11"/>
  <c r="K178" i="11"/>
  <c r="AA756" i="11"/>
  <c r="AC336" i="11"/>
  <c r="AA372" i="11"/>
  <c r="AA918" i="11"/>
  <c r="AC497" i="11"/>
  <c r="AC799" i="11"/>
  <c r="AE379" i="11"/>
  <c r="AE799" i="11" s="1"/>
  <c r="AA608" i="11"/>
  <c r="AC581" i="11"/>
  <c r="AA914" i="11"/>
  <c r="AC493" i="11"/>
  <c r="AA529" i="11"/>
  <c r="AC1033" i="11"/>
  <c r="AE612" i="11"/>
  <c r="AE1033" i="11" s="1"/>
  <c r="AA758" i="11"/>
  <c r="AC338" i="11"/>
  <c r="AA762" i="11"/>
  <c r="AC342" i="11"/>
  <c r="F855" i="11"/>
  <c r="O816" i="11"/>
  <c r="G816" i="11"/>
  <c r="S816" i="11"/>
  <c r="I816" i="11"/>
  <c r="H816" i="11"/>
  <c r="E816" i="11"/>
  <c r="M816" i="11"/>
  <c r="N816" i="11"/>
  <c r="J816" i="11"/>
  <c r="L816" i="11"/>
  <c r="K816" i="11"/>
  <c r="Q816" i="11"/>
  <c r="R816" i="11"/>
  <c r="P816" i="11"/>
  <c r="AA760" i="11"/>
  <c r="AC340" i="11"/>
  <c r="AC1035" i="11"/>
  <c r="AE614" i="11"/>
  <c r="AE1035" i="11" s="1"/>
  <c r="N96" i="11"/>
  <c r="AC795" i="11"/>
  <c r="AE375" i="11"/>
  <c r="AE795" i="11" s="1"/>
  <c r="AC801" i="11"/>
  <c r="AE381" i="11"/>
  <c r="AE801" i="11" s="1"/>
  <c r="AA569" i="11"/>
  <c r="AC542" i="11"/>
  <c r="AA800" i="11"/>
  <c r="AC380" i="11"/>
  <c r="AA837" i="11"/>
  <c r="AC417" i="11"/>
  <c r="K113" i="11"/>
  <c r="M159" i="11"/>
  <c r="L159" i="11"/>
  <c r="Y911" i="11"/>
  <c r="Y935" i="11" s="1"/>
  <c r="Z490" i="11"/>
  <c r="AC761" i="11"/>
  <c r="AE341" i="11"/>
  <c r="J1107" i="11"/>
  <c r="K1094" i="11"/>
  <c r="AC879" i="11"/>
  <c r="AE458" i="11"/>
  <c r="AE879" i="11" s="1"/>
  <c r="AC384" i="11"/>
  <c r="AA411" i="11"/>
  <c r="K1097" i="11"/>
  <c r="J1110" i="11"/>
  <c r="Y1029" i="11"/>
  <c r="Y1052" i="11" s="1"/>
  <c r="Z608" i="11"/>
  <c r="AA796" i="11"/>
  <c r="AC376" i="11"/>
  <c r="V777" i="11"/>
  <c r="K1106" i="11"/>
  <c r="L1093" i="11"/>
  <c r="AC836" i="11"/>
  <c r="AE416" i="11"/>
  <c r="AE836" i="11" s="1"/>
  <c r="Y950" i="11"/>
  <c r="Y974" i="11" s="1"/>
  <c r="Z529" i="11"/>
  <c r="AC838" i="11"/>
  <c r="AE418" i="11"/>
  <c r="AE838" i="11" s="1"/>
  <c r="AA916" i="11"/>
  <c r="AC495" i="11"/>
  <c r="AE534" i="11"/>
  <c r="AE955" i="11" s="1"/>
  <c r="AC955" i="11"/>
  <c r="AC344" i="11"/>
  <c r="AA18" i="11"/>
  <c r="AC797" i="11"/>
  <c r="AE377" i="11"/>
  <c r="AE797" i="11" s="1"/>
  <c r="J171" i="11"/>
  <c r="J174" i="11" s="1"/>
  <c r="AA839" i="11"/>
  <c r="AC419" i="11"/>
  <c r="I1115" i="11"/>
  <c r="I1117" i="11" s="1"/>
  <c r="K103" i="11"/>
  <c r="AC759" i="11"/>
  <c r="AE339" i="11"/>
  <c r="AE759" i="11" s="1"/>
  <c r="AA996" i="11"/>
  <c r="AC575" i="11"/>
  <c r="AA254" i="11"/>
  <c r="AA674" i="11" s="1"/>
  <c r="AC352" i="11"/>
  <c r="AC957" i="11"/>
  <c r="AE536" i="11"/>
  <c r="AE957" i="11" s="1"/>
  <c r="AC877" i="11"/>
  <c r="AE456" i="11"/>
  <c r="AE877" i="11" s="1"/>
  <c r="AA45" i="11"/>
  <c r="Y831" i="11"/>
  <c r="Y857" i="11" s="1"/>
  <c r="Z411" i="11"/>
  <c r="Z451" i="11"/>
  <c r="AC993" i="11"/>
  <c r="AE572" i="11"/>
  <c r="AE993" i="11" s="1"/>
  <c r="AA878" i="11"/>
  <c r="AC457" i="11"/>
  <c r="AC840" i="11"/>
  <c r="AE420" i="11"/>
  <c r="AE840" i="11" s="1"/>
  <c r="Y990" i="11"/>
  <c r="Y1013" i="11" s="1"/>
  <c r="Z569" i="11"/>
  <c r="AC915" i="11"/>
  <c r="AE494" i="11"/>
  <c r="AE915" i="11" s="1"/>
  <c r="K184" i="11"/>
  <c r="K187" i="11" s="1"/>
  <c r="J179" i="11"/>
  <c r="K170" i="11"/>
  <c r="AA994" i="11"/>
  <c r="AC573" i="11"/>
  <c r="Y792" i="11"/>
  <c r="Y818" i="11" s="1"/>
  <c r="Z372" i="11"/>
  <c r="Y4" i="11"/>
  <c r="AC463" i="11"/>
  <c r="AC995" i="11"/>
  <c r="AE574" i="11"/>
  <c r="AE995" i="11" s="1"/>
  <c r="AA1032" i="11"/>
  <c r="AC611" i="11"/>
  <c r="K1098" i="11"/>
  <c r="J1111" i="11"/>
  <c r="V878" i="11" l="1"/>
  <c r="V108" i="11"/>
  <c r="AH108" i="11" s="1"/>
  <c r="S32" i="2"/>
  <c r="AA451" i="11"/>
  <c r="G917" i="11"/>
  <c r="R917" i="11"/>
  <c r="M917" i="11"/>
  <c r="N917" i="11"/>
  <c r="H917" i="11"/>
  <c r="L917" i="11"/>
  <c r="K917" i="11"/>
  <c r="V882" i="11"/>
  <c r="O917" i="11"/>
  <c r="E917" i="11"/>
  <c r="S917" i="11"/>
  <c r="F958" i="11"/>
  <c r="K919" i="11"/>
  <c r="Q919" i="11"/>
  <c r="H919" i="11"/>
  <c r="O919" i="11"/>
  <c r="L919" i="11"/>
  <c r="M919" i="11"/>
  <c r="J919" i="11"/>
  <c r="N919" i="11"/>
  <c r="E919" i="11"/>
  <c r="G919" i="11"/>
  <c r="P919" i="11"/>
  <c r="I919" i="11"/>
  <c r="S919" i="11"/>
  <c r="R919" i="11"/>
  <c r="AE496" i="11"/>
  <c r="AE917" i="11" s="1"/>
  <c r="V880" i="11"/>
  <c r="N818" i="11"/>
  <c r="N19" i="11" s="1"/>
  <c r="AC415" i="11"/>
  <c r="AC835" i="11" s="1"/>
  <c r="R90" i="11"/>
  <c r="R97" i="11"/>
  <c r="R104" i="11"/>
  <c r="K1105" i="11"/>
  <c r="L1092" i="11"/>
  <c r="O818" i="11"/>
  <c r="O19" i="11" s="1"/>
  <c r="Y71" i="11"/>
  <c r="AH71" i="11"/>
  <c r="J180" i="11"/>
  <c r="J181" i="11" s="1"/>
  <c r="J182" i="11" s="1"/>
  <c r="Q92" i="11"/>
  <c r="Y896" i="11"/>
  <c r="J1115" i="11"/>
  <c r="J1117" i="11" s="1"/>
  <c r="K160" i="11"/>
  <c r="K171" i="11" s="1"/>
  <c r="K174" i="11" s="1"/>
  <c r="V797" i="11"/>
  <c r="V942" i="11"/>
  <c r="F1020" i="11"/>
  <c r="K981" i="11"/>
  <c r="S981" i="11"/>
  <c r="L981" i="11"/>
  <c r="G981" i="11"/>
  <c r="N981" i="11"/>
  <c r="M981" i="11"/>
  <c r="O981" i="11"/>
  <c r="H981" i="11"/>
  <c r="P981" i="11"/>
  <c r="E981" i="11"/>
  <c r="J981" i="11"/>
  <c r="R981" i="11"/>
  <c r="I981" i="11"/>
  <c r="Q981" i="11"/>
  <c r="P72" i="11"/>
  <c r="V1068" i="11"/>
  <c r="V787" i="11"/>
  <c r="R818" i="11"/>
  <c r="R19" i="11" s="1"/>
  <c r="J818" i="11"/>
  <c r="J19" i="11" s="1"/>
  <c r="V985" i="11"/>
  <c r="F1002" i="11"/>
  <c r="G963" i="11"/>
  <c r="S963" i="11"/>
  <c r="O963" i="11"/>
  <c r="I963" i="11"/>
  <c r="R963" i="11"/>
  <c r="K963" i="11"/>
  <c r="Q963" i="11"/>
  <c r="J963" i="11"/>
  <c r="P963" i="11"/>
  <c r="N963" i="11"/>
  <c r="M963" i="11"/>
  <c r="E963" i="11"/>
  <c r="H963" i="11"/>
  <c r="L963" i="11"/>
  <c r="F970" i="11"/>
  <c r="O931" i="11"/>
  <c r="S931" i="11"/>
  <c r="K931" i="11"/>
  <c r="Q931" i="11"/>
  <c r="E931" i="11"/>
  <c r="G931" i="11"/>
  <c r="N931" i="11"/>
  <c r="I931" i="11"/>
  <c r="M931" i="11"/>
  <c r="H931" i="11"/>
  <c r="L931" i="11"/>
  <c r="J931" i="11"/>
  <c r="R931" i="11"/>
  <c r="P931" i="11"/>
  <c r="F1082" i="11"/>
  <c r="O1043" i="11"/>
  <c r="K1043" i="11"/>
  <c r="S1043" i="11"/>
  <c r="I1043" i="11"/>
  <c r="L1043" i="11"/>
  <c r="G1043" i="11"/>
  <c r="N1043" i="11"/>
  <c r="E1043" i="11"/>
  <c r="M1043" i="11"/>
  <c r="R1043" i="11"/>
  <c r="H1043" i="11"/>
  <c r="Q1043" i="11"/>
  <c r="P1043" i="11"/>
  <c r="J1043" i="11"/>
  <c r="V932" i="11"/>
  <c r="F908" i="11"/>
  <c r="M869" i="11"/>
  <c r="K869" i="11"/>
  <c r="Q869" i="11"/>
  <c r="O869" i="11"/>
  <c r="E869" i="11"/>
  <c r="I869" i="11"/>
  <c r="G869" i="11"/>
  <c r="N869" i="11"/>
  <c r="R869" i="11"/>
  <c r="S869" i="11"/>
  <c r="H869" i="11"/>
  <c r="L869" i="11"/>
  <c r="J869" i="11"/>
  <c r="P869" i="11"/>
  <c r="Q818" i="11"/>
  <c r="Q19" i="11" s="1"/>
  <c r="I818" i="11"/>
  <c r="I19" i="11" s="1"/>
  <c r="F1028" i="11"/>
  <c r="P989" i="11"/>
  <c r="L989" i="11"/>
  <c r="R989" i="11"/>
  <c r="G989" i="11"/>
  <c r="J989" i="11"/>
  <c r="O989" i="11"/>
  <c r="H989" i="11"/>
  <c r="N989" i="11"/>
  <c r="I989" i="11"/>
  <c r="S989" i="11"/>
  <c r="M989" i="11"/>
  <c r="E989" i="11"/>
  <c r="K989" i="11"/>
  <c r="Q989" i="11"/>
  <c r="V928" i="11"/>
  <c r="F1006" i="11"/>
  <c r="O967" i="11"/>
  <c r="S967" i="11"/>
  <c r="G967" i="11"/>
  <c r="R967" i="11"/>
  <c r="E967" i="11"/>
  <c r="P967" i="11"/>
  <c r="L967" i="11"/>
  <c r="I967" i="11"/>
  <c r="K967" i="11"/>
  <c r="M967" i="11"/>
  <c r="J967" i="11"/>
  <c r="N967" i="11"/>
  <c r="H967" i="11"/>
  <c r="Q967" i="11"/>
  <c r="L818" i="11"/>
  <c r="L19" i="11" s="1"/>
  <c r="F987" i="11"/>
  <c r="I948" i="11"/>
  <c r="K948" i="11"/>
  <c r="M948" i="11"/>
  <c r="O948" i="11"/>
  <c r="G948" i="11"/>
  <c r="S948" i="11"/>
  <c r="E948" i="11"/>
  <c r="Q948" i="11"/>
  <c r="L948" i="11"/>
  <c r="J948" i="11"/>
  <c r="P948" i="11"/>
  <c r="N948" i="11"/>
  <c r="H948" i="11"/>
  <c r="R948" i="11"/>
  <c r="V892" i="11"/>
  <c r="F891" i="11"/>
  <c r="M852" i="11"/>
  <c r="I852" i="11"/>
  <c r="O852" i="11"/>
  <c r="G852" i="11"/>
  <c r="S852" i="11"/>
  <c r="N852" i="11"/>
  <c r="Q852" i="11"/>
  <c r="J852" i="11"/>
  <c r="P852" i="11"/>
  <c r="K852" i="11"/>
  <c r="H852" i="11"/>
  <c r="L852" i="11"/>
  <c r="E852" i="11"/>
  <c r="R852" i="11"/>
  <c r="V888" i="11"/>
  <c r="F922" i="11"/>
  <c r="G883" i="11"/>
  <c r="K883" i="11"/>
  <c r="S883" i="11"/>
  <c r="O883" i="11"/>
  <c r="N883" i="11"/>
  <c r="M883" i="11"/>
  <c r="L883" i="11"/>
  <c r="I883" i="11"/>
  <c r="R883" i="11"/>
  <c r="H883" i="11"/>
  <c r="E883" i="11"/>
  <c r="Q883" i="11"/>
  <c r="P883" i="11"/>
  <c r="J883" i="11"/>
  <c r="V879" i="11"/>
  <c r="F957" i="11"/>
  <c r="K918" i="11"/>
  <c r="M918" i="11"/>
  <c r="O918" i="11"/>
  <c r="Q918" i="11"/>
  <c r="E918" i="11"/>
  <c r="I918" i="11"/>
  <c r="G918" i="11"/>
  <c r="P918" i="11"/>
  <c r="J918" i="11"/>
  <c r="S918" i="11"/>
  <c r="H918" i="11"/>
  <c r="N918" i="11"/>
  <c r="L918" i="11"/>
  <c r="R918" i="11"/>
  <c r="V1001" i="11"/>
  <c r="F910" i="11"/>
  <c r="I871" i="11"/>
  <c r="E871" i="11"/>
  <c r="Q871" i="11"/>
  <c r="K871" i="11"/>
  <c r="N871" i="11"/>
  <c r="O871" i="11"/>
  <c r="L871" i="11"/>
  <c r="J871" i="11"/>
  <c r="P871" i="11"/>
  <c r="S871" i="11"/>
  <c r="G871" i="11"/>
  <c r="R871" i="11"/>
  <c r="M871" i="11"/>
  <c r="H871" i="11"/>
  <c r="V830" i="11"/>
  <c r="F999" i="11"/>
  <c r="I960" i="11"/>
  <c r="M960" i="11"/>
  <c r="K960" i="11"/>
  <c r="E960" i="11"/>
  <c r="Q960" i="11"/>
  <c r="S960" i="11"/>
  <c r="G960" i="11"/>
  <c r="J960" i="11"/>
  <c r="O960" i="11"/>
  <c r="P960" i="11"/>
  <c r="N960" i="11"/>
  <c r="H960" i="11"/>
  <c r="R960" i="11"/>
  <c r="L960" i="11"/>
  <c r="V886" i="11"/>
  <c r="F977" i="11"/>
  <c r="G938" i="11"/>
  <c r="M938" i="11"/>
  <c r="K938" i="11"/>
  <c r="N938" i="11"/>
  <c r="I938" i="11"/>
  <c r="L938" i="11"/>
  <c r="Q938" i="11"/>
  <c r="S938" i="11"/>
  <c r="H938" i="11"/>
  <c r="O938" i="11"/>
  <c r="E938" i="11"/>
  <c r="J938" i="11"/>
  <c r="P938" i="11"/>
  <c r="R938" i="11"/>
  <c r="F1037" i="11"/>
  <c r="P998" i="11"/>
  <c r="H998" i="11"/>
  <c r="R998" i="11"/>
  <c r="J998" i="11"/>
  <c r="I998" i="11"/>
  <c r="K998" i="11"/>
  <c r="E998" i="11"/>
  <c r="M998" i="11"/>
  <c r="G998" i="11"/>
  <c r="L998" i="11"/>
  <c r="N998" i="11"/>
  <c r="Q998" i="11"/>
  <c r="O998" i="11"/>
  <c r="S998" i="11"/>
  <c r="V950" i="11"/>
  <c r="V924" i="11"/>
  <c r="F1085" i="11"/>
  <c r="E1085" i="11" s="1"/>
  <c r="H1046" i="11"/>
  <c r="G1046" i="11"/>
  <c r="S1046" i="11"/>
  <c r="R1046" i="11"/>
  <c r="L1046" i="11"/>
  <c r="M1046" i="11"/>
  <c r="P1046" i="11"/>
  <c r="Q1046" i="11"/>
  <c r="E1046" i="11"/>
  <c r="K1046" i="11"/>
  <c r="J1046" i="11"/>
  <c r="I1046" i="11"/>
  <c r="N1046" i="11"/>
  <c r="O1046" i="11"/>
  <c r="V813" i="11"/>
  <c r="V899" i="11"/>
  <c r="V866" i="11"/>
  <c r="F995" i="11"/>
  <c r="S956" i="11"/>
  <c r="O956" i="11"/>
  <c r="K956" i="11"/>
  <c r="Q956" i="11"/>
  <c r="G956" i="11"/>
  <c r="M956" i="11"/>
  <c r="R956" i="11"/>
  <c r="H956" i="11"/>
  <c r="J956" i="11"/>
  <c r="L956" i="11"/>
  <c r="I956" i="11"/>
  <c r="N956" i="11"/>
  <c r="P956" i="11"/>
  <c r="E956" i="11"/>
  <c r="V1004" i="11"/>
  <c r="F1010" i="11"/>
  <c r="R971" i="11"/>
  <c r="I971" i="11"/>
  <c r="P971" i="11"/>
  <c r="S971" i="11"/>
  <c r="M971" i="11"/>
  <c r="H971" i="11"/>
  <c r="K971" i="11"/>
  <c r="Q971" i="11"/>
  <c r="J971" i="11"/>
  <c r="L971" i="11"/>
  <c r="O971" i="11"/>
  <c r="N971" i="11"/>
  <c r="G971" i="11"/>
  <c r="E971" i="11"/>
  <c r="M818" i="11"/>
  <c r="M19" i="11" s="1"/>
  <c r="S818" i="11"/>
  <c r="S19" i="11" s="1"/>
  <c r="F964" i="11"/>
  <c r="I925" i="11"/>
  <c r="Q925" i="11"/>
  <c r="M925" i="11"/>
  <c r="K925" i="11"/>
  <c r="E925" i="11"/>
  <c r="S925" i="11"/>
  <c r="L925" i="11"/>
  <c r="H925" i="11"/>
  <c r="N925" i="11"/>
  <c r="P925" i="11"/>
  <c r="R925" i="11"/>
  <c r="J925" i="11"/>
  <c r="G925" i="11"/>
  <c r="O925" i="11"/>
  <c r="V909" i="11"/>
  <c r="F1063" i="11"/>
  <c r="E1063" i="11" s="1"/>
  <c r="K1024" i="11"/>
  <c r="E1024" i="11"/>
  <c r="I1024" i="11"/>
  <c r="J1024" i="11"/>
  <c r="P1024" i="11"/>
  <c r="G1024" i="11"/>
  <c r="M1024" i="11"/>
  <c r="N1024" i="11"/>
  <c r="L1024" i="11"/>
  <c r="O1024" i="11"/>
  <c r="Q1024" i="11"/>
  <c r="R1024" i="11"/>
  <c r="S1024" i="11"/>
  <c r="H1024" i="11"/>
  <c r="V1007" i="11"/>
  <c r="F966" i="11"/>
  <c r="K927" i="11"/>
  <c r="M927" i="11"/>
  <c r="G927" i="11"/>
  <c r="S927" i="11"/>
  <c r="O927" i="11"/>
  <c r="I927" i="11"/>
  <c r="E927" i="11"/>
  <c r="L927" i="11"/>
  <c r="N927" i="11"/>
  <c r="Q927" i="11"/>
  <c r="H927" i="11"/>
  <c r="J927" i="11"/>
  <c r="P927" i="11"/>
  <c r="R927" i="11"/>
  <c r="V844" i="11"/>
  <c r="F944" i="11"/>
  <c r="S905" i="11"/>
  <c r="O905" i="11"/>
  <c r="K905" i="11"/>
  <c r="N905" i="11"/>
  <c r="I905" i="11"/>
  <c r="L905" i="11"/>
  <c r="E905" i="11"/>
  <c r="H905" i="11"/>
  <c r="R905" i="11"/>
  <c r="Q905" i="11"/>
  <c r="P905" i="11"/>
  <c r="J905" i="11"/>
  <c r="G905" i="11"/>
  <c r="M905" i="11"/>
  <c r="V959" i="11"/>
  <c r="F1079" i="11"/>
  <c r="E1040" i="11"/>
  <c r="M1040" i="11"/>
  <c r="J1040" i="11"/>
  <c r="P1040" i="11"/>
  <c r="S1040" i="11"/>
  <c r="Q1040" i="11"/>
  <c r="G1040" i="11"/>
  <c r="N1040" i="11"/>
  <c r="K1040" i="11"/>
  <c r="R1040" i="11"/>
  <c r="H1040" i="11"/>
  <c r="L1040" i="11"/>
  <c r="I1040" i="11"/>
  <c r="O1040" i="11"/>
  <c r="V832" i="11"/>
  <c r="F865" i="11"/>
  <c r="M826" i="11"/>
  <c r="I826" i="11"/>
  <c r="Q826" i="11"/>
  <c r="E826" i="11"/>
  <c r="O826" i="11"/>
  <c r="J826" i="11"/>
  <c r="H826" i="11"/>
  <c r="S826" i="11"/>
  <c r="K826" i="11"/>
  <c r="N826" i="11"/>
  <c r="R826" i="11"/>
  <c r="L826" i="11"/>
  <c r="P826" i="11"/>
  <c r="G826" i="11"/>
  <c r="V921" i="11"/>
  <c r="F875" i="11"/>
  <c r="M836" i="11"/>
  <c r="K836" i="11"/>
  <c r="Q836" i="11"/>
  <c r="G836" i="11"/>
  <c r="S836" i="11"/>
  <c r="N836" i="11"/>
  <c r="I836" i="11"/>
  <c r="P836" i="11"/>
  <c r="O836" i="11"/>
  <c r="J836" i="11"/>
  <c r="R836" i="11"/>
  <c r="H836" i="11"/>
  <c r="E836" i="11"/>
  <c r="L836" i="11"/>
  <c r="AA875" i="11"/>
  <c r="AC454" i="11"/>
  <c r="L170" i="11"/>
  <c r="AC45" i="11"/>
  <c r="AC916" i="11"/>
  <c r="AE495" i="11"/>
  <c r="AE916" i="11" s="1"/>
  <c r="M1093" i="11"/>
  <c r="L1106" i="11"/>
  <c r="AE384" i="11"/>
  <c r="AC411" i="11"/>
  <c r="N159" i="11"/>
  <c r="L178" i="11"/>
  <c r="AE346" i="11"/>
  <c r="L1098" i="11"/>
  <c r="K1111" i="11"/>
  <c r="L103" i="11"/>
  <c r="AC839" i="11"/>
  <c r="AE419" i="11"/>
  <c r="AE839" i="11" s="1"/>
  <c r="AC837" i="11"/>
  <c r="AE417" i="11"/>
  <c r="AE837" i="11" s="1"/>
  <c r="O96" i="11"/>
  <c r="AC760" i="11"/>
  <c r="AE340" i="11"/>
  <c r="K818" i="11"/>
  <c r="K19" i="11" s="1"/>
  <c r="AC758" i="11"/>
  <c r="AE338" i="11"/>
  <c r="AA950" i="11"/>
  <c r="AA974" i="11" s="1"/>
  <c r="AB974" i="11" s="1"/>
  <c r="AB529" i="11"/>
  <c r="AA1029" i="11"/>
  <c r="AA1052" i="11" s="1"/>
  <c r="AB1052" i="11" s="1"/>
  <c r="AB608" i="11"/>
  <c r="AA792" i="11"/>
  <c r="AA818" i="11" s="1"/>
  <c r="AB818" i="11" s="1"/>
  <c r="AB372" i="11"/>
  <c r="AA4" i="11"/>
  <c r="K1108" i="11"/>
  <c r="L1095" i="11"/>
  <c r="AA872" i="11"/>
  <c r="AB451" i="11"/>
  <c r="AE675" i="11"/>
  <c r="L189" i="11"/>
  <c r="L192" i="11" s="1"/>
  <c r="K180" i="11"/>
  <c r="L1094" i="11"/>
  <c r="K1107" i="11"/>
  <c r="L165" i="11"/>
  <c r="L168" i="11" s="1"/>
  <c r="L160" i="11"/>
  <c r="F894" i="11"/>
  <c r="K855" i="11"/>
  <c r="J855" i="11"/>
  <c r="O855" i="11"/>
  <c r="N855" i="11"/>
  <c r="H855" i="11"/>
  <c r="M855" i="11"/>
  <c r="G855" i="11"/>
  <c r="S855" i="11"/>
  <c r="R855" i="11"/>
  <c r="L855" i="11"/>
  <c r="I855" i="11"/>
  <c r="Q855" i="11"/>
  <c r="E855" i="11"/>
  <c r="P855" i="11"/>
  <c r="AE581" i="11"/>
  <c r="AC608" i="11"/>
  <c r="AC798" i="11"/>
  <c r="AE378" i="11"/>
  <c r="AE798" i="11" s="1"/>
  <c r="AE352" i="11"/>
  <c r="AE254" i="11" s="1"/>
  <c r="AC254" i="11"/>
  <c r="AC674" i="11" s="1"/>
  <c r="AC1032" i="11"/>
  <c r="AE611" i="11"/>
  <c r="AE1032" i="11" s="1"/>
  <c r="AE463" i="11"/>
  <c r="AC490" i="11"/>
  <c r="AC996" i="11"/>
  <c r="AE575" i="11"/>
  <c r="AE996" i="11" s="1"/>
  <c r="AC796" i="11"/>
  <c r="AE376" i="11"/>
  <c r="AE796" i="11" s="1"/>
  <c r="L113" i="11"/>
  <c r="AC569" i="11"/>
  <c r="AE542" i="11"/>
  <c r="AE569" i="11" s="1"/>
  <c r="P818" i="11"/>
  <c r="P19" i="11" s="1"/>
  <c r="E818" i="11"/>
  <c r="E19" i="11" s="1"/>
  <c r="G818" i="11"/>
  <c r="G19" i="11" s="1"/>
  <c r="AC762" i="11"/>
  <c r="AE342" i="11"/>
  <c r="AC914" i="11"/>
  <c r="AE493" i="11"/>
  <c r="AC529" i="11"/>
  <c r="AC756" i="11"/>
  <c r="AE336" i="11"/>
  <c r="AC372" i="11"/>
  <c r="M1096" i="11"/>
  <c r="L1109" i="11"/>
  <c r="AC714" i="11"/>
  <c r="AE294" i="11"/>
  <c r="AE714" i="11" s="1"/>
  <c r="AE415" i="11"/>
  <c r="AC451" i="11"/>
  <c r="AA911" i="11"/>
  <c r="AA935" i="11" s="1"/>
  <c r="AB935" i="11" s="1"/>
  <c r="AB490" i="11"/>
  <c r="AC994" i="11"/>
  <c r="AE573" i="11"/>
  <c r="AE994" i="11" s="1"/>
  <c r="J173" i="11"/>
  <c r="J161" i="11" s="1"/>
  <c r="J162" i="11" s="1"/>
  <c r="J95" i="11" s="1"/>
  <c r="J163" i="11" s="1"/>
  <c r="K179" i="11"/>
  <c r="L184" i="11"/>
  <c r="L187" i="11" s="1"/>
  <c r="AC878" i="11"/>
  <c r="AE457" i="11"/>
  <c r="AE878" i="11" s="1"/>
  <c r="AE344" i="11"/>
  <c r="AC18" i="11"/>
  <c r="L1097" i="11"/>
  <c r="K1110" i="11"/>
  <c r="AA831" i="11"/>
  <c r="AA857" i="11" s="1"/>
  <c r="AB857" i="11" s="1"/>
  <c r="AB411" i="11"/>
  <c r="AE761" i="11"/>
  <c r="AC800" i="11"/>
  <c r="AE380" i="11"/>
  <c r="AE800" i="11" s="1"/>
  <c r="AA990" i="11"/>
  <c r="AA1013" i="11" s="1"/>
  <c r="AB1013" i="11" s="1"/>
  <c r="AB569" i="11"/>
  <c r="V816" i="11"/>
  <c r="H818" i="11"/>
  <c r="H19" i="11" s="1"/>
  <c r="AC918" i="11"/>
  <c r="AE497" i="11"/>
  <c r="AE918" i="11" s="1"/>
  <c r="AC876" i="11"/>
  <c r="AE455" i="11"/>
  <c r="AE876" i="11" s="1"/>
  <c r="V917" i="11" l="1"/>
  <c r="K173" i="11"/>
  <c r="K161" i="11" s="1"/>
  <c r="K162" i="11" s="1"/>
  <c r="K95" i="11" s="1"/>
  <c r="K163" i="11" s="1"/>
  <c r="S104" i="11"/>
  <c r="S90" i="11"/>
  <c r="E686" i="11"/>
  <c r="S97" i="11"/>
  <c r="F997" i="11"/>
  <c r="Q958" i="11"/>
  <c r="K958" i="11"/>
  <c r="E958" i="11"/>
  <c r="R958" i="11"/>
  <c r="H958" i="11"/>
  <c r="M958" i="11"/>
  <c r="G958" i="11"/>
  <c r="N958" i="11"/>
  <c r="O958" i="11"/>
  <c r="P958" i="11"/>
  <c r="S958" i="11"/>
  <c r="L958" i="11"/>
  <c r="I958" i="11"/>
  <c r="J958" i="11"/>
  <c r="V919" i="11"/>
  <c r="E664" i="11"/>
  <c r="R92" i="11"/>
  <c r="E857" i="11"/>
  <c r="E20" i="11" s="1"/>
  <c r="L1105" i="11"/>
  <c r="M1092" i="11"/>
  <c r="I857" i="11"/>
  <c r="I20" i="11" s="1"/>
  <c r="K857" i="11"/>
  <c r="K20" i="11" s="1"/>
  <c r="Q72" i="11"/>
  <c r="N857" i="11"/>
  <c r="N20" i="11" s="1"/>
  <c r="V963" i="11"/>
  <c r="V869" i="11"/>
  <c r="V981" i="11"/>
  <c r="F1059" i="11"/>
  <c r="E1059" i="11" s="1"/>
  <c r="M1020" i="11"/>
  <c r="O1020" i="11"/>
  <c r="I1020" i="11"/>
  <c r="K1020" i="11"/>
  <c r="R1020" i="11"/>
  <c r="G1020" i="11"/>
  <c r="J1020" i="11"/>
  <c r="L1020" i="11"/>
  <c r="Q1020" i="11"/>
  <c r="S1020" i="11"/>
  <c r="E1020" i="11"/>
  <c r="N1020" i="11"/>
  <c r="H1020" i="11"/>
  <c r="P1020" i="11"/>
  <c r="V818" i="11"/>
  <c r="Z818" i="11" s="1"/>
  <c r="Q857" i="11"/>
  <c r="Q20" i="11" s="1"/>
  <c r="V960" i="11"/>
  <c r="V967" i="11"/>
  <c r="F1005" i="11"/>
  <c r="S966" i="11"/>
  <c r="O966" i="11"/>
  <c r="K966" i="11"/>
  <c r="M966" i="11"/>
  <c r="Q966" i="11"/>
  <c r="I966" i="11"/>
  <c r="G966" i="11"/>
  <c r="N966" i="11"/>
  <c r="R966" i="11"/>
  <c r="L966" i="11"/>
  <c r="E966" i="11"/>
  <c r="J966" i="11"/>
  <c r="H966" i="11"/>
  <c r="P966" i="11"/>
  <c r="F1049" i="11"/>
  <c r="J1010" i="11"/>
  <c r="N1010" i="11"/>
  <c r="H1010" i="11"/>
  <c r="I1010" i="11"/>
  <c r="G1010" i="11"/>
  <c r="L1010" i="11"/>
  <c r="M1010" i="11"/>
  <c r="O1010" i="11"/>
  <c r="P1010" i="11"/>
  <c r="Q1010" i="11"/>
  <c r="S1010" i="11"/>
  <c r="R1010" i="11"/>
  <c r="K1010" i="11"/>
  <c r="E1010" i="11"/>
  <c r="F1038" i="11"/>
  <c r="J999" i="11"/>
  <c r="R999" i="11"/>
  <c r="L999" i="11"/>
  <c r="M999" i="11"/>
  <c r="G999" i="11"/>
  <c r="N999" i="11"/>
  <c r="H999" i="11"/>
  <c r="Q999" i="11"/>
  <c r="E999" i="11"/>
  <c r="P999" i="11"/>
  <c r="K999" i="11"/>
  <c r="O999" i="11"/>
  <c r="I999" i="11"/>
  <c r="S999" i="11"/>
  <c r="F949" i="11"/>
  <c r="M910" i="11"/>
  <c r="Q910" i="11"/>
  <c r="S910" i="11"/>
  <c r="K910" i="11"/>
  <c r="I910" i="11"/>
  <c r="O910" i="11"/>
  <c r="G910" i="11"/>
  <c r="L910" i="11"/>
  <c r="J910" i="11"/>
  <c r="E910" i="11"/>
  <c r="N910" i="11"/>
  <c r="R910" i="11"/>
  <c r="H910" i="11"/>
  <c r="P910" i="11"/>
  <c r="M1082" i="11"/>
  <c r="K1082" i="11"/>
  <c r="P1082" i="11"/>
  <c r="R1082" i="11"/>
  <c r="G1082" i="11"/>
  <c r="G683" i="11" s="1"/>
  <c r="I1082" i="11"/>
  <c r="O1082" i="11"/>
  <c r="Q1082" i="11"/>
  <c r="S1082" i="11"/>
  <c r="H1082" i="11"/>
  <c r="J1082" i="11"/>
  <c r="E1082" i="11"/>
  <c r="E683" i="11" s="1"/>
  <c r="L1082" i="11"/>
  <c r="N1082" i="11"/>
  <c r="V836" i="11"/>
  <c r="F914" i="11"/>
  <c r="S875" i="11"/>
  <c r="O875" i="11"/>
  <c r="K875" i="11"/>
  <c r="E875" i="11"/>
  <c r="I875" i="11"/>
  <c r="N875" i="11"/>
  <c r="Q875" i="11"/>
  <c r="J875" i="11"/>
  <c r="L875" i="11"/>
  <c r="M875" i="11"/>
  <c r="G875" i="11"/>
  <c r="H875" i="11"/>
  <c r="P875" i="11"/>
  <c r="R875" i="11"/>
  <c r="V826" i="11"/>
  <c r="Q1079" i="11"/>
  <c r="M1079" i="11"/>
  <c r="I1079" i="11"/>
  <c r="K1079" i="11"/>
  <c r="G1079" i="11"/>
  <c r="G680" i="11" s="1"/>
  <c r="O1079" i="11"/>
  <c r="S1079" i="11"/>
  <c r="E1079" i="11"/>
  <c r="E680" i="11" s="1"/>
  <c r="L1079" i="11"/>
  <c r="N1079" i="11"/>
  <c r="H1079" i="11"/>
  <c r="J1079" i="11"/>
  <c r="P1079" i="11"/>
  <c r="R1079" i="11"/>
  <c r="V927" i="11"/>
  <c r="F1016" i="11"/>
  <c r="E977" i="11"/>
  <c r="K977" i="11"/>
  <c r="O977" i="11"/>
  <c r="R977" i="11"/>
  <c r="P977" i="11"/>
  <c r="J977" i="11"/>
  <c r="L977" i="11"/>
  <c r="Q977" i="11"/>
  <c r="G977" i="11"/>
  <c r="S977" i="11"/>
  <c r="N977" i="11"/>
  <c r="I977" i="11"/>
  <c r="H977" i="11"/>
  <c r="M977" i="11"/>
  <c r="V883" i="11"/>
  <c r="F930" i="11"/>
  <c r="G891" i="11"/>
  <c r="I891" i="11"/>
  <c r="O891" i="11"/>
  <c r="N891" i="11"/>
  <c r="K891" i="11"/>
  <c r="R891" i="11"/>
  <c r="L891" i="11"/>
  <c r="M891" i="11"/>
  <c r="H891" i="11"/>
  <c r="E891" i="11"/>
  <c r="Q891" i="11"/>
  <c r="J891" i="11"/>
  <c r="P891" i="11"/>
  <c r="S891" i="11"/>
  <c r="F1045" i="11"/>
  <c r="H1006" i="11"/>
  <c r="L1006" i="11"/>
  <c r="P1006" i="11"/>
  <c r="R1006" i="11"/>
  <c r="I1006" i="11"/>
  <c r="E1006" i="11"/>
  <c r="S1006" i="11"/>
  <c r="Q1006" i="11"/>
  <c r="G1006" i="11"/>
  <c r="J1006" i="11"/>
  <c r="K1006" i="11"/>
  <c r="M1006" i="11"/>
  <c r="N1006" i="11"/>
  <c r="O1006" i="11"/>
  <c r="V1043" i="11"/>
  <c r="F1041" i="11"/>
  <c r="R1002" i="11"/>
  <c r="P1002" i="11"/>
  <c r="I1002" i="11"/>
  <c r="S1002" i="11"/>
  <c r="N1002" i="11"/>
  <c r="L1002" i="11"/>
  <c r="K1002" i="11"/>
  <c r="O1002" i="11"/>
  <c r="M1002" i="11"/>
  <c r="E1002" i="11"/>
  <c r="H1002" i="11"/>
  <c r="J1002" i="11"/>
  <c r="Q1002" i="11"/>
  <c r="G1002" i="11"/>
  <c r="P857" i="11"/>
  <c r="P20" i="11" s="1"/>
  <c r="L857" i="11"/>
  <c r="L20" i="11" s="1"/>
  <c r="V905" i="11"/>
  <c r="F983" i="11"/>
  <c r="M944" i="11"/>
  <c r="I944" i="11"/>
  <c r="Q944" i="11"/>
  <c r="K944" i="11"/>
  <c r="O944" i="11"/>
  <c r="E944" i="11"/>
  <c r="R944" i="11"/>
  <c r="G944" i="11"/>
  <c r="J944" i="11"/>
  <c r="H944" i="11"/>
  <c r="N944" i="11"/>
  <c r="L944" i="11"/>
  <c r="S944" i="11"/>
  <c r="P944" i="11"/>
  <c r="V1024" i="11"/>
  <c r="V998" i="11"/>
  <c r="V918" i="11"/>
  <c r="F961" i="11"/>
  <c r="S922" i="11"/>
  <c r="I922" i="11"/>
  <c r="M922" i="11"/>
  <c r="Q922" i="11"/>
  <c r="P922" i="11"/>
  <c r="O922" i="11"/>
  <c r="L922" i="11"/>
  <c r="J922" i="11"/>
  <c r="K922" i="11"/>
  <c r="N922" i="11"/>
  <c r="E922" i="11"/>
  <c r="R922" i="11"/>
  <c r="G922" i="11"/>
  <c r="H922" i="11"/>
  <c r="V948" i="11"/>
  <c r="V989" i="11"/>
  <c r="F947" i="11"/>
  <c r="M908" i="11"/>
  <c r="I908" i="11"/>
  <c r="Q908" i="11"/>
  <c r="K908" i="11"/>
  <c r="P908" i="11"/>
  <c r="S908" i="11"/>
  <c r="H908" i="11"/>
  <c r="E908" i="11"/>
  <c r="L908" i="11"/>
  <c r="N908" i="11"/>
  <c r="O908" i="11"/>
  <c r="G908" i="11"/>
  <c r="J908" i="11"/>
  <c r="R908" i="11"/>
  <c r="V931" i="11"/>
  <c r="F904" i="11"/>
  <c r="O865" i="11"/>
  <c r="Q865" i="11"/>
  <c r="S865" i="11"/>
  <c r="K865" i="11"/>
  <c r="G865" i="11"/>
  <c r="M865" i="11"/>
  <c r="J865" i="11"/>
  <c r="I865" i="11"/>
  <c r="P865" i="11"/>
  <c r="N865" i="11"/>
  <c r="H865" i="11"/>
  <c r="R865" i="11"/>
  <c r="E865" i="11"/>
  <c r="L865" i="11"/>
  <c r="V1046" i="11"/>
  <c r="V938" i="11"/>
  <c r="F1026" i="11"/>
  <c r="N987" i="11"/>
  <c r="J987" i="11"/>
  <c r="R987" i="11"/>
  <c r="L987" i="11"/>
  <c r="M987" i="11"/>
  <c r="O987" i="11"/>
  <c r="H987" i="11"/>
  <c r="K987" i="11"/>
  <c r="P987" i="11"/>
  <c r="I987" i="11"/>
  <c r="S987" i="11"/>
  <c r="Q987" i="11"/>
  <c r="E987" i="11"/>
  <c r="G987" i="11"/>
  <c r="F1076" i="11"/>
  <c r="E1076" i="11" s="1"/>
  <c r="Q1037" i="11"/>
  <c r="E1037" i="11"/>
  <c r="I1037" i="11"/>
  <c r="O1037" i="11"/>
  <c r="N1037" i="11"/>
  <c r="M1037" i="11"/>
  <c r="G1037" i="11"/>
  <c r="L1037" i="11"/>
  <c r="K1037" i="11"/>
  <c r="P1037" i="11"/>
  <c r="S1037" i="11"/>
  <c r="J1037" i="11"/>
  <c r="R1037" i="11"/>
  <c r="H1037" i="11"/>
  <c r="F1009" i="11"/>
  <c r="Q970" i="11"/>
  <c r="M970" i="11"/>
  <c r="I970" i="11"/>
  <c r="N970" i="11"/>
  <c r="J970" i="11"/>
  <c r="L970" i="11"/>
  <c r="E970" i="11"/>
  <c r="S970" i="11"/>
  <c r="R970" i="11"/>
  <c r="G970" i="11"/>
  <c r="K970" i="11"/>
  <c r="H970" i="11"/>
  <c r="O970" i="11"/>
  <c r="P970" i="11"/>
  <c r="G857" i="11"/>
  <c r="G20" i="11" s="1"/>
  <c r="V1040" i="11"/>
  <c r="V925" i="11"/>
  <c r="F1003" i="11"/>
  <c r="O964" i="11"/>
  <c r="S964" i="11"/>
  <c r="M964" i="11"/>
  <c r="Q964" i="11"/>
  <c r="G964" i="11"/>
  <c r="E964" i="11"/>
  <c r="I964" i="11"/>
  <c r="R964" i="11"/>
  <c r="K964" i="11"/>
  <c r="H964" i="11"/>
  <c r="J964" i="11"/>
  <c r="L964" i="11"/>
  <c r="N964" i="11"/>
  <c r="P964" i="11"/>
  <c r="V971" i="11"/>
  <c r="V956" i="11"/>
  <c r="F1034" i="11"/>
  <c r="R995" i="11"/>
  <c r="M995" i="11"/>
  <c r="E995" i="11"/>
  <c r="S995" i="11"/>
  <c r="N995" i="11"/>
  <c r="P995" i="11"/>
  <c r="G995" i="11"/>
  <c r="H995" i="11"/>
  <c r="I995" i="11"/>
  <c r="K995" i="11"/>
  <c r="Q995" i="11"/>
  <c r="J995" i="11"/>
  <c r="L995" i="11"/>
  <c r="O995" i="11"/>
  <c r="V871" i="11"/>
  <c r="F996" i="11"/>
  <c r="G957" i="11"/>
  <c r="S957" i="11"/>
  <c r="Q957" i="11"/>
  <c r="K957" i="11"/>
  <c r="J957" i="11"/>
  <c r="E957" i="11"/>
  <c r="H957" i="11"/>
  <c r="O957" i="11"/>
  <c r="R957" i="11"/>
  <c r="P957" i="11"/>
  <c r="I957" i="11"/>
  <c r="N957" i="11"/>
  <c r="L957" i="11"/>
  <c r="M957" i="11"/>
  <c r="V852" i="11"/>
  <c r="F1067" i="11"/>
  <c r="E1028" i="11"/>
  <c r="G1028" i="11"/>
  <c r="J1028" i="11"/>
  <c r="P1028" i="11"/>
  <c r="O1028" i="11"/>
  <c r="M1028" i="11"/>
  <c r="H1028" i="11"/>
  <c r="S1028" i="11"/>
  <c r="Q1028" i="11"/>
  <c r="N1028" i="11"/>
  <c r="L1028" i="11"/>
  <c r="R1028" i="11"/>
  <c r="K1028" i="11"/>
  <c r="I1028" i="11"/>
  <c r="K181" i="11"/>
  <c r="K182" i="11" s="1"/>
  <c r="AA896" i="11"/>
  <c r="AB896" i="11" s="1"/>
  <c r="K1115" i="11"/>
  <c r="K1117" i="11" s="1"/>
  <c r="AC875" i="11"/>
  <c r="AE454" i="11"/>
  <c r="AE875" i="11" s="1"/>
  <c r="AE411" i="11"/>
  <c r="AE831" i="11" s="1"/>
  <c r="AE914" i="11"/>
  <c r="AE529" i="11"/>
  <c r="L171" i="11"/>
  <c r="L174" i="11" s="1"/>
  <c r="AE758" i="11"/>
  <c r="M170" i="11"/>
  <c r="M184" i="11"/>
  <c r="M187" i="11" s="1"/>
  <c r="L179" i="11"/>
  <c r="AC872" i="11"/>
  <c r="AD451" i="11"/>
  <c r="AE756" i="11"/>
  <c r="AE372" i="11"/>
  <c r="AE674" i="11"/>
  <c r="AC1029" i="11"/>
  <c r="AC1052" i="11" s="1"/>
  <c r="AD1052" i="11" s="1"/>
  <c r="AD608" i="11"/>
  <c r="S857" i="11"/>
  <c r="S20" i="11" s="1"/>
  <c r="P894" i="11"/>
  <c r="L894" i="11"/>
  <c r="H894" i="11"/>
  <c r="F933" i="11"/>
  <c r="R894" i="11"/>
  <c r="N894" i="11"/>
  <c r="J894" i="11"/>
  <c r="Q894" i="11"/>
  <c r="I894" i="11"/>
  <c r="M894" i="11"/>
  <c r="E894" i="11"/>
  <c r="G894" i="11"/>
  <c r="S894" i="11"/>
  <c r="O894" i="11"/>
  <c r="K894" i="11"/>
  <c r="M160" i="11"/>
  <c r="M165" i="11"/>
  <c r="M168" i="11" s="1"/>
  <c r="M189" i="11"/>
  <c r="M192" i="11" s="1"/>
  <c r="L180" i="11"/>
  <c r="P96" i="11"/>
  <c r="O159" i="11"/>
  <c r="AE18" i="11"/>
  <c r="AC792" i="11"/>
  <c r="AC818" i="11" s="1"/>
  <c r="AD818" i="11" s="1"/>
  <c r="AD372" i="11"/>
  <c r="AC4" i="11"/>
  <c r="AC990" i="11"/>
  <c r="AC1013" i="11" s="1"/>
  <c r="AD1013" i="11" s="1"/>
  <c r="AD569" i="11"/>
  <c r="R857" i="11"/>
  <c r="R20" i="11" s="1"/>
  <c r="V855" i="11"/>
  <c r="H857" i="11"/>
  <c r="H20" i="11" s="1"/>
  <c r="AE835" i="11"/>
  <c r="AE451" i="11"/>
  <c r="M113" i="11"/>
  <c r="AC911" i="11"/>
  <c r="AC935" i="11" s="1"/>
  <c r="AD935" i="11" s="1"/>
  <c r="AD490" i="11"/>
  <c r="AE608" i="11"/>
  <c r="O857" i="11"/>
  <c r="O20" i="11" s="1"/>
  <c r="M1095" i="11"/>
  <c r="L1108" i="11"/>
  <c r="AE760" i="11"/>
  <c r="M103" i="11"/>
  <c r="L1111" i="11"/>
  <c r="M1098" i="11"/>
  <c r="M1106" i="11"/>
  <c r="N1093" i="11"/>
  <c r="AE45" i="11"/>
  <c r="V19" i="11"/>
  <c r="L1110" i="11"/>
  <c r="M1097" i="11"/>
  <c r="N1096" i="11"/>
  <c r="M1109" i="11"/>
  <c r="AC950" i="11"/>
  <c r="AC974" i="11" s="1"/>
  <c r="AD974" i="11" s="1"/>
  <c r="AD529" i="11"/>
  <c r="AE762" i="11"/>
  <c r="AE990" i="11"/>
  <c r="AE1013" i="11" s="1"/>
  <c r="AF569" i="11"/>
  <c r="M857" i="11"/>
  <c r="M20" i="11" s="1"/>
  <c r="J857" i="11"/>
  <c r="J20" i="11" s="1"/>
  <c r="L1107" i="11"/>
  <c r="M1094" i="11"/>
  <c r="M178" i="11"/>
  <c r="AC831" i="11"/>
  <c r="AC857" i="11" s="1"/>
  <c r="AD857" i="11" s="1"/>
  <c r="AD411" i="11"/>
  <c r="V90" i="11" l="1"/>
  <c r="S15" i="2"/>
  <c r="V104" i="11"/>
  <c r="AH104" i="11" s="1"/>
  <c r="S30" i="2"/>
  <c r="V97" i="11"/>
  <c r="S23" i="2"/>
  <c r="S92" i="11"/>
  <c r="V958" i="11"/>
  <c r="F1036" i="11"/>
  <c r="O997" i="11"/>
  <c r="L997" i="11"/>
  <c r="I997" i="11"/>
  <c r="K997" i="11"/>
  <c r="P997" i="11"/>
  <c r="J997" i="11"/>
  <c r="M997" i="11"/>
  <c r="N997" i="11"/>
  <c r="E997" i="11"/>
  <c r="S997" i="11"/>
  <c r="Q997" i="11"/>
  <c r="H997" i="11"/>
  <c r="R997" i="11"/>
  <c r="G997" i="11"/>
  <c r="E660" i="11"/>
  <c r="R72" i="11"/>
  <c r="N1092" i="11"/>
  <c r="M1105" i="11"/>
  <c r="K896" i="11"/>
  <c r="K21" i="11" s="1"/>
  <c r="J896" i="11"/>
  <c r="J21" i="11" s="1"/>
  <c r="V857" i="11"/>
  <c r="Z857" i="11" s="1"/>
  <c r="V1037" i="11"/>
  <c r="E677" i="11"/>
  <c r="V1020" i="11"/>
  <c r="V944" i="11"/>
  <c r="V1079" i="11"/>
  <c r="V999" i="11"/>
  <c r="V966" i="11"/>
  <c r="F1042" i="11"/>
  <c r="R1003" i="11"/>
  <c r="N1003" i="11"/>
  <c r="P1003" i="11"/>
  <c r="M1003" i="11"/>
  <c r="O1003" i="11"/>
  <c r="I1003" i="11"/>
  <c r="S1003" i="11"/>
  <c r="H1003" i="11"/>
  <c r="Q1003" i="11"/>
  <c r="E1003" i="11"/>
  <c r="L1003" i="11"/>
  <c r="G1003" i="11"/>
  <c r="K1003" i="11"/>
  <c r="J1003" i="11"/>
  <c r="F1080" i="11"/>
  <c r="E1080" i="11" s="1"/>
  <c r="M1041" i="11"/>
  <c r="Q1041" i="11"/>
  <c r="G1041" i="11"/>
  <c r="S1041" i="11"/>
  <c r="I1041" i="11"/>
  <c r="N1041" i="11"/>
  <c r="O1041" i="11"/>
  <c r="R1041" i="11"/>
  <c r="H1041" i="11"/>
  <c r="L1041" i="11"/>
  <c r="E1041" i="11"/>
  <c r="P1041" i="11"/>
  <c r="K1041" i="11"/>
  <c r="J1041" i="11"/>
  <c r="F1084" i="11"/>
  <c r="E1084" i="11" s="1"/>
  <c r="Q1045" i="11"/>
  <c r="O1045" i="11"/>
  <c r="G1045" i="11"/>
  <c r="N1045" i="11"/>
  <c r="E1045" i="11"/>
  <c r="J1045" i="11"/>
  <c r="K1045" i="11"/>
  <c r="R1045" i="11"/>
  <c r="H1045" i="11"/>
  <c r="I1045" i="11"/>
  <c r="S1045" i="11"/>
  <c r="L1045" i="11"/>
  <c r="M1045" i="11"/>
  <c r="P1045" i="11"/>
  <c r="V1082" i="11"/>
  <c r="M896" i="11"/>
  <c r="M21" i="11" s="1"/>
  <c r="G896" i="11"/>
  <c r="G21" i="11" s="1"/>
  <c r="G44" i="11" s="1"/>
  <c r="V1028" i="11"/>
  <c r="V957" i="11"/>
  <c r="V970" i="11"/>
  <c r="F1048" i="11"/>
  <c r="L1009" i="11"/>
  <c r="N1009" i="11"/>
  <c r="K1009" i="11"/>
  <c r="H1009" i="11"/>
  <c r="J1009" i="11"/>
  <c r="G1009" i="11"/>
  <c r="P1009" i="11"/>
  <c r="R1009" i="11"/>
  <c r="I1009" i="11"/>
  <c r="O1009" i="11"/>
  <c r="M1009" i="11"/>
  <c r="S1009" i="11"/>
  <c r="E1009" i="11"/>
  <c r="Q1009" i="11"/>
  <c r="V865" i="11"/>
  <c r="F986" i="11"/>
  <c r="S947" i="11"/>
  <c r="G947" i="11"/>
  <c r="I947" i="11"/>
  <c r="M947" i="11"/>
  <c r="Q947" i="11"/>
  <c r="R947" i="11"/>
  <c r="N947" i="11"/>
  <c r="P947" i="11"/>
  <c r="E947" i="11"/>
  <c r="J947" i="11"/>
  <c r="K947" i="11"/>
  <c r="H947" i="11"/>
  <c r="O947" i="11"/>
  <c r="L947" i="11"/>
  <c r="V1006" i="11"/>
  <c r="F969" i="11"/>
  <c r="K930" i="11"/>
  <c r="S930" i="11"/>
  <c r="O930" i="11"/>
  <c r="M930" i="11"/>
  <c r="Q930" i="11"/>
  <c r="E930" i="11"/>
  <c r="P930" i="11"/>
  <c r="G930" i="11"/>
  <c r="L930" i="11"/>
  <c r="J930" i="11"/>
  <c r="H930" i="11"/>
  <c r="N930" i="11"/>
  <c r="I930" i="11"/>
  <c r="R930" i="11"/>
  <c r="F1055" i="11"/>
  <c r="R1016" i="11"/>
  <c r="E1016" i="11"/>
  <c r="O1016" i="11"/>
  <c r="N1016" i="11"/>
  <c r="P1016" i="11"/>
  <c r="K1016" i="11"/>
  <c r="S1016" i="11"/>
  <c r="I1016" i="11"/>
  <c r="H1016" i="11"/>
  <c r="G1016" i="11"/>
  <c r="M1016" i="11"/>
  <c r="J1016" i="11"/>
  <c r="L1016" i="11"/>
  <c r="Q1016" i="11"/>
  <c r="V910" i="11"/>
  <c r="F1077" i="11"/>
  <c r="E1077" i="11" s="1"/>
  <c r="Q1038" i="11"/>
  <c r="K1038" i="11"/>
  <c r="R1038" i="11"/>
  <c r="H1038" i="11"/>
  <c r="M1038" i="11"/>
  <c r="E1038" i="11"/>
  <c r="J1038" i="11"/>
  <c r="O1038" i="11"/>
  <c r="N1038" i="11"/>
  <c r="S1038" i="11"/>
  <c r="L1038" i="11"/>
  <c r="G1038" i="11"/>
  <c r="I1038" i="11"/>
  <c r="P1038" i="11"/>
  <c r="V1010" i="11"/>
  <c r="V908" i="11"/>
  <c r="F1000" i="11"/>
  <c r="G961" i="11"/>
  <c r="S961" i="11"/>
  <c r="M961" i="11"/>
  <c r="Q961" i="11"/>
  <c r="J961" i="11"/>
  <c r="E961" i="11"/>
  <c r="R961" i="11"/>
  <c r="H961" i="11"/>
  <c r="O961" i="11"/>
  <c r="N961" i="11"/>
  <c r="I961" i="11"/>
  <c r="L961" i="11"/>
  <c r="P961" i="11"/>
  <c r="K961" i="11"/>
  <c r="F988" i="11"/>
  <c r="K949" i="11"/>
  <c r="Q949" i="11"/>
  <c r="G949" i="11"/>
  <c r="O949" i="11"/>
  <c r="J949" i="11"/>
  <c r="E949" i="11"/>
  <c r="M949" i="11"/>
  <c r="N949" i="11"/>
  <c r="H949" i="11"/>
  <c r="I949" i="11"/>
  <c r="R949" i="11"/>
  <c r="S949" i="11"/>
  <c r="L949" i="11"/>
  <c r="P949" i="11"/>
  <c r="O896" i="11"/>
  <c r="O21" i="11" s="1"/>
  <c r="F1065" i="11"/>
  <c r="E1065" i="11" s="1"/>
  <c r="O1026" i="11"/>
  <c r="K1026" i="11"/>
  <c r="Q1026" i="11"/>
  <c r="E1026" i="11"/>
  <c r="E666" i="11" s="1"/>
  <c r="R1026" i="11"/>
  <c r="H1026" i="11"/>
  <c r="S1026" i="11"/>
  <c r="J1026" i="11"/>
  <c r="L1026" i="11"/>
  <c r="I1026" i="11"/>
  <c r="N1026" i="11"/>
  <c r="P1026" i="11"/>
  <c r="M1026" i="11"/>
  <c r="G1026" i="11"/>
  <c r="V1002" i="11"/>
  <c r="F1044" i="11"/>
  <c r="G1005" i="11"/>
  <c r="H1005" i="11"/>
  <c r="N1005" i="11"/>
  <c r="I1005" i="11"/>
  <c r="S1005" i="11"/>
  <c r="L1005" i="11"/>
  <c r="R1005" i="11"/>
  <c r="M1005" i="11"/>
  <c r="E1005" i="11"/>
  <c r="P1005" i="11"/>
  <c r="Q1005" i="11"/>
  <c r="K1005" i="11"/>
  <c r="J1005" i="11"/>
  <c r="O1005" i="11"/>
  <c r="S896" i="11"/>
  <c r="S21" i="11" s="1"/>
  <c r="I896" i="11"/>
  <c r="I21" i="11" s="1"/>
  <c r="R896" i="11"/>
  <c r="R21" i="11" s="1"/>
  <c r="AC896" i="11"/>
  <c r="AD896" i="11" s="1"/>
  <c r="M1067" i="11"/>
  <c r="O1067" i="11"/>
  <c r="S1067" i="11"/>
  <c r="G1067" i="11"/>
  <c r="G668" i="11" s="1"/>
  <c r="I1067" i="11"/>
  <c r="P1067" i="11"/>
  <c r="R1067" i="11"/>
  <c r="K1067" i="11"/>
  <c r="H1067" i="11"/>
  <c r="J1067" i="11"/>
  <c r="Q1067" i="11"/>
  <c r="E1067" i="11"/>
  <c r="E668" i="11" s="1"/>
  <c r="L1067" i="11"/>
  <c r="N1067" i="11"/>
  <c r="F1035" i="11"/>
  <c r="P996" i="11"/>
  <c r="L996" i="11"/>
  <c r="J996" i="11"/>
  <c r="H996" i="11"/>
  <c r="R996" i="11"/>
  <c r="Q996" i="11"/>
  <c r="E996" i="11"/>
  <c r="S996" i="11"/>
  <c r="I996" i="11"/>
  <c r="G996" i="11"/>
  <c r="M996" i="11"/>
  <c r="K996" i="11"/>
  <c r="O996" i="11"/>
  <c r="N996" i="11"/>
  <c r="V995" i="11"/>
  <c r="F1073" i="11"/>
  <c r="Q1034" i="11"/>
  <c r="K1034" i="11"/>
  <c r="R1034" i="11"/>
  <c r="H1034" i="11"/>
  <c r="I1034" i="11"/>
  <c r="G1034" i="11"/>
  <c r="L1034" i="11"/>
  <c r="M1034" i="11"/>
  <c r="E1034" i="11"/>
  <c r="P1034" i="11"/>
  <c r="O1034" i="11"/>
  <c r="J1034" i="11"/>
  <c r="N1034" i="11"/>
  <c r="S1034" i="11"/>
  <c r="V964" i="11"/>
  <c r="V987" i="11"/>
  <c r="F943" i="11"/>
  <c r="S904" i="11"/>
  <c r="O904" i="11"/>
  <c r="K904" i="11"/>
  <c r="M904" i="11"/>
  <c r="Q904" i="11"/>
  <c r="G904" i="11"/>
  <c r="P904" i="11"/>
  <c r="J904" i="11"/>
  <c r="I904" i="11"/>
  <c r="L904" i="11"/>
  <c r="R904" i="11"/>
  <c r="E904" i="11"/>
  <c r="H904" i="11"/>
  <c r="N904" i="11"/>
  <c r="V922" i="11"/>
  <c r="F1022" i="11"/>
  <c r="P983" i="11"/>
  <c r="R983" i="11"/>
  <c r="H983" i="11"/>
  <c r="N983" i="11"/>
  <c r="K983" i="11"/>
  <c r="G983" i="11"/>
  <c r="J983" i="11"/>
  <c r="M983" i="11"/>
  <c r="O983" i="11"/>
  <c r="E983" i="11"/>
  <c r="Q983" i="11"/>
  <c r="S983" i="11"/>
  <c r="I983" i="11"/>
  <c r="L983" i="11"/>
  <c r="V891" i="11"/>
  <c r="V977" i="11"/>
  <c r="V875" i="11"/>
  <c r="F953" i="11"/>
  <c r="O914" i="11"/>
  <c r="S914" i="11"/>
  <c r="E914" i="11"/>
  <c r="Q914" i="11"/>
  <c r="L914" i="11"/>
  <c r="K914" i="11"/>
  <c r="H914" i="11"/>
  <c r="J914" i="11"/>
  <c r="I914" i="11"/>
  <c r="G914" i="11"/>
  <c r="M914" i="11"/>
  <c r="P914" i="11"/>
  <c r="N914" i="11"/>
  <c r="R914" i="11"/>
  <c r="F1088" i="11"/>
  <c r="M1049" i="11"/>
  <c r="K1049" i="11"/>
  <c r="Q1049" i="11"/>
  <c r="E1049" i="11"/>
  <c r="N1049" i="11"/>
  <c r="H1049" i="11"/>
  <c r="G1049" i="11"/>
  <c r="J1049" i="11"/>
  <c r="O1049" i="11"/>
  <c r="R1049" i="11"/>
  <c r="L1049" i="11"/>
  <c r="I1049" i="11"/>
  <c r="S1049" i="11"/>
  <c r="P1049" i="11"/>
  <c r="AF411" i="11"/>
  <c r="AF1013" i="11"/>
  <c r="L181" i="11"/>
  <c r="L182" i="11" s="1"/>
  <c r="L1115" i="11"/>
  <c r="L1117" i="11" s="1"/>
  <c r="AE490" i="11"/>
  <c r="AF490" i="11" s="1"/>
  <c r="N178" i="11"/>
  <c r="N103" i="11"/>
  <c r="M1108" i="11"/>
  <c r="N1095" i="11"/>
  <c r="Q96" i="11"/>
  <c r="N165" i="11"/>
  <c r="N168" i="11" s="1"/>
  <c r="N160" i="11"/>
  <c r="P896" i="11"/>
  <c r="P21" i="11" s="1"/>
  <c r="N170" i="11"/>
  <c r="AE950" i="11"/>
  <c r="AE974" i="11" s="1"/>
  <c r="AF974" i="11" s="1"/>
  <c r="AF529" i="11"/>
  <c r="M1110" i="11"/>
  <c r="N1097" i="11"/>
  <c r="N1098" i="11"/>
  <c r="M1111" i="11"/>
  <c r="AE1029" i="11"/>
  <c r="AE1052" i="11" s="1"/>
  <c r="AF1052" i="11" s="1"/>
  <c r="AF608" i="11"/>
  <c r="Q896" i="11"/>
  <c r="Q21" i="11" s="1"/>
  <c r="F972" i="11"/>
  <c r="Q933" i="11"/>
  <c r="M933" i="11"/>
  <c r="I933" i="11"/>
  <c r="E933" i="11"/>
  <c r="S933" i="11"/>
  <c r="O933" i="11"/>
  <c r="K933" i="11"/>
  <c r="G933" i="11"/>
  <c r="R933" i="11"/>
  <c r="J933" i="11"/>
  <c r="N933" i="11"/>
  <c r="P933" i="11"/>
  <c r="H933" i="11"/>
  <c r="L933" i="11"/>
  <c r="AE792" i="11"/>
  <c r="AE818" i="11" s="1"/>
  <c r="AF818" i="11" s="1"/>
  <c r="AF372" i="11"/>
  <c r="AE4" i="11"/>
  <c r="L173" i="11"/>
  <c r="L161" i="11" s="1"/>
  <c r="L162" i="11" s="1"/>
  <c r="L95" i="11" s="1"/>
  <c r="L163" i="11" s="1"/>
  <c r="N1109" i="11"/>
  <c r="O1096" i="11"/>
  <c r="N113" i="11"/>
  <c r="AE872" i="11"/>
  <c r="AE896" i="11" s="1"/>
  <c r="AF451" i="11"/>
  <c r="P159" i="11"/>
  <c r="E896" i="11"/>
  <c r="E21" i="11" s="1"/>
  <c r="V894" i="11"/>
  <c r="H896" i="11"/>
  <c r="H21" i="11" s="1"/>
  <c r="N1094" i="11"/>
  <c r="M1107" i="11"/>
  <c r="O1093" i="11"/>
  <c r="N1106" i="11"/>
  <c r="V20" i="11"/>
  <c r="M180" i="11"/>
  <c r="N189" i="11"/>
  <c r="N192" i="11" s="1"/>
  <c r="N896" i="11"/>
  <c r="N21" i="11" s="1"/>
  <c r="L896" i="11"/>
  <c r="L21" i="11" s="1"/>
  <c r="M179" i="11"/>
  <c r="N184" i="11"/>
  <c r="N187" i="11" s="1"/>
  <c r="AE857" i="11"/>
  <c r="AF857" i="11" s="1"/>
  <c r="V92" i="11" l="1"/>
  <c r="AH92" i="11" s="1"/>
  <c r="S17" i="2"/>
  <c r="Y97" i="11"/>
  <c r="AA97" i="11" s="1"/>
  <c r="AC97" i="11" s="1"/>
  <c r="AE97" i="11" s="1"/>
  <c r="AH97" i="11"/>
  <c r="Y90" i="11"/>
  <c r="AA90" i="11" s="1"/>
  <c r="AC90" i="11" s="1"/>
  <c r="AE90" i="11" s="1"/>
  <c r="AH90" i="11"/>
  <c r="S72" i="11"/>
  <c r="V997" i="11"/>
  <c r="F1075" i="11"/>
  <c r="S1036" i="11"/>
  <c r="E1036" i="11"/>
  <c r="O1036" i="11"/>
  <c r="Q1036" i="11"/>
  <c r="R1036" i="11"/>
  <c r="G1036" i="11"/>
  <c r="H1036" i="11"/>
  <c r="I1036" i="11"/>
  <c r="N1036" i="11"/>
  <c r="J1036" i="11"/>
  <c r="K1036" i="11"/>
  <c r="M1036" i="11"/>
  <c r="L1036" i="11"/>
  <c r="P1036" i="11"/>
  <c r="AE911" i="11"/>
  <c r="AE935" i="11" s="1"/>
  <c r="AF935" i="11" s="1"/>
  <c r="E681" i="11"/>
  <c r="N935" i="11"/>
  <c r="N22" i="11" s="1"/>
  <c r="N1105" i="11"/>
  <c r="O1092" i="11"/>
  <c r="Q935" i="11"/>
  <c r="Q22" i="11" s="1"/>
  <c r="AF896" i="11"/>
  <c r="E935" i="11"/>
  <c r="E22" i="11" s="1"/>
  <c r="E685" i="11"/>
  <c r="V961" i="11"/>
  <c r="V896" i="11"/>
  <c r="Z896" i="11" s="1"/>
  <c r="P935" i="11"/>
  <c r="P22" i="11" s="1"/>
  <c r="V930" i="11"/>
  <c r="V1005" i="11"/>
  <c r="V949" i="11"/>
  <c r="V1038" i="11"/>
  <c r="M1055" i="11"/>
  <c r="I1055" i="11"/>
  <c r="K1055" i="11"/>
  <c r="O1055" i="11"/>
  <c r="P1055" i="11"/>
  <c r="R1055" i="11"/>
  <c r="L1055" i="11"/>
  <c r="N1055" i="11"/>
  <c r="Q1055" i="11"/>
  <c r="S1055" i="11"/>
  <c r="E1055" i="11"/>
  <c r="E656" i="11" s="1"/>
  <c r="J1055" i="11"/>
  <c r="G1055" i="11"/>
  <c r="H1055" i="11"/>
  <c r="V1009" i="11"/>
  <c r="F1087" i="11"/>
  <c r="O1048" i="11"/>
  <c r="J1048" i="11"/>
  <c r="E1048" i="11"/>
  <c r="I1048" i="11"/>
  <c r="R1048" i="11"/>
  <c r="L1048" i="11"/>
  <c r="K1048" i="11"/>
  <c r="M1048" i="11"/>
  <c r="P1048" i="11"/>
  <c r="S1048" i="11"/>
  <c r="Q1048" i="11"/>
  <c r="H1048" i="11"/>
  <c r="N1048" i="11"/>
  <c r="G1048" i="11"/>
  <c r="V996" i="11"/>
  <c r="R935" i="11"/>
  <c r="R22" i="11" s="1"/>
  <c r="S935" i="11"/>
  <c r="S22" i="11" s="1"/>
  <c r="F992" i="11"/>
  <c r="Q953" i="11"/>
  <c r="K953" i="11"/>
  <c r="E953" i="11"/>
  <c r="M953" i="11"/>
  <c r="G953" i="11"/>
  <c r="S953" i="11"/>
  <c r="J953" i="11"/>
  <c r="H953" i="11"/>
  <c r="I953" i="11"/>
  <c r="L953" i="11"/>
  <c r="O953" i="11"/>
  <c r="N953" i="11"/>
  <c r="P953" i="11"/>
  <c r="R953" i="11"/>
  <c r="F1061" i="11"/>
  <c r="E1061" i="11" s="1"/>
  <c r="O1022" i="11"/>
  <c r="Q1022" i="11"/>
  <c r="K1022" i="11"/>
  <c r="R1022" i="11"/>
  <c r="H1022" i="11"/>
  <c r="M1022" i="11"/>
  <c r="N1022" i="11"/>
  <c r="S1022" i="11"/>
  <c r="E1022" i="11"/>
  <c r="L1022" i="11"/>
  <c r="G1022" i="11"/>
  <c r="J1022" i="11"/>
  <c r="I1022" i="11"/>
  <c r="P1022" i="11"/>
  <c r="F982" i="11"/>
  <c r="O943" i="11"/>
  <c r="K943" i="11"/>
  <c r="S943" i="11"/>
  <c r="I943" i="11"/>
  <c r="Q943" i="11"/>
  <c r="M943" i="11"/>
  <c r="R943" i="11"/>
  <c r="J943" i="11"/>
  <c r="P943" i="11"/>
  <c r="E943" i="11"/>
  <c r="H943" i="11"/>
  <c r="N943" i="11"/>
  <c r="G943" i="11"/>
  <c r="L943" i="11"/>
  <c r="V1067" i="11"/>
  <c r="V1016" i="11"/>
  <c r="F1008" i="11"/>
  <c r="Q969" i="11"/>
  <c r="O969" i="11"/>
  <c r="J969" i="11"/>
  <c r="H969" i="11"/>
  <c r="M969" i="11"/>
  <c r="L969" i="11"/>
  <c r="E969" i="11"/>
  <c r="P969" i="11"/>
  <c r="G969" i="11"/>
  <c r="N969" i="11"/>
  <c r="I969" i="11"/>
  <c r="R969" i="11"/>
  <c r="K969" i="11"/>
  <c r="S969" i="11"/>
  <c r="V947" i="11"/>
  <c r="F1025" i="11"/>
  <c r="L986" i="11"/>
  <c r="H986" i="11"/>
  <c r="P986" i="11"/>
  <c r="J986" i="11"/>
  <c r="R986" i="11"/>
  <c r="N986" i="11"/>
  <c r="I986" i="11"/>
  <c r="E986" i="11"/>
  <c r="S986" i="11"/>
  <c r="Q986" i="11"/>
  <c r="K986" i="11"/>
  <c r="O986" i="11"/>
  <c r="M986" i="11"/>
  <c r="G986" i="11"/>
  <c r="V1045" i="11"/>
  <c r="V1049" i="11"/>
  <c r="V914" i="11"/>
  <c r="V983" i="11"/>
  <c r="F1039" i="11"/>
  <c r="H1000" i="11"/>
  <c r="J1000" i="11"/>
  <c r="R1000" i="11"/>
  <c r="K1000" i="11"/>
  <c r="Q1000" i="11"/>
  <c r="E1000" i="11"/>
  <c r="L1000" i="11"/>
  <c r="G1000" i="11"/>
  <c r="P1000" i="11"/>
  <c r="I1000" i="11"/>
  <c r="O1000" i="11"/>
  <c r="N1000" i="11"/>
  <c r="M1000" i="11"/>
  <c r="S1000" i="11"/>
  <c r="V1034" i="11"/>
  <c r="S1073" i="11"/>
  <c r="I1073" i="11"/>
  <c r="Q1073" i="11"/>
  <c r="E1073" i="11"/>
  <c r="E674" i="11" s="1"/>
  <c r="M1073" i="11"/>
  <c r="P1073" i="11"/>
  <c r="R1073" i="11"/>
  <c r="K1073" i="11"/>
  <c r="G1073" i="11"/>
  <c r="G674" i="11" s="1"/>
  <c r="H1073" i="11"/>
  <c r="J1073" i="11"/>
  <c r="O1073" i="11"/>
  <c r="L1073" i="11"/>
  <c r="N1073" i="11"/>
  <c r="F1074" i="11"/>
  <c r="E1074" i="11" s="1"/>
  <c r="G1035" i="11"/>
  <c r="S1035" i="11"/>
  <c r="O1035" i="11"/>
  <c r="E1035" i="11"/>
  <c r="E675" i="11" s="1"/>
  <c r="I1035" i="11"/>
  <c r="M1035" i="11"/>
  <c r="L1035" i="11"/>
  <c r="J1035" i="11"/>
  <c r="N1035" i="11"/>
  <c r="R1035" i="11"/>
  <c r="H1035" i="11"/>
  <c r="K1035" i="11"/>
  <c r="Q1035" i="11"/>
  <c r="P1035" i="11"/>
  <c r="F1027" i="11"/>
  <c r="R988" i="11"/>
  <c r="N988" i="11"/>
  <c r="J988" i="11"/>
  <c r="P988" i="11"/>
  <c r="L988" i="11"/>
  <c r="H988" i="11"/>
  <c r="Q988" i="11"/>
  <c r="K988" i="11"/>
  <c r="M988" i="11"/>
  <c r="O988" i="11"/>
  <c r="S988" i="11"/>
  <c r="E988" i="11"/>
  <c r="G988" i="11"/>
  <c r="I988" i="11"/>
  <c r="L935" i="11"/>
  <c r="L22" i="11" s="1"/>
  <c r="J935" i="11"/>
  <c r="J22" i="11" s="1"/>
  <c r="H1088" i="11"/>
  <c r="H689" i="11" s="1"/>
  <c r="P1088" i="11"/>
  <c r="P689" i="11" s="1"/>
  <c r="L1088" i="11"/>
  <c r="L689" i="11" s="1"/>
  <c r="G1088" i="11"/>
  <c r="G689" i="11" s="1"/>
  <c r="S1088" i="11"/>
  <c r="S689" i="11" s="1"/>
  <c r="O1088" i="11"/>
  <c r="O689" i="11" s="1"/>
  <c r="M1088" i="11"/>
  <c r="M689" i="11" s="1"/>
  <c r="R1088" i="11"/>
  <c r="R689" i="11" s="1"/>
  <c r="Q1088" i="11"/>
  <c r="Q689" i="11" s="1"/>
  <c r="E1088" i="11"/>
  <c r="E689" i="11" s="1"/>
  <c r="J1088" i="11"/>
  <c r="J689" i="11" s="1"/>
  <c r="I1088" i="11"/>
  <c r="I689" i="11" s="1"/>
  <c r="K1088" i="11"/>
  <c r="K689" i="11" s="1"/>
  <c r="N1088" i="11"/>
  <c r="N689" i="11" s="1"/>
  <c r="V904" i="11"/>
  <c r="F1083" i="11"/>
  <c r="G1044" i="11"/>
  <c r="S1044" i="11"/>
  <c r="I1044" i="11"/>
  <c r="J1044" i="11"/>
  <c r="P1044" i="11"/>
  <c r="E1044" i="11"/>
  <c r="L1044" i="11"/>
  <c r="K1044" i="11"/>
  <c r="O1044" i="11"/>
  <c r="M1044" i="11"/>
  <c r="N1044" i="11"/>
  <c r="R1044" i="11"/>
  <c r="Q1044" i="11"/>
  <c r="H1044" i="11"/>
  <c r="V1026" i="11"/>
  <c r="E678" i="11"/>
  <c r="V1041" i="11"/>
  <c r="V1003" i="11"/>
  <c r="F1081" i="11"/>
  <c r="E1081" i="11" s="1"/>
  <c r="I1042" i="11"/>
  <c r="E1042" i="11"/>
  <c r="R1042" i="11"/>
  <c r="H1042" i="11"/>
  <c r="O1042" i="11"/>
  <c r="P1042" i="11"/>
  <c r="M1042" i="11"/>
  <c r="S1042" i="11"/>
  <c r="J1042" i="11"/>
  <c r="Q1042" i="11"/>
  <c r="G1042" i="11"/>
  <c r="N1042" i="11"/>
  <c r="K1042" i="11"/>
  <c r="L1042" i="11"/>
  <c r="M181" i="11"/>
  <c r="M182" i="11" s="1"/>
  <c r="M1115" i="11"/>
  <c r="M1117" i="11" s="1"/>
  <c r="O189" i="11"/>
  <c r="O192" i="11" s="1"/>
  <c r="N180" i="11"/>
  <c r="G935" i="11"/>
  <c r="G22" i="11" s="1"/>
  <c r="F1011" i="11"/>
  <c r="R972" i="11"/>
  <c r="N972" i="11"/>
  <c r="J972" i="11"/>
  <c r="P972" i="11"/>
  <c r="K972" i="11"/>
  <c r="E972" i="11"/>
  <c r="S972" i="11"/>
  <c r="M972" i="11"/>
  <c r="H972" i="11"/>
  <c r="I972" i="11"/>
  <c r="O972" i="11"/>
  <c r="Q972" i="11"/>
  <c r="G972" i="11"/>
  <c r="L972" i="11"/>
  <c r="O1106" i="11"/>
  <c r="P1093" i="11"/>
  <c r="V21" i="11"/>
  <c r="Q159" i="11"/>
  <c r="K935" i="11"/>
  <c r="K22" i="11" s="1"/>
  <c r="I935" i="11"/>
  <c r="I22" i="11" s="1"/>
  <c r="O160" i="11"/>
  <c r="O165" i="11"/>
  <c r="O168" i="11" s="1"/>
  <c r="N1107" i="11"/>
  <c r="O1094" i="11"/>
  <c r="O113" i="11"/>
  <c r="O935" i="11"/>
  <c r="O22" i="11" s="1"/>
  <c r="M935" i="11"/>
  <c r="M22" i="11" s="1"/>
  <c r="N1111" i="11"/>
  <c r="O1098" i="11"/>
  <c r="O103" i="11"/>
  <c r="O178" i="11"/>
  <c r="O184" i="11"/>
  <c r="O187" i="11" s="1"/>
  <c r="N179" i="11"/>
  <c r="P1096" i="11"/>
  <c r="O1109" i="11"/>
  <c r="V933" i="11"/>
  <c r="H935" i="11"/>
  <c r="H22" i="11" s="1"/>
  <c r="O1097" i="11"/>
  <c r="N1110" i="11"/>
  <c r="R96" i="11"/>
  <c r="O1095" i="11"/>
  <c r="N1108" i="11"/>
  <c r="M171" i="11"/>
  <c r="O170" i="11"/>
  <c r="S58" i="2" l="1"/>
  <c r="U58" i="2" s="1"/>
  <c r="T72" i="11"/>
  <c r="I1075" i="11"/>
  <c r="P1075" i="11"/>
  <c r="G1075" i="11"/>
  <c r="G676" i="11" s="1"/>
  <c r="L1075" i="11"/>
  <c r="J1075" i="11"/>
  <c r="N1075" i="11"/>
  <c r="M1075" i="11"/>
  <c r="E1075" i="11"/>
  <c r="E676" i="11" s="1"/>
  <c r="Q1075" i="11"/>
  <c r="H1075" i="11"/>
  <c r="R1075" i="11"/>
  <c r="S1075" i="11"/>
  <c r="O1075" i="11"/>
  <c r="K1075" i="11"/>
  <c r="V1036" i="11"/>
  <c r="O1105" i="11"/>
  <c r="P1092" i="11"/>
  <c r="O974" i="11"/>
  <c r="O24" i="11" s="1"/>
  <c r="E974" i="11"/>
  <c r="E24" i="11" s="1"/>
  <c r="E682" i="11"/>
  <c r="E662" i="11"/>
  <c r="N181" i="11"/>
  <c r="N182" i="11" s="1"/>
  <c r="V943" i="11"/>
  <c r="V1035" i="11"/>
  <c r="V689" i="11"/>
  <c r="M974" i="11"/>
  <c r="M24" i="11" s="1"/>
  <c r="P974" i="11"/>
  <c r="P24" i="11" s="1"/>
  <c r="V1042" i="11"/>
  <c r="M1083" i="11"/>
  <c r="S1083" i="11"/>
  <c r="K1083" i="11"/>
  <c r="Q1083" i="11"/>
  <c r="I1083" i="11"/>
  <c r="O1083" i="11"/>
  <c r="E1083" i="11"/>
  <c r="E684" i="11" s="1"/>
  <c r="H1083" i="11"/>
  <c r="J1083" i="11"/>
  <c r="L1083" i="11"/>
  <c r="N1083" i="11"/>
  <c r="P1083" i="11"/>
  <c r="R1083" i="11"/>
  <c r="G1083" i="11"/>
  <c r="G684" i="11" s="1"/>
  <c r="F1078" i="11"/>
  <c r="E1078" i="11" s="1"/>
  <c r="G1039" i="11"/>
  <c r="S1039" i="11"/>
  <c r="E1039" i="11"/>
  <c r="I1039" i="11"/>
  <c r="L1039" i="11"/>
  <c r="Q1039" i="11"/>
  <c r="R1039" i="11"/>
  <c r="H1039" i="11"/>
  <c r="K1039" i="11"/>
  <c r="P1039" i="11"/>
  <c r="O1039" i="11"/>
  <c r="J1039" i="11"/>
  <c r="N1039" i="11"/>
  <c r="M1039" i="11"/>
  <c r="F1021" i="11"/>
  <c r="S982" i="11"/>
  <c r="H982" i="11"/>
  <c r="O982" i="11"/>
  <c r="E982" i="11"/>
  <c r="J982" i="11"/>
  <c r="I982" i="11"/>
  <c r="K982" i="11"/>
  <c r="P982" i="11"/>
  <c r="N982" i="11"/>
  <c r="R982" i="11"/>
  <c r="M982" i="11"/>
  <c r="Q982" i="11"/>
  <c r="L982" i="11"/>
  <c r="G982" i="11"/>
  <c r="V1055" i="11"/>
  <c r="F1066" i="11"/>
  <c r="S1027" i="11"/>
  <c r="I1027" i="11"/>
  <c r="E1027" i="11"/>
  <c r="M1027" i="11"/>
  <c r="K1027" i="11"/>
  <c r="G1027" i="11"/>
  <c r="L1027" i="11"/>
  <c r="R1027" i="11"/>
  <c r="O1027" i="11"/>
  <c r="J1027" i="11"/>
  <c r="H1027" i="11"/>
  <c r="Q1027" i="11"/>
  <c r="P1027" i="11"/>
  <c r="N1027" i="11"/>
  <c r="V1073" i="11"/>
  <c r="V986" i="11"/>
  <c r="V935" i="11"/>
  <c r="Z935" i="11" s="1"/>
  <c r="I974" i="11"/>
  <c r="I24" i="11" s="1"/>
  <c r="N974" i="11"/>
  <c r="N24" i="11" s="1"/>
  <c r="V1044" i="11"/>
  <c r="V1022" i="11"/>
  <c r="V953" i="11"/>
  <c r="F1031" i="11"/>
  <c r="H992" i="11"/>
  <c r="J992" i="11"/>
  <c r="P992" i="11"/>
  <c r="N992" i="11"/>
  <c r="R992" i="11"/>
  <c r="Q992" i="11"/>
  <c r="O992" i="11"/>
  <c r="G992" i="11"/>
  <c r="L992" i="11"/>
  <c r="K992" i="11"/>
  <c r="I992" i="11"/>
  <c r="S992" i="11"/>
  <c r="M992" i="11"/>
  <c r="E992" i="11"/>
  <c r="V1048" i="11"/>
  <c r="L1087" i="11"/>
  <c r="L688" i="11" s="1"/>
  <c r="J1087" i="11"/>
  <c r="J688" i="11" s="1"/>
  <c r="P1087" i="11"/>
  <c r="P688" i="11" s="1"/>
  <c r="H1087" i="11"/>
  <c r="H688" i="11" s="1"/>
  <c r="N1087" i="11"/>
  <c r="N688" i="11" s="1"/>
  <c r="E1087" i="11"/>
  <c r="E688" i="11" s="1"/>
  <c r="Q1087" i="11"/>
  <c r="Q688" i="11" s="1"/>
  <c r="R1087" i="11"/>
  <c r="R688" i="11" s="1"/>
  <c r="S1087" i="11"/>
  <c r="S688" i="11" s="1"/>
  <c r="G1087" i="11"/>
  <c r="G688" i="11" s="1"/>
  <c r="I1087" i="11"/>
  <c r="I688" i="11" s="1"/>
  <c r="K1087" i="11"/>
  <c r="K688" i="11" s="1"/>
  <c r="M1087" i="11"/>
  <c r="M688" i="11" s="1"/>
  <c r="O1087" i="11"/>
  <c r="O688" i="11" s="1"/>
  <c r="G974" i="11"/>
  <c r="G24" i="11" s="1"/>
  <c r="K974" i="11"/>
  <c r="K24" i="11" s="1"/>
  <c r="V1088" i="11"/>
  <c r="V988" i="11"/>
  <c r="V1000" i="11"/>
  <c r="F1064" i="11"/>
  <c r="E1064" i="11" s="1"/>
  <c r="M1025" i="11"/>
  <c r="S1025" i="11"/>
  <c r="K1025" i="11"/>
  <c r="Q1025" i="11"/>
  <c r="I1025" i="11"/>
  <c r="O1025" i="11"/>
  <c r="G1025" i="11"/>
  <c r="N1025" i="11"/>
  <c r="E1025" i="11"/>
  <c r="H1025" i="11"/>
  <c r="J1025" i="11"/>
  <c r="L1025" i="11"/>
  <c r="P1025" i="11"/>
  <c r="R1025" i="11"/>
  <c r="V969" i="11"/>
  <c r="F1047" i="11"/>
  <c r="H1008" i="11"/>
  <c r="J1008" i="11"/>
  <c r="N1008" i="11"/>
  <c r="K1008" i="11"/>
  <c r="R1008" i="11"/>
  <c r="Q1008" i="11"/>
  <c r="O1008" i="11"/>
  <c r="L1008" i="11"/>
  <c r="M1008" i="11"/>
  <c r="E1008" i="11"/>
  <c r="G1008" i="11"/>
  <c r="S1008" i="11"/>
  <c r="I1008" i="11"/>
  <c r="P1008" i="11"/>
  <c r="N1115" i="11"/>
  <c r="N1117" i="11" s="1"/>
  <c r="P170" i="11"/>
  <c r="O1108" i="11"/>
  <c r="P1095" i="11"/>
  <c r="P1109" i="11"/>
  <c r="Q1096" i="11"/>
  <c r="O1107" i="11"/>
  <c r="P1094" i="11"/>
  <c r="R159" i="11"/>
  <c r="Q1093" i="11"/>
  <c r="P1106" i="11"/>
  <c r="L974" i="11"/>
  <c r="L24" i="11" s="1"/>
  <c r="S96" i="11"/>
  <c r="S22" i="2" s="1"/>
  <c r="P1097" i="11"/>
  <c r="O1110" i="11"/>
  <c r="P103" i="11"/>
  <c r="V972" i="11"/>
  <c r="H974" i="11"/>
  <c r="H24" i="11" s="1"/>
  <c r="R974" i="11"/>
  <c r="R24" i="11" s="1"/>
  <c r="P189" i="11"/>
  <c r="P192" i="11" s="1"/>
  <c r="O180" i="11"/>
  <c r="N171" i="11"/>
  <c r="M174" i="11"/>
  <c r="M173" i="11"/>
  <c r="M161" i="11" s="1"/>
  <c r="M162" i="11" s="1"/>
  <c r="M95" i="11" s="1"/>
  <c r="M163" i="11" s="1"/>
  <c r="O179" i="11"/>
  <c r="P184" i="11"/>
  <c r="P187" i="11" s="1"/>
  <c r="P1098" i="11"/>
  <c r="O1111" i="11"/>
  <c r="P113" i="11"/>
  <c r="P165" i="11"/>
  <c r="P168" i="11" s="1"/>
  <c r="P160" i="11"/>
  <c r="Q974" i="11"/>
  <c r="Q24" i="11" s="1"/>
  <c r="F1050" i="11"/>
  <c r="R1011" i="11"/>
  <c r="N1011" i="11"/>
  <c r="J1011" i="11"/>
  <c r="Q1011" i="11"/>
  <c r="M1011" i="11"/>
  <c r="I1011" i="11"/>
  <c r="E1011" i="11"/>
  <c r="P1011" i="11"/>
  <c r="H1011" i="11"/>
  <c r="L1011" i="11"/>
  <c r="G1011" i="11"/>
  <c r="O1011" i="11"/>
  <c r="S1011" i="11"/>
  <c r="K1011" i="11"/>
  <c r="V22" i="11"/>
  <c r="P178" i="11"/>
  <c r="S974" i="11"/>
  <c r="S24" i="11" s="1"/>
  <c r="J974" i="11"/>
  <c r="J24" i="11" s="1"/>
  <c r="U72" i="11" l="1"/>
  <c r="V72" i="11" s="1"/>
  <c r="AH72" i="11" s="1"/>
  <c r="T58" i="2"/>
  <c r="V58" i="2" s="1"/>
  <c r="V1075" i="11"/>
  <c r="V974" i="11"/>
  <c r="Z974" i="11" s="1"/>
  <c r="E665" i="11"/>
  <c r="Q1092" i="11"/>
  <c r="P1105" i="11"/>
  <c r="G1013" i="11"/>
  <c r="G25" i="11" s="1"/>
  <c r="G58" i="11" s="1"/>
  <c r="G132" i="11" s="1"/>
  <c r="E679" i="11"/>
  <c r="P1013" i="11"/>
  <c r="P25" i="11" s="1"/>
  <c r="Q1013" i="11"/>
  <c r="Q25" i="11" s="1"/>
  <c r="V1027" i="11"/>
  <c r="E1013" i="11"/>
  <c r="E25" i="11" s="1"/>
  <c r="F1086" i="11"/>
  <c r="K1047" i="11"/>
  <c r="S1047" i="11"/>
  <c r="Q1047" i="11"/>
  <c r="G1047" i="11"/>
  <c r="I1047" i="11"/>
  <c r="P1047" i="11"/>
  <c r="J1047" i="11"/>
  <c r="E1047" i="11"/>
  <c r="N1047" i="11"/>
  <c r="H1047" i="11"/>
  <c r="O1047" i="11"/>
  <c r="R1047" i="11"/>
  <c r="L1047" i="11"/>
  <c r="M1047" i="11"/>
  <c r="V992" i="11"/>
  <c r="V1083" i="11"/>
  <c r="S1013" i="11"/>
  <c r="S25" i="11" s="1"/>
  <c r="M1013" i="11"/>
  <c r="M25" i="11" s="1"/>
  <c r="R1013" i="11"/>
  <c r="R25" i="11" s="1"/>
  <c r="V1025" i="11"/>
  <c r="V1087" i="11"/>
  <c r="E1066" i="11"/>
  <c r="E667" i="11" s="1"/>
  <c r="S1066" i="11"/>
  <c r="M1066" i="11"/>
  <c r="L1066" i="11"/>
  <c r="N1066" i="11"/>
  <c r="P1066" i="11"/>
  <c r="R1066" i="11"/>
  <c r="G1066" i="11"/>
  <c r="K1066" i="11"/>
  <c r="I1066" i="11"/>
  <c r="J1066" i="11"/>
  <c r="Q1066" i="11"/>
  <c r="O1066" i="11"/>
  <c r="H1066" i="11"/>
  <c r="F1060" i="11"/>
  <c r="E1060" i="11" s="1"/>
  <c r="Q1021" i="11"/>
  <c r="M1021" i="11"/>
  <c r="I1021" i="11"/>
  <c r="K1021" i="11"/>
  <c r="O1021" i="11"/>
  <c r="S1021" i="11"/>
  <c r="E1021" i="11"/>
  <c r="N1021" i="11"/>
  <c r="L1021" i="11"/>
  <c r="J1021" i="11"/>
  <c r="P1021" i="11"/>
  <c r="G1021" i="11"/>
  <c r="R1021" i="11"/>
  <c r="H1021" i="11"/>
  <c r="O181" i="11"/>
  <c r="O182" i="11" s="1"/>
  <c r="V1008" i="11"/>
  <c r="J1013" i="11"/>
  <c r="J25" i="11" s="1"/>
  <c r="V982" i="11"/>
  <c r="L1013" i="11"/>
  <c r="L25" i="11" s="1"/>
  <c r="V688" i="11"/>
  <c r="F1070" i="11"/>
  <c r="I1031" i="11"/>
  <c r="S1031" i="11"/>
  <c r="G1031" i="11"/>
  <c r="Q1031" i="11"/>
  <c r="O1031" i="11"/>
  <c r="E1031" i="11"/>
  <c r="L1031" i="11"/>
  <c r="H1031" i="11"/>
  <c r="M1031" i="11"/>
  <c r="J1031" i="11"/>
  <c r="P1031" i="11"/>
  <c r="N1031" i="11"/>
  <c r="K1031" i="11"/>
  <c r="R1031" i="11"/>
  <c r="V1039" i="11"/>
  <c r="Q178" i="11"/>
  <c r="V1011" i="11"/>
  <c r="H1013" i="11"/>
  <c r="H25" i="11" s="1"/>
  <c r="Q103" i="11"/>
  <c r="Q1097" i="11"/>
  <c r="P1110" i="11"/>
  <c r="Q1106" i="11"/>
  <c r="R1093" i="11"/>
  <c r="O1115" i="11"/>
  <c r="O1117" i="11" s="1"/>
  <c r="Q184" i="11"/>
  <c r="Q187" i="11" s="1"/>
  <c r="P179" i="11"/>
  <c r="V96" i="11"/>
  <c r="AH96" i="11" s="1"/>
  <c r="K1013" i="11"/>
  <c r="K25" i="11" s="1"/>
  <c r="I1013" i="11"/>
  <c r="I25" i="11" s="1"/>
  <c r="N1013" i="11"/>
  <c r="N25" i="11" s="1"/>
  <c r="Q189" i="11"/>
  <c r="Q192" i="11" s="1"/>
  <c r="P180" i="11"/>
  <c r="V24" i="11"/>
  <c r="P1107" i="11"/>
  <c r="Q1094" i="11"/>
  <c r="P1108" i="11"/>
  <c r="Q1095" i="11"/>
  <c r="O171" i="11"/>
  <c r="O1013" i="11"/>
  <c r="O25" i="11" s="1"/>
  <c r="F1089" i="11"/>
  <c r="S1050" i="11"/>
  <c r="O1050" i="11"/>
  <c r="K1050" i="11"/>
  <c r="G1050" i="11"/>
  <c r="N1050" i="11"/>
  <c r="I1050" i="11"/>
  <c r="Q1050" i="11"/>
  <c r="L1050" i="11"/>
  <c r="M1050" i="11"/>
  <c r="J1050" i="11"/>
  <c r="E1050" i="11"/>
  <c r="P1050" i="11"/>
  <c r="R1050" i="11"/>
  <c r="H1050" i="11"/>
  <c r="Q165" i="11"/>
  <c r="Q168" i="11" s="1"/>
  <c r="Q160" i="11"/>
  <c r="Q113" i="11"/>
  <c r="P1111" i="11"/>
  <c r="Q1098" i="11"/>
  <c r="N174" i="11"/>
  <c r="N173" i="11"/>
  <c r="N161" i="11" s="1"/>
  <c r="N162" i="11" s="1"/>
  <c r="N95" i="11" s="1"/>
  <c r="S159" i="11"/>
  <c r="R1096" i="11"/>
  <c r="R1109" i="11" s="1"/>
  <c r="Q1109" i="11"/>
  <c r="Q170" i="11"/>
  <c r="E661" i="11" l="1"/>
  <c r="N1052" i="11"/>
  <c r="N26" i="11" s="1"/>
  <c r="Q1105" i="11"/>
  <c r="R1092" i="11"/>
  <c r="R1105" i="11" s="1"/>
  <c r="G64" i="11"/>
  <c r="I1052" i="11"/>
  <c r="I26" i="11" s="1"/>
  <c r="S1052" i="11"/>
  <c r="S26" i="11" s="1"/>
  <c r="V1066" i="11"/>
  <c r="N163" i="11"/>
  <c r="R1052" i="11"/>
  <c r="R26" i="11" s="1"/>
  <c r="M1052" i="11"/>
  <c r="M26" i="11" s="1"/>
  <c r="K1052" i="11"/>
  <c r="K26" i="11" s="1"/>
  <c r="V1021" i="11"/>
  <c r="O1052" i="11"/>
  <c r="O26" i="11" s="1"/>
  <c r="V1031" i="11"/>
  <c r="S1070" i="11"/>
  <c r="I1070" i="11"/>
  <c r="O1070" i="11"/>
  <c r="K1070" i="11"/>
  <c r="E1070" i="11"/>
  <c r="E671" i="11" s="1"/>
  <c r="H1070" i="11"/>
  <c r="J1070" i="11"/>
  <c r="M1070" i="11"/>
  <c r="Q1070" i="11"/>
  <c r="L1070" i="11"/>
  <c r="N1070" i="11"/>
  <c r="R1070" i="11"/>
  <c r="G1070" i="11"/>
  <c r="G671" i="11" s="1"/>
  <c r="P1070" i="11"/>
  <c r="K1086" i="11"/>
  <c r="G1086" i="11"/>
  <c r="G687" i="11" s="1"/>
  <c r="O1086" i="11"/>
  <c r="S1086" i="11"/>
  <c r="E1086" i="11"/>
  <c r="E687" i="11" s="1"/>
  <c r="J1086" i="11"/>
  <c r="M1086" i="11"/>
  <c r="R1086" i="11"/>
  <c r="L1086" i="11"/>
  <c r="Q1086" i="11"/>
  <c r="P1086" i="11"/>
  <c r="H1086" i="11"/>
  <c r="N1086" i="11"/>
  <c r="I1086" i="11"/>
  <c r="L1052" i="11"/>
  <c r="L26" i="11" s="1"/>
  <c r="V1047" i="11"/>
  <c r="E1052" i="11"/>
  <c r="E26" i="11" s="1"/>
  <c r="V1013" i="11"/>
  <c r="Z1013" i="11" s="1"/>
  <c r="P181" i="11"/>
  <c r="P182" i="11" s="1"/>
  <c r="P1115" i="11"/>
  <c r="P1117" i="11" s="1"/>
  <c r="R113" i="11"/>
  <c r="V1050" i="11"/>
  <c r="H1052" i="11"/>
  <c r="H26" i="11" s="1"/>
  <c r="J1052" i="11"/>
  <c r="J26" i="11" s="1"/>
  <c r="R1095" i="11"/>
  <c r="R1108" i="11" s="1"/>
  <c r="Q1108" i="11"/>
  <c r="Q1111" i="11"/>
  <c r="R1098" i="11"/>
  <c r="P1052" i="11"/>
  <c r="P26" i="11" s="1"/>
  <c r="G1052" i="11"/>
  <c r="G26" i="11" s="1"/>
  <c r="S1089" i="11"/>
  <c r="O1089" i="11"/>
  <c r="K1089" i="11"/>
  <c r="G1089" i="11"/>
  <c r="Q1089" i="11"/>
  <c r="L1089" i="11"/>
  <c r="L690" i="11" s="1"/>
  <c r="N1089" i="11"/>
  <c r="I1089" i="11"/>
  <c r="P1089" i="11"/>
  <c r="P690" i="11" s="1"/>
  <c r="E1089" i="11"/>
  <c r="J1089" i="11"/>
  <c r="H1089" i="11"/>
  <c r="H690" i="11" s="1"/>
  <c r="R1089" i="11"/>
  <c r="M1089" i="11"/>
  <c r="R1106" i="11"/>
  <c r="S1093" i="11"/>
  <c r="S1106" i="11" s="1"/>
  <c r="R170" i="11"/>
  <c r="R165" i="11"/>
  <c r="R168" i="11" s="1"/>
  <c r="R160" i="11"/>
  <c r="Q1052" i="11"/>
  <c r="Q26" i="11" s="1"/>
  <c r="Q690" i="11"/>
  <c r="O174" i="11"/>
  <c r="O173" i="11"/>
  <c r="O161" i="11" s="1"/>
  <c r="O162" i="11" s="1"/>
  <c r="O95" i="11" s="1"/>
  <c r="R1094" i="11"/>
  <c r="Q1107" i="11"/>
  <c r="Q180" i="11"/>
  <c r="R189" i="11"/>
  <c r="R192" i="11" s="1"/>
  <c r="I690" i="11"/>
  <c r="S690" i="11"/>
  <c r="E690" i="11"/>
  <c r="Q179" i="11"/>
  <c r="R184" i="11"/>
  <c r="R187" i="11" s="1"/>
  <c r="Q1110" i="11"/>
  <c r="R1097" i="11"/>
  <c r="R178" i="11"/>
  <c r="P171" i="11"/>
  <c r="R103" i="11"/>
  <c r="V25" i="11"/>
  <c r="E1091" i="11" l="1"/>
  <c r="E27" i="11" s="1"/>
  <c r="O163" i="11"/>
  <c r="V1052" i="11"/>
  <c r="Z1052" i="11" s="1"/>
  <c r="V1070" i="11"/>
  <c r="V1086" i="11"/>
  <c r="E692" i="11"/>
  <c r="Q181" i="11"/>
  <c r="Q182" i="11" s="1"/>
  <c r="Q171" i="11"/>
  <c r="M690" i="11"/>
  <c r="R1111" i="11"/>
  <c r="S1098" i="11"/>
  <c r="S1111" i="11" s="1"/>
  <c r="V1111" i="11" s="1"/>
  <c r="S113" i="11"/>
  <c r="K690" i="11"/>
  <c r="P174" i="11"/>
  <c r="P173" i="11"/>
  <c r="P161" i="11" s="1"/>
  <c r="P162" i="11" s="1"/>
  <c r="P95" i="11" s="1"/>
  <c r="Q1115" i="11"/>
  <c r="Q1117" i="11" s="1"/>
  <c r="O690" i="11"/>
  <c r="S160" i="11"/>
  <c r="S165" i="11"/>
  <c r="S168" i="11" s="1"/>
  <c r="Y165" i="11" s="1"/>
  <c r="R690" i="11"/>
  <c r="V26" i="11"/>
  <c r="S178" i="11"/>
  <c r="S189" i="11"/>
  <c r="S192" i="11" s="1"/>
  <c r="S180" i="11" s="1"/>
  <c r="R180" i="11"/>
  <c r="J690" i="11"/>
  <c r="S1097" i="11"/>
  <c r="S1110" i="11" s="1"/>
  <c r="V1110" i="11" s="1"/>
  <c r="R1110" i="11"/>
  <c r="V1106" i="11"/>
  <c r="S103" i="11"/>
  <c r="N690" i="11"/>
  <c r="S184" i="11"/>
  <c r="S187" i="11" s="1"/>
  <c r="Y184" i="11" s="1"/>
  <c r="R179" i="11"/>
  <c r="S179" i="11" s="1"/>
  <c r="S1094" i="11"/>
  <c r="S1107" i="11" s="1"/>
  <c r="V1107" i="11" s="1"/>
  <c r="R1107" i="11"/>
  <c r="V1089" i="11"/>
  <c r="G690" i="11"/>
  <c r="P163" i="11" l="1"/>
  <c r="R1115" i="11"/>
  <c r="R1117" i="11" s="1"/>
  <c r="S181" i="11"/>
  <c r="V1115" i="11"/>
  <c r="V1117" i="11" s="1"/>
  <c r="V690" i="11"/>
  <c r="V113" i="11"/>
  <c r="AH113" i="11" s="1"/>
  <c r="Q174" i="11"/>
  <c r="Q173" i="11"/>
  <c r="Q161" i="11" s="1"/>
  <c r="Q162" i="11" s="1"/>
  <c r="Q95" i="11" s="1"/>
  <c r="V103" i="11"/>
  <c r="AH103" i="11" s="1"/>
  <c r="Y170" i="11"/>
  <c r="Y173" i="11" s="1"/>
  <c r="Y161" i="11" s="1"/>
  <c r="Y168" i="11"/>
  <c r="AA165" i="11" s="1"/>
  <c r="R171" i="11"/>
  <c r="Y189" i="11"/>
  <c r="Y192" i="11" s="1"/>
  <c r="Y180" i="11" s="1"/>
  <c r="Y187" i="11"/>
  <c r="AA184" i="11" s="1"/>
  <c r="S1115" i="11"/>
  <c r="S1117" i="11" s="1"/>
  <c r="R181" i="11"/>
  <c r="R182" i="11" s="1"/>
  <c r="Q163" i="11" l="1"/>
  <c r="AA189" i="11"/>
  <c r="AA192" i="11" s="1"/>
  <c r="AA180" i="11" s="1"/>
  <c r="AA187" i="11"/>
  <c r="AC184" i="11" s="1"/>
  <c r="R174" i="11"/>
  <c r="R173" i="11"/>
  <c r="Y113" i="11"/>
  <c r="S171" i="11"/>
  <c r="S174" i="11" s="1"/>
  <c r="AH52" i="11"/>
  <c r="AA170" i="11"/>
  <c r="AA173" i="11" s="1"/>
  <c r="AA161" i="11" s="1"/>
  <c r="AA168" i="11"/>
  <c r="AC165" i="11" s="1"/>
  <c r="Y178" i="11"/>
  <c r="Y181" i="11" s="1"/>
  <c r="S182" i="11"/>
  <c r="Y96" i="11" l="1"/>
  <c r="AA178" i="11"/>
  <c r="AA181" i="11" s="1"/>
  <c r="W52" i="11"/>
  <c r="Y52" i="11"/>
  <c r="S170" i="11"/>
  <c r="S173" i="11" s="1"/>
  <c r="S161" i="11" s="1"/>
  <c r="S162" i="11" s="1"/>
  <c r="R161" i="11"/>
  <c r="R162" i="11" s="1"/>
  <c r="R95" i="11" s="1"/>
  <c r="AC189" i="11"/>
  <c r="AC192" i="11" s="1"/>
  <c r="AC180" i="11" s="1"/>
  <c r="AC187" i="11"/>
  <c r="AE184" i="11" s="1"/>
  <c r="AC170" i="11"/>
  <c r="AC173" i="11" s="1"/>
  <c r="AC161" i="11" s="1"/>
  <c r="AC168" i="11"/>
  <c r="AE165" i="11" s="1"/>
  <c r="AA113" i="11"/>
  <c r="R163" i="11" l="1"/>
  <c r="AE170" i="11"/>
  <c r="AE173" i="11" s="1"/>
  <c r="AE161" i="11" s="1"/>
  <c r="AE168" i="11"/>
  <c r="AE189" i="11"/>
  <c r="AE192" i="11" s="1"/>
  <c r="AE180" i="11" s="1"/>
  <c r="AE187" i="11"/>
  <c r="Y159" i="11"/>
  <c r="Y162" i="11" s="1"/>
  <c r="S95" i="11"/>
  <c r="S21" i="2" s="1"/>
  <c r="AA52" i="11"/>
  <c r="AC113" i="11"/>
  <c r="AC178" i="11"/>
  <c r="AC181" i="11" s="1"/>
  <c r="AA96" i="11"/>
  <c r="AC96" i="11" l="1"/>
  <c r="AE178" i="11"/>
  <c r="AE181" i="11" s="1"/>
  <c r="AE96" i="11" s="1"/>
  <c r="AE113" i="11"/>
  <c r="V95" i="11"/>
  <c r="AH95" i="11" s="1"/>
  <c r="S163" i="11"/>
  <c r="AC52" i="11"/>
  <c r="AA159" i="11"/>
  <c r="AA162" i="11" s="1"/>
  <c r="Y95" i="11"/>
  <c r="AE52" i="11" l="1"/>
  <c r="AA95" i="11"/>
  <c r="AC159" i="11"/>
  <c r="AC162" i="11" s="1"/>
  <c r="AE159" i="11" l="1"/>
  <c r="AE162" i="11" s="1"/>
  <c r="AE95" i="11" s="1"/>
  <c r="AC95" i="11"/>
  <c r="P79" i="4" l="1"/>
  <c r="P87" i="4" l="1"/>
  <c r="P84" i="4"/>
  <c r="P65" i="4"/>
  <c r="R59" i="3"/>
  <c r="E335" i="6"/>
  <c r="R9" i="3" l="1"/>
  <c r="P34" i="3"/>
  <c r="R34" i="3" s="1"/>
  <c r="R82" i="3" l="1"/>
  <c r="O14" i="2"/>
  <c r="I246" i="10" l="1"/>
  <c r="F246" i="10"/>
  <c r="E246" i="10"/>
  <c r="D246" i="10"/>
  <c r="J242" i="10"/>
  <c r="I242" i="10"/>
  <c r="F242" i="10"/>
  <c r="E242" i="10"/>
  <c r="D242" i="10"/>
  <c r="J232" i="10"/>
  <c r="J235" i="10" s="1"/>
  <c r="I232" i="10"/>
  <c r="F232" i="10"/>
  <c r="F235" i="10" s="1"/>
  <c r="E232" i="10"/>
  <c r="D232" i="10"/>
  <c r="J227" i="10"/>
  <c r="J234" i="10" s="1"/>
  <c r="I227" i="10"/>
  <c r="F227" i="10"/>
  <c r="F234" i="10" s="1"/>
  <c r="E227" i="10"/>
  <c r="D227" i="10"/>
  <c r="J222" i="10"/>
  <c r="P79" i="2" s="1"/>
  <c r="I222" i="10"/>
  <c r="F222" i="10"/>
  <c r="E222" i="10"/>
  <c r="D222" i="10"/>
  <c r="J217" i="10"/>
  <c r="P78" i="2" s="1"/>
  <c r="I217" i="10"/>
  <c r="F217" i="10"/>
  <c r="E217" i="10"/>
  <c r="D217" i="10"/>
  <c r="J209" i="10"/>
  <c r="P77" i="2" s="1"/>
  <c r="I209" i="10"/>
  <c r="F209" i="10"/>
  <c r="E209" i="10"/>
  <c r="D209" i="10"/>
  <c r="J205" i="10"/>
  <c r="P76" i="2" s="1"/>
  <c r="I205" i="10"/>
  <c r="F205" i="10"/>
  <c r="E205" i="10"/>
  <c r="D205" i="10"/>
  <c r="J202" i="10"/>
  <c r="P75" i="2" s="1"/>
  <c r="I202" i="10"/>
  <c r="F202" i="10"/>
  <c r="E202" i="10"/>
  <c r="D202" i="10"/>
  <c r="J198" i="10"/>
  <c r="P74" i="2" s="1"/>
  <c r="I198" i="10"/>
  <c r="F198" i="10"/>
  <c r="E198" i="10"/>
  <c r="D198" i="10"/>
  <c r="J194" i="10"/>
  <c r="P73" i="2" s="1"/>
  <c r="I194" i="10"/>
  <c r="F194" i="10"/>
  <c r="E194" i="10"/>
  <c r="D194" i="10"/>
  <c r="J191" i="10"/>
  <c r="P72" i="2" s="1"/>
  <c r="I191" i="10"/>
  <c r="F191" i="10"/>
  <c r="E191" i="10"/>
  <c r="D191" i="10"/>
  <c r="J181" i="10"/>
  <c r="P71" i="2" s="1"/>
  <c r="I181" i="10"/>
  <c r="F181" i="10"/>
  <c r="E181" i="10"/>
  <c r="D181" i="10"/>
  <c r="J178" i="10"/>
  <c r="P70" i="2" s="1"/>
  <c r="I178" i="10"/>
  <c r="F178" i="10"/>
  <c r="E178" i="10"/>
  <c r="D178" i="10"/>
  <c r="J169" i="10"/>
  <c r="P69" i="2" s="1"/>
  <c r="I169" i="10"/>
  <c r="F169" i="10"/>
  <c r="E169" i="10"/>
  <c r="D169" i="10"/>
  <c r="J166" i="10"/>
  <c r="P68" i="2" s="1"/>
  <c r="I166" i="10"/>
  <c r="F166" i="10"/>
  <c r="E166" i="10"/>
  <c r="D166" i="10"/>
  <c r="J160" i="10"/>
  <c r="P67" i="2" s="1"/>
  <c r="I160" i="10"/>
  <c r="F160" i="10"/>
  <c r="E160" i="10"/>
  <c r="D160" i="10"/>
  <c r="J155" i="10"/>
  <c r="P66" i="2" s="1"/>
  <c r="I155" i="10"/>
  <c r="F155" i="10"/>
  <c r="E155" i="10"/>
  <c r="D155" i="10"/>
  <c r="J151" i="10"/>
  <c r="P65" i="2" s="1"/>
  <c r="I151" i="10"/>
  <c r="F151" i="10"/>
  <c r="E151" i="10"/>
  <c r="D142" i="10"/>
  <c r="D151" i="10" s="1"/>
  <c r="D131" i="10"/>
  <c r="F129" i="10"/>
  <c r="E127" i="10"/>
  <c r="E129" i="10" s="1"/>
  <c r="D128" i="10" s="1"/>
  <c r="J122" i="10"/>
  <c r="P32" i="2" s="1"/>
  <c r="I122" i="10"/>
  <c r="F122" i="10"/>
  <c r="E122" i="10"/>
  <c r="D122" i="10"/>
  <c r="J117" i="10"/>
  <c r="P31" i="2" s="1"/>
  <c r="I117" i="10"/>
  <c r="F117" i="10"/>
  <c r="E117" i="10"/>
  <c r="D117" i="10"/>
  <c r="J108" i="10"/>
  <c r="I108" i="10"/>
  <c r="F108" i="10"/>
  <c r="E108" i="10"/>
  <c r="D108" i="10"/>
  <c r="D98" i="10"/>
  <c r="I92" i="10"/>
  <c r="F92" i="10"/>
  <c r="E92" i="10"/>
  <c r="D92" i="10"/>
  <c r="I86" i="10"/>
  <c r="F86" i="10"/>
  <c r="E86" i="10"/>
  <c r="D86" i="10"/>
  <c r="D93" i="10" s="1"/>
  <c r="D78" i="10"/>
  <c r="D68" i="10"/>
  <c r="D58" i="10"/>
  <c r="D53" i="10"/>
  <c r="D20" i="10"/>
  <c r="D16" i="10"/>
  <c r="P30" i="2" l="1"/>
  <c r="J136" i="10"/>
  <c r="E136" i="10"/>
  <c r="I235" i="10"/>
  <c r="I234" i="10"/>
  <c r="I136" i="10"/>
  <c r="P34" i="2"/>
  <c r="F136" i="10"/>
  <c r="F93" i="10"/>
  <c r="E93" i="10"/>
  <c r="I93" i="10"/>
  <c r="D136" i="10"/>
  <c r="D24" i="10"/>
  <c r="D100" i="10" s="1"/>
  <c r="D127" i="10"/>
  <c r="D129" i="10" s="1"/>
  <c r="I100" i="10" l="1"/>
  <c r="I137" i="10" s="1"/>
  <c r="F100" i="10"/>
  <c r="F137" i="10" s="1"/>
  <c r="E100" i="10"/>
  <c r="D137" i="10"/>
  <c r="A52" i="2"/>
  <c r="E137" i="10" l="1"/>
  <c r="C4" i="8"/>
  <c r="C15" i="8" s="1"/>
  <c r="B4" i="8"/>
  <c r="B15" i="8" l="1"/>
  <c r="D4" i="8"/>
  <c r="D15" i="8" s="1"/>
  <c r="Z271" i="7" l="1"/>
  <c r="Z265" i="7"/>
  <c r="R265" i="7"/>
  <c r="Z211" i="7"/>
  <c r="R211" i="7"/>
  <c r="F80" i="7"/>
  <c r="N30" i="7"/>
  <c r="B18" i="2" l="1"/>
  <c r="B17" i="2"/>
  <c r="D44" i="5" l="1"/>
  <c r="O22" i="2" l="1"/>
  <c r="U22" i="2" s="1"/>
  <c r="Q22" i="2" l="1"/>
  <c r="G1" i="6"/>
  <c r="P43" i="4"/>
  <c r="R107" i="3" l="1"/>
  <c r="B11" i="2"/>
  <c r="Q127" i="3"/>
  <c r="P92" i="4" l="1"/>
  <c r="P52" i="4"/>
  <c r="P58" i="4"/>
  <c r="P61" i="4"/>
  <c r="P64" i="4"/>
  <c r="P66" i="4"/>
  <c r="P48" i="4"/>
  <c r="P69" i="4"/>
  <c r="P70" i="4"/>
  <c r="P71" i="4"/>
  <c r="P72" i="4"/>
  <c r="P75" i="4"/>
  <c r="P44" i="4"/>
  <c r="P36" i="4"/>
  <c r="P83" i="4"/>
  <c r="P85" i="4"/>
  <c r="P93" i="4"/>
  <c r="P91" i="4"/>
  <c r="P77" i="4" l="1"/>
  <c r="P56" i="4"/>
  <c r="P53" i="4"/>
  <c r="P57" i="4"/>
  <c r="P86" i="4"/>
  <c r="P41" i="4"/>
  <c r="P40" i="4"/>
  <c r="P39" i="4"/>
  <c r="P42" i="4"/>
  <c r="P55" i="4"/>
  <c r="P51" i="4"/>
  <c r="P54" i="4"/>
  <c r="P101" i="2"/>
  <c r="R89" i="4"/>
  <c r="N101" i="2" l="1"/>
  <c r="O101" i="2"/>
  <c r="Q101" i="2" s="1"/>
  <c r="B90" i="2"/>
  <c r="R60" i="3" l="1"/>
  <c r="R22" i="3"/>
  <c r="R16" i="3"/>
  <c r="R13" i="3"/>
  <c r="Q126" i="3"/>
  <c r="Q120" i="3"/>
  <c r="Q111" i="3"/>
  <c r="Q83" i="3"/>
  <c r="Q72" i="3"/>
  <c r="Q62" i="3"/>
  <c r="S120" i="4"/>
  <c r="R118" i="4"/>
  <c r="P91" i="2" s="1"/>
  <c r="R114" i="4"/>
  <c r="P114" i="4"/>
  <c r="R107" i="4"/>
  <c r="P89" i="2" s="1"/>
  <c r="P107" i="4"/>
  <c r="R102" i="4"/>
  <c r="P88" i="2" s="1"/>
  <c r="P102" i="4"/>
  <c r="R97" i="4"/>
  <c r="P97" i="4"/>
  <c r="R94" i="4"/>
  <c r="P94" i="4"/>
  <c r="P89" i="4"/>
  <c r="R81" i="4"/>
  <c r="P81" i="4"/>
  <c r="N76" i="2"/>
  <c r="R73" i="4"/>
  <c r="P73" i="4"/>
  <c r="R67" i="4"/>
  <c r="P67" i="4"/>
  <c r="R62" i="4"/>
  <c r="P62" i="4"/>
  <c r="R59" i="4"/>
  <c r="P59" i="4"/>
  <c r="S58" i="4"/>
  <c r="R49" i="4"/>
  <c r="P49" i="4"/>
  <c r="R46" i="4"/>
  <c r="P46" i="4"/>
  <c r="R37" i="4"/>
  <c r="P37" i="4"/>
  <c r="S36" i="4"/>
  <c r="R34" i="4"/>
  <c r="P34" i="4"/>
  <c r="T26" i="4"/>
  <c r="T25" i="4"/>
  <c r="S28" i="4"/>
  <c r="R28" i="4"/>
  <c r="P28" i="4"/>
  <c r="R23" i="4"/>
  <c r="P23" i="4"/>
  <c r="R19" i="4"/>
  <c r="P19" i="4"/>
  <c r="S8" i="4"/>
  <c r="T8" i="4" s="1"/>
  <c r="E1" i="6"/>
  <c r="O44" i="2"/>
  <c r="R110" i="3"/>
  <c r="P127" i="3"/>
  <c r="R65" i="3"/>
  <c r="R64" i="3"/>
  <c r="R32" i="3"/>
  <c r="R27" i="3"/>
  <c r="R123" i="3" l="1"/>
  <c r="R78" i="3"/>
  <c r="R116" i="3"/>
  <c r="R109" i="3"/>
  <c r="R114" i="3"/>
  <c r="R108" i="3"/>
  <c r="R69" i="3"/>
  <c r="R71" i="3"/>
  <c r="R12" i="3"/>
  <c r="R67" i="3"/>
  <c r="R122" i="3"/>
  <c r="O76" i="2"/>
  <c r="R77" i="3"/>
  <c r="J128" i="6"/>
  <c r="J129" i="6" s="1"/>
  <c r="S12" i="4"/>
  <c r="T12" i="4" s="1"/>
  <c r="S22" i="4"/>
  <c r="T22" i="4" s="1"/>
  <c r="S33" i="4"/>
  <c r="T33" i="4" s="1"/>
  <c r="S43" i="4"/>
  <c r="T43" i="4" s="1"/>
  <c r="S53" i="4"/>
  <c r="T53" i="4" s="1"/>
  <c r="S57" i="4"/>
  <c r="T57" i="4" s="1"/>
  <c r="S72" i="4"/>
  <c r="S87" i="4"/>
  <c r="T87" i="4" s="1"/>
  <c r="S93" i="4"/>
  <c r="T93" i="4" s="1"/>
  <c r="Q97" i="4"/>
  <c r="S111" i="4"/>
  <c r="T111" i="4" s="1"/>
  <c r="S15" i="4"/>
  <c r="T15" i="4" s="1"/>
  <c r="S11" i="4"/>
  <c r="T11" i="4" s="1"/>
  <c r="S30" i="4"/>
  <c r="T30" i="4" s="1"/>
  <c r="S40" i="4"/>
  <c r="T40" i="4" s="1"/>
  <c r="S44" i="4"/>
  <c r="T44" i="4" s="1"/>
  <c r="S54" i="4"/>
  <c r="T54" i="4" s="1"/>
  <c r="S61" i="4"/>
  <c r="S62" i="4" s="1"/>
  <c r="T62" i="4" s="1"/>
  <c r="S69" i="4"/>
  <c r="T69" i="4" s="1"/>
  <c r="S84" i="4"/>
  <c r="S88" i="4"/>
  <c r="S101" i="4"/>
  <c r="T101" i="4" s="1"/>
  <c r="S105" i="4"/>
  <c r="T105" i="4" s="1"/>
  <c r="S112" i="4"/>
  <c r="T112" i="4" s="1"/>
  <c r="S41" i="4"/>
  <c r="T41" i="4" s="1"/>
  <c r="S45" i="4"/>
  <c r="T45" i="4" s="1"/>
  <c r="S48" i="4"/>
  <c r="S49" i="4" s="1"/>
  <c r="T49" i="4" s="1"/>
  <c r="S55" i="4"/>
  <c r="T55" i="4" s="1"/>
  <c r="S64" i="4"/>
  <c r="T64" i="4" s="1"/>
  <c r="S70" i="4"/>
  <c r="T70" i="4" s="1"/>
  <c r="S79" i="4"/>
  <c r="T79" i="4" s="1"/>
  <c r="S85" i="4"/>
  <c r="T85" i="4" s="1"/>
  <c r="S91" i="4"/>
  <c r="S106" i="4"/>
  <c r="T106" i="4" s="1"/>
  <c r="S18" i="4"/>
  <c r="S21" i="4"/>
  <c r="T21" i="4" s="1"/>
  <c r="S32" i="4"/>
  <c r="T32" i="4" s="1"/>
  <c r="S42" i="4"/>
  <c r="T42" i="4" s="1"/>
  <c r="S52" i="4"/>
  <c r="T52" i="4" s="1"/>
  <c r="S56" i="4"/>
  <c r="T56" i="4" s="1"/>
  <c r="S65" i="4"/>
  <c r="T65" i="4" s="1"/>
  <c r="S80" i="4"/>
  <c r="T80" i="4" s="1"/>
  <c r="S86" i="4"/>
  <c r="T86" i="4" s="1"/>
  <c r="S92" i="4"/>
  <c r="T92" i="4" s="1"/>
  <c r="S117" i="4"/>
  <c r="N80" i="2"/>
  <c r="N66" i="2"/>
  <c r="U66" i="2" s="1"/>
  <c r="N68" i="2"/>
  <c r="U68" i="2" s="1"/>
  <c r="N69" i="2"/>
  <c r="U69" i="2" s="1"/>
  <c r="N74" i="2"/>
  <c r="U74" i="2" s="1"/>
  <c r="N78" i="2"/>
  <c r="U78" i="2" s="1"/>
  <c r="N89" i="2"/>
  <c r="U89" i="2" s="1"/>
  <c r="N72" i="2"/>
  <c r="U72" i="2" s="1"/>
  <c r="N73" i="2"/>
  <c r="U73" i="2" s="1"/>
  <c r="N77" i="2"/>
  <c r="U77" i="2" s="1"/>
  <c r="N67" i="2"/>
  <c r="U67" i="2" s="1"/>
  <c r="N70" i="2"/>
  <c r="U70" i="2" s="1"/>
  <c r="N71" i="2"/>
  <c r="U71" i="2" s="1"/>
  <c r="N79" i="2"/>
  <c r="U79" i="2" s="1"/>
  <c r="N65" i="2"/>
  <c r="N75" i="2"/>
  <c r="U75" i="2" s="1"/>
  <c r="N88" i="2"/>
  <c r="S75" i="4"/>
  <c r="S77" i="4" s="1"/>
  <c r="Q77" i="4"/>
  <c r="Q118" i="4"/>
  <c r="T28" i="4"/>
  <c r="S14" i="4"/>
  <c r="T14" i="4" s="1"/>
  <c r="S13" i="4"/>
  <c r="T13" i="4" s="1"/>
  <c r="S9" i="4"/>
  <c r="T9" i="4" s="1"/>
  <c r="S16" i="4"/>
  <c r="T16" i="4" s="1"/>
  <c r="S10" i="4"/>
  <c r="T10" i="4" s="1"/>
  <c r="Q28" i="4"/>
  <c r="P126" i="3"/>
  <c r="P72" i="3"/>
  <c r="I158" i="6"/>
  <c r="R14" i="3"/>
  <c r="R23" i="3"/>
  <c r="P111" i="3"/>
  <c r="O30" i="2" s="1"/>
  <c r="P83" i="3"/>
  <c r="R83" i="3" s="1"/>
  <c r="R15" i="3"/>
  <c r="S113" i="4"/>
  <c r="S109" i="4"/>
  <c r="P33" i="3"/>
  <c r="Q49" i="4"/>
  <c r="S96" i="4"/>
  <c r="S97" i="4" s="1"/>
  <c r="P80" i="2" s="1"/>
  <c r="P82" i="2" s="1"/>
  <c r="C6" i="8" s="1"/>
  <c r="Q34" i="4"/>
  <c r="S116" i="4"/>
  <c r="Q114" i="4"/>
  <c r="Q102" i="4"/>
  <c r="S37" i="4"/>
  <c r="T37" i="4" s="1"/>
  <c r="T36" i="4"/>
  <c r="S110" i="4"/>
  <c r="Q46" i="4"/>
  <c r="Q107" i="4"/>
  <c r="Q73" i="4"/>
  <c r="S100" i="4"/>
  <c r="Q37" i="4"/>
  <c r="Q59" i="4"/>
  <c r="Q62" i="4"/>
  <c r="S31" i="4"/>
  <c r="T31" i="4" s="1"/>
  <c r="Q81" i="4"/>
  <c r="Q94" i="4"/>
  <c r="S39" i="4"/>
  <c r="S71" i="4"/>
  <c r="Q67" i="4"/>
  <c r="S66" i="4"/>
  <c r="S51" i="4"/>
  <c r="Q23" i="4"/>
  <c r="Q19" i="4"/>
  <c r="P46" i="3"/>
  <c r="P62" i="3"/>
  <c r="O18" i="2" s="1"/>
  <c r="O16" i="2"/>
  <c r="Q89" i="4"/>
  <c r="M24" i="6"/>
  <c r="L2" i="6"/>
  <c r="L5" i="6"/>
  <c r="L3" i="6"/>
  <c r="M3" i="6"/>
  <c r="O13" i="2" l="1"/>
  <c r="P20" i="3"/>
  <c r="R20" i="3" s="1"/>
  <c r="Q59" i="2"/>
  <c r="T113" i="4"/>
  <c r="Q90" i="2"/>
  <c r="P62" i="2"/>
  <c r="Q58" i="2"/>
  <c r="R126" i="3"/>
  <c r="O32" i="2"/>
  <c r="O80" i="2"/>
  <c r="V80" i="2" s="1"/>
  <c r="O15" i="2"/>
  <c r="U15" i="2" s="1"/>
  <c r="R46" i="3"/>
  <c r="AC76" i="2"/>
  <c r="B18" i="5"/>
  <c r="O65" i="2"/>
  <c r="AC65" i="2" s="1"/>
  <c r="O71" i="2"/>
  <c r="V71" i="2" s="1"/>
  <c r="O67" i="2"/>
  <c r="V67" i="2" s="1"/>
  <c r="O73" i="2"/>
  <c r="V73" i="2" s="1"/>
  <c r="O89" i="2"/>
  <c r="V89" i="2" s="1"/>
  <c r="O74" i="2"/>
  <c r="V74" i="2" s="1"/>
  <c r="O68" i="2"/>
  <c r="V68" i="2" s="1"/>
  <c r="O75" i="2"/>
  <c r="V75" i="2" s="1"/>
  <c r="O79" i="2"/>
  <c r="V79" i="2" s="1"/>
  <c r="O70" i="2"/>
  <c r="V70" i="2" s="1"/>
  <c r="O77" i="2"/>
  <c r="V77" i="2" s="1"/>
  <c r="O72" i="2"/>
  <c r="V72" i="2" s="1"/>
  <c r="O78" i="2"/>
  <c r="V78" i="2" s="1"/>
  <c r="O69" i="2"/>
  <c r="V69" i="2" s="1"/>
  <c r="O66" i="2"/>
  <c r="V66" i="2" s="1"/>
  <c r="Q76" i="2"/>
  <c r="U30" i="2"/>
  <c r="R111" i="3"/>
  <c r="Q18" i="2"/>
  <c r="R62" i="3"/>
  <c r="R33" i="3"/>
  <c r="O17" i="2"/>
  <c r="R72" i="3"/>
  <c r="Q16" i="2"/>
  <c r="N93" i="2"/>
  <c r="O88" i="2"/>
  <c r="T61" i="4"/>
  <c r="T48" i="4"/>
  <c r="S107" i="4"/>
  <c r="S89" i="4"/>
  <c r="T89" i="4" s="1"/>
  <c r="S81" i="4"/>
  <c r="T81" i="4" s="1"/>
  <c r="B17" i="5"/>
  <c r="T84" i="4"/>
  <c r="S23" i="4"/>
  <c r="T23" i="4" s="1"/>
  <c r="S94" i="4"/>
  <c r="T94" i="4" s="1"/>
  <c r="N82" i="2"/>
  <c r="K324" i="6" s="1"/>
  <c r="T75" i="4"/>
  <c r="S19" i="4"/>
  <c r="T109" i="4"/>
  <c r="P24" i="3"/>
  <c r="R24" i="3" s="1"/>
  <c r="L4" i="6"/>
  <c r="L6" i="6" s="1"/>
  <c r="L7" i="6" s="1"/>
  <c r="S118" i="4"/>
  <c r="Q91" i="2" s="1"/>
  <c r="S67" i="4"/>
  <c r="T67" i="4" s="1"/>
  <c r="T110" i="4"/>
  <c r="S114" i="4"/>
  <c r="T114" i="4" s="1"/>
  <c r="T100" i="4"/>
  <c r="S102" i="4"/>
  <c r="S34" i="4"/>
  <c r="T34" i="4" s="1"/>
  <c r="S46" i="4"/>
  <c r="T39" i="4"/>
  <c r="T77" i="4"/>
  <c r="S73" i="4"/>
  <c r="S59" i="4"/>
  <c r="T51" i="4"/>
  <c r="R113" i="3" l="1"/>
  <c r="T107" i="4"/>
  <c r="P93" i="2"/>
  <c r="Q15" i="2"/>
  <c r="AC69" i="2"/>
  <c r="AC72" i="2"/>
  <c r="AC70" i="2"/>
  <c r="AC75" i="2"/>
  <c r="AC74" i="2"/>
  <c r="AC73" i="2"/>
  <c r="AC71" i="2"/>
  <c r="AC66" i="2"/>
  <c r="AC78" i="2"/>
  <c r="AC77" i="2"/>
  <c r="AC79" i="2"/>
  <c r="AC68" i="2"/>
  <c r="AC67" i="2"/>
  <c r="Q13" i="2"/>
  <c r="Q30" i="2"/>
  <c r="Q17" i="2"/>
  <c r="U17" i="2"/>
  <c r="Q69" i="2"/>
  <c r="Q72" i="2"/>
  <c r="Q70" i="2"/>
  <c r="Q75" i="2"/>
  <c r="Q74" i="2"/>
  <c r="Q73" i="2"/>
  <c r="Q71" i="2"/>
  <c r="L325" i="6"/>
  <c r="L326" i="6" s="1"/>
  <c r="Q88" i="2"/>
  <c r="Q66" i="2"/>
  <c r="Q78" i="2"/>
  <c r="Q77" i="2"/>
  <c r="Q79" i="2"/>
  <c r="Q68" i="2"/>
  <c r="Q89" i="2"/>
  <c r="Q67" i="2"/>
  <c r="Q65" i="2"/>
  <c r="P28" i="3"/>
  <c r="O11" i="2" s="1"/>
  <c r="T19" i="4"/>
  <c r="P120" i="3"/>
  <c r="O31" i="2" s="1"/>
  <c r="T102" i="4"/>
  <c r="T46" i="4"/>
  <c r="T73" i="4"/>
  <c r="T59" i="4"/>
  <c r="R28" i="3" l="1"/>
  <c r="R120" i="3"/>
  <c r="B60" i="2"/>
  <c r="B91" i="2"/>
  <c r="B58" i="2"/>
  <c r="B59" i="2"/>
  <c r="B89" i="2"/>
  <c r="B88" i="2"/>
  <c r="B80" i="2"/>
  <c r="Q11" i="2" l="1"/>
  <c r="Q31" i="2"/>
  <c r="O82" i="2"/>
  <c r="O93" i="2"/>
  <c r="B79" i="2"/>
  <c r="B78" i="2"/>
  <c r="B77" i="2"/>
  <c r="B76" i="2"/>
  <c r="B75" i="2"/>
  <c r="B74" i="2"/>
  <c r="B73" i="2"/>
  <c r="B72" i="2"/>
  <c r="B71" i="2"/>
  <c r="B70" i="2"/>
  <c r="B69" i="2"/>
  <c r="B68" i="2"/>
  <c r="K327" i="6" l="1"/>
  <c r="AC82" i="2"/>
  <c r="Q82" i="2"/>
  <c r="Q93" i="2"/>
  <c r="B6" i="8"/>
  <c r="E6" i="8" s="1"/>
  <c r="B67" i="2"/>
  <c r="B66" i="2"/>
  <c r="B65" i="2"/>
  <c r="B39" i="2"/>
  <c r="B33" i="2"/>
  <c r="B32" i="2"/>
  <c r="B31" i="2"/>
  <c r="B30" i="2"/>
  <c r="B23" i="2"/>
  <c r="B22" i="2"/>
  <c r="B21" i="2"/>
  <c r="B20" i="2"/>
  <c r="B19" i="2"/>
  <c r="B16" i="2"/>
  <c r="B15" i="2"/>
  <c r="B14" i="2"/>
  <c r="B13" i="2"/>
  <c r="O33" i="2"/>
  <c r="O34" i="2" s="1"/>
  <c r="U32" i="2"/>
  <c r="O23" i="2"/>
  <c r="U23" i="2" s="1"/>
  <c r="O20" i="2"/>
  <c r="O19" i="2"/>
  <c r="Q20" i="2" l="1"/>
  <c r="Q32" i="2"/>
  <c r="B53" i="8"/>
  <c r="C50" i="5" l="1"/>
  <c r="B38" i="5" s="1"/>
  <c r="C49" i="5"/>
  <c r="B36" i="5" s="1"/>
  <c r="B37" i="5"/>
  <c r="D53" i="5" l="1"/>
  <c r="B65" i="5"/>
  <c r="B16" i="5" s="1"/>
  <c r="C47" i="5"/>
  <c r="C51" i="5"/>
  <c r="B35" i="5" s="1"/>
  <c r="B39" i="5" s="1"/>
  <c r="C22" i="5" l="1"/>
  <c r="B47" i="5"/>
  <c r="B53" i="5" s="1"/>
  <c r="C53" i="5"/>
  <c r="Q131" i="3" l="1"/>
  <c r="R129" i="3"/>
  <c r="P131" i="3"/>
  <c r="O21" i="2"/>
  <c r="U21" i="2" s="1"/>
  <c r="O39" i="2" l="1"/>
  <c r="R131" i="3"/>
  <c r="Q21" i="2"/>
  <c r="C5" i="8"/>
  <c r="C7" i="8" s="1"/>
  <c r="Q39" i="2" l="1"/>
  <c r="U39" i="2"/>
  <c r="Q62" i="2"/>
  <c r="O84" i="2"/>
  <c r="B5" i="8"/>
  <c r="N84" i="2"/>
  <c r="N109" i="2" s="1"/>
  <c r="P84" i="2"/>
  <c r="O109" i="2" l="1"/>
  <c r="Q84" i="2"/>
  <c r="N95" i="2"/>
  <c r="C17" i="8"/>
  <c r="P95" i="2"/>
  <c r="P109" i="2"/>
  <c r="C9" i="8" s="1"/>
  <c r="C10" i="8" s="1"/>
  <c r="O95" i="2"/>
  <c r="E5" i="8"/>
  <c r="B52" i="8" s="1"/>
  <c r="B7" i="8"/>
  <c r="E7" i="8" s="1"/>
  <c r="O25" i="2"/>
  <c r="J175" i="6" s="1"/>
  <c r="G1074" i="1"/>
  <c r="G412" i="1" s="1"/>
  <c r="F412" i="1" s="1"/>
  <c r="G391" i="1"/>
  <c r="E1074" i="1"/>
  <c r="G369" i="1" s="1"/>
  <c r="H1065" i="1"/>
  <c r="H1064" i="1"/>
  <c r="H1062" i="1"/>
  <c r="H1061" i="1"/>
  <c r="H1058" i="1"/>
  <c r="G1041" i="1"/>
  <c r="F1041" i="1"/>
  <c r="G388" i="1" s="1"/>
  <c r="F366" i="1" s="1"/>
  <c r="E1041" i="1"/>
  <c r="G366" i="1" s="1"/>
  <c r="G1032" i="1"/>
  <c r="F1032" i="1"/>
  <c r="G383" i="1" s="1"/>
  <c r="F361" i="1" s="1"/>
  <c r="E1032" i="1"/>
  <c r="H1018" i="1"/>
  <c r="H1017" i="1"/>
  <c r="H1015" i="1"/>
  <c r="H1014" i="1"/>
  <c r="G995" i="1"/>
  <c r="E995" i="1"/>
  <c r="G358" i="1" s="1"/>
  <c r="H981" i="1"/>
  <c r="H980" i="1"/>
  <c r="H979" i="1"/>
  <c r="H978" i="1"/>
  <c r="H977" i="1"/>
  <c r="H976" i="1"/>
  <c r="H975" i="1"/>
  <c r="H972" i="1"/>
  <c r="H964" i="1"/>
  <c r="H963" i="1"/>
  <c r="I963" i="1" s="1"/>
  <c r="H962" i="1"/>
  <c r="I962" i="1" s="1"/>
  <c r="H934" i="1"/>
  <c r="H933" i="1"/>
  <c r="I933" i="1" s="1"/>
  <c r="H925" i="1"/>
  <c r="H919" i="1"/>
  <c r="I919" i="1" s="1"/>
  <c r="H911" i="1"/>
  <c r="H910" i="1"/>
  <c r="I910" i="1" s="1"/>
  <c r="H909" i="1"/>
  <c r="H907" i="1"/>
  <c r="I907" i="1" s="1"/>
  <c r="A899" i="1"/>
  <c r="H891" i="1"/>
  <c r="J891" i="1" s="1"/>
  <c r="H91" i="1"/>
  <c r="F91" i="1"/>
  <c r="E91" i="1"/>
  <c r="I888" i="1"/>
  <c r="I893" i="1" s="1"/>
  <c r="H888" i="1"/>
  <c r="G886" i="1"/>
  <c r="I880" i="1"/>
  <c r="H880" i="1"/>
  <c r="I879" i="1"/>
  <c r="I878" i="1"/>
  <c r="H878" i="1"/>
  <c r="I875" i="1"/>
  <c r="H875" i="1"/>
  <c r="I870" i="1"/>
  <c r="I869" i="1"/>
  <c r="H869" i="1"/>
  <c r="I867" i="1"/>
  <c r="H867" i="1"/>
  <c r="I857" i="1"/>
  <c r="H857" i="1"/>
  <c r="I848" i="1"/>
  <c r="H848" i="1"/>
  <c r="I839" i="1"/>
  <c r="H839" i="1"/>
  <c r="I827" i="1"/>
  <c r="H827" i="1"/>
  <c r="F820" i="1"/>
  <c r="I805" i="1"/>
  <c r="H805" i="1"/>
  <c r="E802" i="1"/>
  <c r="E79" i="1" s="1"/>
  <c r="I795" i="1"/>
  <c r="H795" i="1"/>
  <c r="I792" i="1"/>
  <c r="H792" i="1"/>
  <c r="H78" i="1" s="1"/>
  <c r="G792" i="1"/>
  <c r="G78" i="1" s="1"/>
  <c r="F792" i="1"/>
  <c r="F78" i="1" s="1"/>
  <c r="E792" i="1"/>
  <c r="E78" i="1" s="1"/>
  <c r="I788" i="1"/>
  <c r="H788" i="1"/>
  <c r="J783" i="1"/>
  <c r="I776" i="1"/>
  <c r="H776" i="1"/>
  <c r="G773" i="1"/>
  <c r="G76" i="1" s="1"/>
  <c r="I765" i="1"/>
  <c r="H765" i="1"/>
  <c r="I756" i="1"/>
  <c r="H756" i="1"/>
  <c r="I753" i="1"/>
  <c r="G753" i="1"/>
  <c r="G75" i="1" s="1"/>
  <c r="F753" i="1"/>
  <c r="F75" i="1" s="1"/>
  <c r="E753" i="1"/>
  <c r="E75" i="1" s="1"/>
  <c r="I748" i="1"/>
  <c r="H748" i="1"/>
  <c r="I745" i="1"/>
  <c r="G745" i="1"/>
  <c r="G71" i="1" s="1"/>
  <c r="F745" i="1"/>
  <c r="F71" i="1" s="1"/>
  <c r="E745" i="1"/>
  <c r="E71" i="1" s="1"/>
  <c r="I741" i="1"/>
  <c r="H741" i="1"/>
  <c r="I713" i="1"/>
  <c r="H713" i="1"/>
  <c r="I708" i="1"/>
  <c r="I707" i="1"/>
  <c r="K706" i="1"/>
  <c r="K705" i="1"/>
  <c r="K704" i="1"/>
  <c r="K703" i="1"/>
  <c r="K702" i="1"/>
  <c r="K701" i="1"/>
  <c r="K700" i="1"/>
  <c r="J699" i="1"/>
  <c r="H689" i="1"/>
  <c r="E689" i="1"/>
  <c r="H686" i="1"/>
  <c r="E686" i="1"/>
  <c r="H683" i="1"/>
  <c r="E683" i="1"/>
  <c r="I681" i="1"/>
  <c r="H681" i="1"/>
  <c r="I678" i="1"/>
  <c r="G678" i="1"/>
  <c r="G77" i="1" s="1"/>
  <c r="F678" i="1"/>
  <c r="F77" i="1" s="1"/>
  <c r="E678" i="1"/>
  <c r="E77" i="1" s="1"/>
  <c r="I674" i="1"/>
  <c r="H674" i="1"/>
  <c r="I669" i="1"/>
  <c r="H669" i="1"/>
  <c r="J659" i="1"/>
  <c r="K659" i="1" s="1"/>
  <c r="I649" i="1"/>
  <c r="H649" i="1"/>
  <c r="E646" i="1"/>
  <c r="H646" i="1"/>
  <c r="H69" i="1" s="1"/>
  <c r="F646" i="1"/>
  <c r="F69" i="1" s="1"/>
  <c r="J637" i="1"/>
  <c r="J632" i="1"/>
  <c r="K632" i="1" s="1"/>
  <c r="J631" i="1"/>
  <c r="J630" i="1"/>
  <c r="J629" i="1"/>
  <c r="J627" i="1"/>
  <c r="J626" i="1"/>
  <c r="I624" i="1"/>
  <c r="H624" i="1"/>
  <c r="G621" i="1"/>
  <c r="E621" i="1"/>
  <c r="I621" i="1"/>
  <c r="F621" i="1"/>
  <c r="F66" i="1" s="1"/>
  <c r="I617" i="1"/>
  <c r="H617" i="1"/>
  <c r="I612" i="1"/>
  <c r="I611" i="1"/>
  <c r="J610" i="1"/>
  <c r="I594" i="1"/>
  <c r="H594" i="1"/>
  <c r="G591" i="1"/>
  <c r="F591" i="1"/>
  <c r="E591" i="1"/>
  <c r="I591" i="1"/>
  <c r="I584" i="1"/>
  <c r="H584" i="1"/>
  <c r="G584" i="1"/>
  <c r="K987" i="1"/>
  <c r="E584" i="1"/>
  <c r="I579" i="1"/>
  <c r="I642" i="1" s="1"/>
  <c r="H579" i="1"/>
  <c r="H642" i="1" s="1"/>
  <c r="D576" i="1"/>
  <c r="G568" i="1"/>
  <c r="F568" i="1"/>
  <c r="G559" i="1"/>
  <c r="F557" i="1"/>
  <c r="F559" i="1" s="1"/>
  <c r="E558" i="1" s="1"/>
  <c r="G550" i="1"/>
  <c r="F548" i="1"/>
  <c r="H530" i="1"/>
  <c r="H526" i="1"/>
  <c r="I526" i="1" s="1"/>
  <c r="H525" i="1"/>
  <c r="I525" i="1" s="1"/>
  <c r="H524" i="1"/>
  <c r="I524" i="1" s="1"/>
  <c r="H523" i="1"/>
  <c r="I523" i="1" s="1"/>
  <c r="H513" i="1"/>
  <c r="H511" i="1"/>
  <c r="H500" i="1"/>
  <c r="H485" i="1"/>
  <c r="H482" i="1"/>
  <c r="I482" i="1" s="1"/>
  <c r="H481" i="1"/>
  <c r="H477" i="1"/>
  <c r="H476" i="1"/>
  <c r="H470" i="1"/>
  <c r="H469" i="1"/>
  <c r="H467" i="1"/>
  <c r="I467" i="1" s="1"/>
  <c r="G460" i="1"/>
  <c r="F460" i="1"/>
  <c r="E460" i="1"/>
  <c r="E462" i="1" s="1"/>
  <c r="G455" i="1"/>
  <c r="F455" i="1"/>
  <c r="E455" i="1"/>
  <c r="G445" i="1"/>
  <c r="E445" i="1"/>
  <c r="G440" i="1"/>
  <c r="F423" i="1"/>
  <c r="F425" i="1" s="1"/>
  <c r="E440" i="1"/>
  <c r="G430" i="1"/>
  <c r="E425" i="1"/>
  <c r="I340" i="1"/>
  <c r="I339" i="1"/>
  <c r="I338" i="1"/>
  <c r="H334" i="1"/>
  <c r="H329" i="1"/>
  <c r="H325" i="1"/>
  <c r="H324" i="1"/>
  <c r="H323" i="1"/>
  <c r="H322" i="1"/>
  <c r="I322" i="1" s="1"/>
  <c r="H321" i="1"/>
  <c r="H319" i="1"/>
  <c r="H316" i="1"/>
  <c r="H313" i="1"/>
  <c r="H312" i="1"/>
  <c r="H311" i="1"/>
  <c r="H310" i="1"/>
  <c r="G306" i="1"/>
  <c r="F306" i="1"/>
  <c r="E306" i="1"/>
  <c r="G297" i="1"/>
  <c r="H23" i="1" s="1"/>
  <c r="F297" i="1"/>
  <c r="G23" i="1" s="1"/>
  <c r="E297" i="1"/>
  <c r="H297" i="1" s="1"/>
  <c r="H294" i="1"/>
  <c r="H293" i="1"/>
  <c r="E287" i="1"/>
  <c r="F287" i="1"/>
  <c r="G20" i="1" s="1"/>
  <c r="H279" i="1"/>
  <c r="G279" i="1"/>
  <c r="F279" i="1"/>
  <c r="H272" i="1"/>
  <c r="H271" i="1"/>
  <c r="H270" i="1"/>
  <c r="H269" i="1"/>
  <c r="H268" i="1"/>
  <c r="G275" i="1"/>
  <c r="H260" i="1"/>
  <c r="H259" i="1"/>
  <c r="H258" i="1"/>
  <c r="H257" i="1"/>
  <c r="H256" i="1"/>
  <c r="H255" i="1"/>
  <c r="H254" i="1"/>
  <c r="H253" i="1"/>
  <c r="H252" i="1"/>
  <c r="E229" i="1"/>
  <c r="E228" i="1"/>
  <c r="E227" i="1"/>
  <c r="E226" i="1"/>
  <c r="E225" i="1"/>
  <c r="E222" i="1"/>
  <c r="E221" i="1"/>
  <c r="E197" i="1"/>
  <c r="F14" i="1" s="1"/>
  <c r="F195" i="1"/>
  <c r="F197" i="1" s="1"/>
  <c r="G14" i="1" s="1"/>
  <c r="G190" i="1"/>
  <c r="H12" i="1" s="1"/>
  <c r="H182" i="1"/>
  <c r="H181" i="1"/>
  <c r="H180" i="1"/>
  <c r="H179" i="1"/>
  <c r="H178" i="1"/>
  <c r="D162" i="1"/>
  <c r="G153" i="1"/>
  <c r="E146" i="1"/>
  <c r="E144" i="1"/>
  <c r="G144" i="1" s="1"/>
  <c r="G142" i="1"/>
  <c r="F142" i="1"/>
  <c r="G140" i="1"/>
  <c r="F122" i="1"/>
  <c r="E118" i="1" s="1"/>
  <c r="D112" i="1"/>
  <c r="D130" i="1" s="1"/>
  <c r="G104" i="1"/>
  <c r="F104" i="1"/>
  <c r="E104" i="1"/>
  <c r="J102" i="1"/>
  <c r="K102" i="1" s="1"/>
  <c r="J95" i="1"/>
  <c r="E69" i="1"/>
  <c r="G66" i="1"/>
  <c r="E66" i="1"/>
  <c r="G55" i="1"/>
  <c r="G166" i="1" s="1"/>
  <c r="F244" i="1" s="1"/>
  <c r="G399" i="1" s="1"/>
  <c r="G451" i="1" s="1"/>
  <c r="F55" i="1"/>
  <c r="F594" i="1" s="1"/>
  <c r="E55" i="1"/>
  <c r="E301" i="1" s="1"/>
  <c r="D52" i="1"/>
  <c r="T42" i="1"/>
  <c r="T41" i="1"/>
  <c r="T40" i="1"/>
  <c r="F138" i="1"/>
  <c r="G138" i="1" s="1"/>
  <c r="F136" i="1"/>
  <c r="F149" i="1"/>
  <c r="Q17" i="1"/>
  <c r="T17" i="1" s="1"/>
  <c r="T16" i="1"/>
  <c r="S6" i="1"/>
  <c r="R6" i="1"/>
  <c r="Q6" i="1"/>
  <c r="M3" i="1"/>
  <c r="J669" i="1" l="1"/>
  <c r="J176" i="6"/>
  <c r="N103" i="2"/>
  <c r="N107" i="2" s="1"/>
  <c r="Q95" i="2"/>
  <c r="Q109" i="2"/>
  <c r="P103" i="2"/>
  <c r="B16" i="8"/>
  <c r="E59" i="1"/>
  <c r="J878" i="1"/>
  <c r="H1072" i="1"/>
  <c r="F683" i="1"/>
  <c r="E166" i="1"/>
  <c r="F202" i="1" s="1"/>
  <c r="G356" i="1" s="1"/>
  <c r="G421" i="1" s="1"/>
  <c r="F264" i="1"/>
  <c r="H336" i="1"/>
  <c r="I59" i="1"/>
  <c r="I62" i="1" s="1"/>
  <c r="C6" i="5"/>
  <c r="H92" i="1"/>
  <c r="J92" i="1" s="1"/>
  <c r="B9" i="8"/>
  <c r="E9" i="8" s="1"/>
  <c r="B56" i="8" s="1"/>
  <c r="O103" i="2"/>
  <c r="O107" i="2" s="1"/>
  <c r="H338" i="6" s="1"/>
  <c r="B54" i="8"/>
  <c r="F686" i="1"/>
  <c r="F689" i="1"/>
  <c r="G1046" i="1"/>
  <c r="G410" i="1" s="1"/>
  <c r="F410" i="1" s="1"/>
  <c r="F92" i="1"/>
  <c r="J882" i="1"/>
  <c r="H1052" i="1"/>
  <c r="I1052" i="1" s="1"/>
  <c r="G409" i="1"/>
  <c r="F409" i="1" s="1"/>
  <c r="E1000" i="1"/>
  <c r="G359" i="1" s="1"/>
  <c r="J800" i="1"/>
  <c r="J584" i="1"/>
  <c r="K584" i="1" s="1"/>
  <c r="H719" i="1"/>
  <c r="J719" i="1" s="1"/>
  <c r="H722" i="1"/>
  <c r="J722" i="1" s="1"/>
  <c r="K722" i="1" s="1"/>
  <c r="J734" i="1"/>
  <c r="F23" i="1"/>
  <c r="I23" i="1" s="1"/>
  <c r="F193" i="1"/>
  <c r="I279" i="1"/>
  <c r="H531" i="1"/>
  <c r="G59" i="1"/>
  <c r="G62" i="1" s="1"/>
  <c r="J708" i="1"/>
  <c r="K708" i="1" s="1"/>
  <c r="H715" i="1"/>
  <c r="J715" i="1" s="1"/>
  <c r="H770" i="1"/>
  <c r="J770" i="1" s="1"/>
  <c r="K770" i="1" s="1"/>
  <c r="E820" i="1"/>
  <c r="E824" i="1" s="1"/>
  <c r="E80" i="1" s="1"/>
  <c r="G835" i="1"/>
  <c r="G81" i="1" s="1"/>
  <c r="F835" i="1"/>
  <c r="F81" i="1" s="1"/>
  <c r="G845" i="1"/>
  <c r="E854" i="1"/>
  <c r="E89" i="1" s="1"/>
  <c r="I854" i="1"/>
  <c r="J851" i="1"/>
  <c r="K851" i="1" s="1"/>
  <c r="H927" i="1"/>
  <c r="I927" i="1" s="1"/>
  <c r="H961" i="1"/>
  <c r="I961" i="1" s="1"/>
  <c r="H527" i="1"/>
  <c r="T43" i="1"/>
  <c r="F115" i="1"/>
  <c r="J707" i="1"/>
  <c r="K707" i="1" s="1"/>
  <c r="J880" i="1"/>
  <c r="J698" i="1"/>
  <c r="K698" i="1" s="1"/>
  <c r="H328" i="1"/>
  <c r="I328" i="1" s="1"/>
  <c r="E385" i="1"/>
  <c r="J628" i="1"/>
  <c r="K628" i="1" s="1"/>
  <c r="E633" i="1"/>
  <c r="E639" i="1" s="1"/>
  <c r="E68" i="1" s="1"/>
  <c r="J654" i="1"/>
  <c r="K654" i="1" s="1"/>
  <c r="J656" i="1"/>
  <c r="J658" i="1"/>
  <c r="J686" i="1"/>
  <c r="K686" i="1" s="1"/>
  <c r="I104" i="1"/>
  <c r="G122" i="1"/>
  <c r="H528" i="1"/>
  <c r="H998" i="1"/>
  <c r="I998" i="1" s="1"/>
  <c r="H1005" i="1"/>
  <c r="I1005" i="1" s="1"/>
  <c r="H1063" i="1"/>
  <c r="I1063" i="1" s="1"/>
  <c r="H332" i="1"/>
  <c r="I332" i="1" s="1"/>
  <c r="E517" i="1"/>
  <c r="Q12" i="1" s="1"/>
  <c r="H514" i="1"/>
  <c r="J852" i="1"/>
  <c r="J860" i="1"/>
  <c r="J657" i="1"/>
  <c r="K657" i="1" s="1"/>
  <c r="J665" i="1"/>
  <c r="E778" i="1"/>
  <c r="E785" i="1" s="1"/>
  <c r="E73" i="1" s="1"/>
  <c r="E351" i="1"/>
  <c r="F29" i="1" s="1"/>
  <c r="H349" i="1"/>
  <c r="H479" i="1"/>
  <c r="I479" i="1" s="1"/>
  <c r="H498" i="1"/>
  <c r="I498" i="1" s="1"/>
  <c r="H501" i="1"/>
  <c r="H529" i="1"/>
  <c r="H940" i="1"/>
  <c r="I940" i="1" s="1"/>
  <c r="H955" i="1"/>
  <c r="I955" i="1" s="1"/>
  <c r="H967" i="1"/>
  <c r="I967" i="1" s="1"/>
  <c r="H814" i="1"/>
  <c r="J814" i="1" s="1"/>
  <c r="H995" i="1"/>
  <c r="I995" i="1" s="1"/>
  <c r="H318" i="1"/>
  <c r="I318" i="1" s="1"/>
  <c r="H478" i="1"/>
  <c r="H532" i="1"/>
  <c r="I532" i="1" s="1"/>
  <c r="J601" i="1"/>
  <c r="K601" i="1" s="1"/>
  <c r="J604" i="1"/>
  <c r="K604" i="1" s="1"/>
  <c r="J608" i="1"/>
  <c r="K608" i="1" s="1"/>
  <c r="J651" i="1"/>
  <c r="K651" i="1" s="1"/>
  <c r="J664" i="1"/>
  <c r="K664" i="1" s="1"/>
  <c r="E719" i="1"/>
  <c r="E728" i="1"/>
  <c r="E731" i="1"/>
  <c r="J735" i="1"/>
  <c r="I773" i="1"/>
  <c r="H778" i="1"/>
  <c r="J778" i="1" s="1"/>
  <c r="K778" i="1" s="1"/>
  <c r="J781" i="1"/>
  <c r="K781" i="1" s="1"/>
  <c r="J830" i="1"/>
  <c r="J841" i="1"/>
  <c r="K841" i="1" s="1"/>
  <c r="F921" i="1"/>
  <c r="F169" i="1" s="1"/>
  <c r="H169" i="1" s="1"/>
  <c r="I169" i="1" s="1"/>
  <c r="H939" i="1"/>
  <c r="H1016" i="1"/>
  <c r="E1046" i="1"/>
  <c r="H1044" i="1"/>
  <c r="I1044" i="1" s="1"/>
  <c r="H335" i="1"/>
  <c r="H499" i="1"/>
  <c r="I499" i="1" s="1"/>
  <c r="H509" i="1"/>
  <c r="I509" i="1" s="1"/>
  <c r="H692" i="1"/>
  <c r="J692" i="1" s="1"/>
  <c r="K692" i="1" s="1"/>
  <c r="E715" i="1"/>
  <c r="J832" i="1"/>
  <c r="F845" i="1"/>
  <c r="F88" i="1" s="1"/>
  <c r="J842" i="1"/>
  <c r="K842" i="1" s="1"/>
  <c r="H854" i="1"/>
  <c r="H89" i="1" s="1"/>
  <c r="J89" i="1" s="1"/>
  <c r="K89" i="1" s="1"/>
  <c r="J859" i="1"/>
  <c r="K859" i="1" s="1"/>
  <c r="F93" i="1"/>
  <c r="E92" i="1"/>
  <c r="E945" i="1"/>
  <c r="E173" i="1" s="1"/>
  <c r="H956" i="1"/>
  <c r="I956" i="1" s="1"/>
  <c r="H960" i="1"/>
  <c r="I960" i="1" s="1"/>
  <c r="H1006" i="1"/>
  <c r="I1006" i="1" s="1"/>
  <c r="H1007" i="1"/>
  <c r="I1007" i="1" s="1"/>
  <c r="H1010" i="1"/>
  <c r="I1010" i="1" s="1"/>
  <c r="H1050" i="1"/>
  <c r="I1050" i="1" s="1"/>
  <c r="H93" i="1"/>
  <c r="J93" i="1" s="1"/>
  <c r="K93" i="1" s="1"/>
  <c r="H484" i="1"/>
  <c r="J653" i="1"/>
  <c r="K653" i="1" s="1"/>
  <c r="J693" i="1"/>
  <c r="K693" i="1" s="1"/>
  <c r="G762" i="1"/>
  <c r="G67" i="1" s="1"/>
  <c r="J799" i="1"/>
  <c r="E921" i="1"/>
  <c r="E169" i="1" s="1"/>
  <c r="H906" i="1"/>
  <c r="I906" i="1" s="1"/>
  <c r="H908" i="1"/>
  <c r="I908" i="1" s="1"/>
  <c r="H912" i="1"/>
  <c r="G985" i="1"/>
  <c r="H969" i="1"/>
  <c r="I969" i="1" s="1"/>
  <c r="H993" i="1"/>
  <c r="I993" i="1" s="1"/>
  <c r="G1000" i="1"/>
  <c r="H1011" i="1"/>
  <c r="I1011" i="1" s="1"/>
  <c r="H1055" i="1"/>
  <c r="I1055" i="1" s="1"/>
  <c r="G945" i="1"/>
  <c r="H284" i="1"/>
  <c r="Q38" i="1"/>
  <c r="F216" i="1"/>
  <c r="H309" i="1"/>
  <c r="I309" i="1" s="1"/>
  <c r="H315" i="1"/>
  <c r="I315" i="1" s="1"/>
  <c r="H333" i="1"/>
  <c r="I333" i="1" s="1"/>
  <c r="F383" i="1"/>
  <c r="F401" i="1"/>
  <c r="F403" i="1"/>
  <c r="G462" i="1"/>
  <c r="H40" i="1" s="1"/>
  <c r="H472" i="1"/>
  <c r="I472" i="1" s="1"/>
  <c r="H483" i="1"/>
  <c r="H512" i="1"/>
  <c r="J605" i="1"/>
  <c r="K605" i="1" s="1"/>
  <c r="J655" i="1"/>
  <c r="K655" i="1" s="1"/>
  <c r="J663" i="1"/>
  <c r="I710" i="1"/>
  <c r="H731" i="1"/>
  <c r="J731" i="1" s="1"/>
  <c r="K731" i="1" s="1"/>
  <c r="E759" i="1"/>
  <c r="E762" i="1" s="1"/>
  <c r="E67" i="1" s="1"/>
  <c r="G802" i="1"/>
  <c r="G79" i="1" s="1"/>
  <c r="G936" i="1"/>
  <c r="H929" i="1"/>
  <c r="I929" i="1" s="1"/>
  <c r="H953" i="1"/>
  <c r="I953" i="1" s="1"/>
  <c r="H958" i="1"/>
  <c r="I958" i="1" s="1"/>
  <c r="H968" i="1"/>
  <c r="I968" i="1" s="1"/>
  <c r="H1008" i="1"/>
  <c r="I1008" i="1" s="1"/>
  <c r="H1013" i="1"/>
  <c r="I1013" i="1" s="1"/>
  <c r="H1054" i="1"/>
  <c r="I1054" i="1" s="1"/>
  <c r="H1060" i="1"/>
  <c r="I1060" i="1" s="1"/>
  <c r="G361" i="1"/>
  <c r="F404" i="1"/>
  <c r="H471" i="1"/>
  <c r="I471" i="1" s="1"/>
  <c r="H480" i="1"/>
  <c r="I480" i="1" s="1"/>
  <c r="H533" i="1"/>
  <c r="F584" i="1"/>
  <c r="F59" i="1" s="1"/>
  <c r="F62" i="1" s="1"/>
  <c r="J689" i="1"/>
  <c r="K689" i="1" s="1"/>
  <c r="J695" i="1"/>
  <c r="K695" i="1" s="1"/>
  <c r="J750" i="1"/>
  <c r="K750" i="1" s="1"/>
  <c r="I762" i="1"/>
  <c r="J798" i="1"/>
  <c r="J812" i="1"/>
  <c r="K812" i="1" s="1"/>
  <c r="J843" i="1"/>
  <c r="G854" i="1"/>
  <c r="G864" i="1"/>
  <c r="J862" i="1"/>
  <c r="I886" i="1"/>
  <c r="J883" i="1"/>
  <c r="J890" i="1"/>
  <c r="G921" i="1"/>
  <c r="H928" i="1"/>
  <c r="I928" i="1" s="1"/>
  <c r="F945" i="1"/>
  <c r="F173" i="1" s="1"/>
  <c r="H173" i="1" s="1"/>
  <c r="I173" i="1" s="1"/>
  <c r="F985" i="1"/>
  <c r="F188" i="1" s="1"/>
  <c r="H957" i="1"/>
  <c r="I957" i="1" s="1"/>
  <c r="H966" i="1"/>
  <c r="I966" i="1" s="1"/>
  <c r="H971" i="1"/>
  <c r="H974" i="1"/>
  <c r="F1027" i="1"/>
  <c r="G382" i="1" s="1"/>
  <c r="F360" i="1" s="1"/>
  <c r="H1012" i="1"/>
  <c r="E1069" i="1"/>
  <c r="G368" i="1" s="1"/>
  <c r="H1049" i="1"/>
  <c r="I1049" i="1" s="1"/>
  <c r="H1053" i="1"/>
  <c r="I1053" i="1" s="1"/>
  <c r="H1057" i="1"/>
  <c r="I1057" i="1" s="1"/>
  <c r="H1059" i="1"/>
  <c r="I1059" i="1" s="1"/>
  <c r="F715" i="1"/>
  <c r="E93" i="1"/>
  <c r="E62" i="1"/>
  <c r="E725" i="1"/>
  <c r="F722" i="1"/>
  <c r="F725" i="1"/>
  <c r="E767" i="1"/>
  <c r="E886" i="1"/>
  <c r="E90" i="1" s="1"/>
  <c r="F503" i="1"/>
  <c r="R9" i="1" s="1"/>
  <c r="H496" i="1"/>
  <c r="H591" i="1"/>
  <c r="J589" i="1"/>
  <c r="J743" i="1"/>
  <c r="K743" i="1" s="1"/>
  <c r="H745" i="1"/>
  <c r="J792" i="1"/>
  <c r="K792" i="1" s="1"/>
  <c r="S44" i="1"/>
  <c r="H177" i="1"/>
  <c r="H671" i="1"/>
  <c r="H72" i="1" s="1"/>
  <c r="J72" i="1" s="1"/>
  <c r="K72" i="1" s="1"/>
  <c r="J78" i="1"/>
  <c r="K78" i="1" s="1"/>
  <c r="G287" i="1"/>
  <c r="H287" i="1" s="1"/>
  <c r="H283" i="1"/>
  <c r="H20" i="1"/>
  <c r="J91" i="1"/>
  <c r="K91" i="1" s="1"/>
  <c r="G183" i="1"/>
  <c r="H8" i="1" s="1"/>
  <c r="G197" i="1"/>
  <c r="H197" i="1" s="1"/>
  <c r="I197" i="1" s="1"/>
  <c r="H195" i="1"/>
  <c r="H308" i="1"/>
  <c r="G351" i="1"/>
  <c r="H29" i="1" s="1"/>
  <c r="F440" i="1"/>
  <c r="G503" i="1"/>
  <c r="S9" i="1" s="1"/>
  <c r="H495" i="1"/>
  <c r="J599" i="1"/>
  <c r="K599" i="1" s="1"/>
  <c r="J661" i="1"/>
  <c r="K661" i="1" s="1"/>
  <c r="F728" i="1"/>
  <c r="F759" i="1"/>
  <c r="F762" i="1" s="1"/>
  <c r="F67" i="1" s="1"/>
  <c r="H474" i="1"/>
  <c r="I474" i="1" s="1"/>
  <c r="H497" i="1"/>
  <c r="I497" i="1" s="1"/>
  <c r="E614" i="1"/>
  <c r="E65" i="1" s="1"/>
  <c r="I614" i="1"/>
  <c r="I65" i="1" s="1"/>
  <c r="I83" i="1" s="1"/>
  <c r="J607" i="1"/>
  <c r="K607" i="1" s="1"/>
  <c r="J609" i="1"/>
  <c r="J696" i="1"/>
  <c r="H725" i="1"/>
  <c r="J725" i="1" s="1"/>
  <c r="K725" i="1" s="1"/>
  <c r="H753" i="1"/>
  <c r="I824" i="1"/>
  <c r="J809" i="1"/>
  <c r="K809" i="1" s="1"/>
  <c r="I872" i="1"/>
  <c r="I738" i="1"/>
  <c r="E770" i="1"/>
  <c r="G785" i="1"/>
  <c r="G73" i="1" s="1"/>
  <c r="F778" i="1"/>
  <c r="F785" i="1" s="1"/>
  <c r="F73" i="1" s="1"/>
  <c r="H835" i="1"/>
  <c r="H81" i="1" s="1"/>
  <c r="J81" i="1" s="1"/>
  <c r="K81" i="1" s="1"/>
  <c r="H951" i="1"/>
  <c r="I951" i="1" s="1"/>
  <c r="F1000" i="1"/>
  <c r="G381" i="1" s="1"/>
  <c r="G1027" i="1"/>
  <c r="H1003" i="1"/>
  <c r="I1003" i="1" s="1"/>
  <c r="F1046" i="1"/>
  <c r="G389" i="1" s="1"/>
  <c r="F367" i="1" s="1"/>
  <c r="F1069" i="1"/>
  <c r="G390" i="1" s="1"/>
  <c r="F767" i="1"/>
  <c r="I96" i="1"/>
  <c r="H176" i="1"/>
  <c r="E275" i="1"/>
  <c r="F275" i="1"/>
  <c r="H314" i="1"/>
  <c r="I314" i="1" s="1"/>
  <c r="H317" i="1"/>
  <c r="I317" i="1" s="1"/>
  <c r="H320" i="1"/>
  <c r="I320" i="1" s="1"/>
  <c r="H327" i="1"/>
  <c r="I327" i="1" s="1"/>
  <c r="H348" i="1"/>
  <c r="F402" i="1"/>
  <c r="G447" i="1"/>
  <c r="G40" i="1" s="1"/>
  <c r="F517" i="1"/>
  <c r="R12" i="1" s="1"/>
  <c r="H510" i="1"/>
  <c r="I510" i="1" s="1"/>
  <c r="F539" i="1"/>
  <c r="R15" i="1" s="1"/>
  <c r="F614" i="1"/>
  <c r="F65" i="1" s="1"/>
  <c r="F633" i="1"/>
  <c r="F639" i="1" s="1"/>
  <c r="F68" i="1" s="1"/>
  <c r="F719" i="1"/>
  <c r="E722" i="1"/>
  <c r="H728" i="1"/>
  <c r="J728" i="1" s="1"/>
  <c r="K728" i="1" s="1"/>
  <c r="F731" i="1"/>
  <c r="H759" i="1"/>
  <c r="H762" i="1" s="1"/>
  <c r="H767" i="1"/>
  <c r="J767" i="1" s="1"/>
  <c r="K767" i="1" s="1"/>
  <c r="F770" i="1"/>
  <c r="J797" i="1"/>
  <c r="K797" i="1" s="1"/>
  <c r="G824" i="1"/>
  <c r="G80" i="1" s="1"/>
  <c r="F824" i="1"/>
  <c r="F80" i="1" s="1"/>
  <c r="H820" i="1"/>
  <c r="I835" i="1"/>
  <c r="E864" i="1"/>
  <c r="I864" i="1"/>
  <c r="E936" i="1"/>
  <c r="E172" i="1" s="1"/>
  <c r="H952" i="1"/>
  <c r="I952" i="1" s="1"/>
  <c r="H1002" i="1"/>
  <c r="I1002" i="1" s="1"/>
  <c r="H1030" i="1"/>
  <c r="H1032" i="1" s="1"/>
  <c r="I1032" i="1" s="1"/>
  <c r="G1069" i="1"/>
  <c r="G411" i="1" s="1"/>
  <c r="F411" i="1" s="1"/>
  <c r="G96" i="1"/>
  <c r="F262" i="1"/>
  <c r="H17" i="1" s="1"/>
  <c r="H306" i="1"/>
  <c r="I306" i="1" s="1"/>
  <c r="H330" i="1"/>
  <c r="H350" i="1"/>
  <c r="I350" i="1" s="1"/>
  <c r="H475" i="1"/>
  <c r="I475" i="1" s="1"/>
  <c r="H487" i="1"/>
  <c r="E503" i="1"/>
  <c r="G517" i="1"/>
  <c r="S12" i="1" s="1"/>
  <c r="H515" i="1"/>
  <c r="G539" i="1"/>
  <c r="S15" i="1" s="1"/>
  <c r="G614" i="1"/>
  <c r="G65" i="1" s="1"/>
  <c r="J602" i="1"/>
  <c r="K602" i="1" s="1"/>
  <c r="J606" i="1"/>
  <c r="K606" i="1" s="1"/>
  <c r="J652" i="1"/>
  <c r="K652" i="1" s="1"/>
  <c r="J660" i="1"/>
  <c r="K660" i="1" s="1"/>
  <c r="J662" i="1"/>
  <c r="G710" i="1"/>
  <c r="G74" i="1" s="1"/>
  <c r="E692" i="1"/>
  <c r="E710" i="1" s="1"/>
  <c r="E74" i="1" s="1"/>
  <c r="J697" i="1"/>
  <c r="G738" i="1"/>
  <c r="G70" i="1" s="1"/>
  <c r="J718" i="1"/>
  <c r="K718" i="1" s="1"/>
  <c r="J758" i="1"/>
  <c r="I785" i="1"/>
  <c r="J807" i="1"/>
  <c r="J813" i="1"/>
  <c r="K813" i="1" s="1"/>
  <c r="E835" i="1"/>
  <c r="E81" i="1" s="1"/>
  <c r="J831" i="1"/>
  <c r="K831" i="1" s="1"/>
  <c r="J833" i="1"/>
  <c r="J834" i="1"/>
  <c r="E845" i="1"/>
  <c r="E88" i="1" s="1"/>
  <c r="I845" i="1"/>
  <c r="F854" i="1"/>
  <c r="F89" i="1" s="1"/>
  <c r="F864" i="1"/>
  <c r="J861" i="1"/>
  <c r="K861" i="1" s="1"/>
  <c r="F936" i="1"/>
  <c r="F172" i="1" s="1"/>
  <c r="H172" i="1" s="1"/>
  <c r="I172" i="1" s="1"/>
  <c r="H926" i="1"/>
  <c r="I926" i="1" s="1"/>
  <c r="E985" i="1"/>
  <c r="H954" i="1"/>
  <c r="I954" i="1" s="1"/>
  <c r="H959" i="1"/>
  <c r="I959" i="1" s="1"/>
  <c r="H965" i="1"/>
  <c r="I965" i="1" s="1"/>
  <c r="H970" i="1"/>
  <c r="H973" i="1"/>
  <c r="E1027" i="1"/>
  <c r="H1004" i="1"/>
  <c r="I1004" i="1" s="1"/>
  <c r="H1009" i="1"/>
  <c r="I1009" i="1" s="1"/>
  <c r="H1051" i="1"/>
  <c r="I1051" i="1" s="1"/>
  <c r="H1056" i="1"/>
  <c r="I1056" i="1" s="1"/>
  <c r="F146" i="1"/>
  <c r="G136" i="1"/>
  <c r="G146" i="1" s="1"/>
  <c r="F20" i="1"/>
  <c r="H14" i="1"/>
  <c r="T38" i="1"/>
  <c r="U38" i="1" s="1"/>
  <c r="E115" i="1"/>
  <c r="F166" i="1"/>
  <c r="G193" i="1"/>
  <c r="E205" i="1"/>
  <c r="E209" i="1"/>
  <c r="E211" i="1"/>
  <c r="F241" i="1"/>
  <c r="G264" i="1"/>
  <c r="G277" i="1" s="1"/>
  <c r="H266" i="1"/>
  <c r="H267" i="1"/>
  <c r="G281" i="1"/>
  <c r="E341" i="1"/>
  <c r="E343" i="1" s="1"/>
  <c r="F341" i="1"/>
  <c r="F343" i="1" s="1"/>
  <c r="G26" i="1" s="1"/>
  <c r="G406" i="1"/>
  <c r="G423" i="1"/>
  <c r="G425" i="1" s="1"/>
  <c r="G432" i="1" s="1"/>
  <c r="F40" i="1" s="1"/>
  <c r="E489" i="1"/>
  <c r="F492" i="1"/>
  <c r="J69" i="1"/>
  <c r="F155" i="1"/>
  <c r="G155" i="1" s="1"/>
  <c r="E186" i="1"/>
  <c r="E291" i="1"/>
  <c r="E393" i="1"/>
  <c r="E395" i="1" s="1"/>
  <c r="F391" i="1"/>
  <c r="F369" i="1"/>
  <c r="F489" i="1"/>
  <c r="G42" i="1" s="1"/>
  <c r="H468" i="1"/>
  <c r="I468" i="1" s="1"/>
  <c r="E539" i="1"/>
  <c r="F550" i="1"/>
  <c r="E549" i="1" s="1"/>
  <c r="J598" i="1"/>
  <c r="G989" i="1"/>
  <c r="G867" i="1"/>
  <c r="G857" i="1"/>
  <c r="G839" i="1"/>
  <c r="G875" i="1"/>
  <c r="G902" i="1"/>
  <c r="G888" i="1"/>
  <c r="G893" i="1" s="1"/>
  <c r="G1035" i="1"/>
  <c r="G948" i="1"/>
  <c r="G848" i="1"/>
  <c r="G827" i="1"/>
  <c r="G776" i="1"/>
  <c r="G748" i="1"/>
  <c r="G624" i="1"/>
  <c r="G788" i="1"/>
  <c r="G756" i="1"/>
  <c r="G713" i="1"/>
  <c r="G674" i="1"/>
  <c r="G805" i="1"/>
  <c r="G795" i="1"/>
  <c r="G765" i="1"/>
  <c r="G681" i="1"/>
  <c r="G741" i="1"/>
  <c r="G465" i="1"/>
  <c r="D562" i="1" s="1"/>
  <c r="G346" i="1"/>
  <c r="G649" i="1"/>
  <c r="G291" i="1"/>
  <c r="G594" i="1"/>
  <c r="G579" i="1"/>
  <c r="G642" i="1" s="1"/>
  <c r="G492" i="1"/>
  <c r="G617" i="1"/>
  <c r="E902" i="1"/>
  <c r="E888" i="1"/>
  <c r="E893" i="1" s="1"/>
  <c r="E1035" i="1"/>
  <c r="E948" i="1"/>
  <c r="E848" i="1"/>
  <c r="E989" i="1"/>
  <c r="E867" i="1"/>
  <c r="E857" i="1"/>
  <c r="E839" i="1"/>
  <c r="E875" i="1"/>
  <c r="E805" i="1"/>
  <c r="E795" i="1"/>
  <c r="E765" i="1"/>
  <c r="E681" i="1"/>
  <c r="E741" i="1"/>
  <c r="E649" i="1"/>
  <c r="E776" i="1"/>
  <c r="E748" i="1"/>
  <c r="E827" i="1"/>
  <c r="E788" i="1"/>
  <c r="E756" i="1"/>
  <c r="E713" i="1"/>
  <c r="E617" i="1"/>
  <c r="E594" i="1"/>
  <c r="E579" i="1"/>
  <c r="E642" i="1" s="1"/>
  <c r="E492" i="1"/>
  <c r="E624" i="1"/>
  <c r="E520" i="1"/>
  <c r="E506" i="1"/>
  <c r="E674" i="1"/>
  <c r="E465" i="1"/>
  <c r="D544" i="1" s="1"/>
  <c r="E346" i="1"/>
  <c r="F1035" i="1"/>
  <c r="F948" i="1"/>
  <c r="F848" i="1"/>
  <c r="F989" i="1"/>
  <c r="F867" i="1"/>
  <c r="F857" i="1"/>
  <c r="F839" i="1"/>
  <c r="F875" i="1"/>
  <c r="F902" i="1"/>
  <c r="F888" i="1"/>
  <c r="F893" i="1" s="1"/>
  <c r="F741" i="1"/>
  <c r="F649" i="1"/>
  <c r="F617" i="1"/>
  <c r="F776" i="1"/>
  <c r="F748" i="1"/>
  <c r="F624" i="1"/>
  <c r="F827" i="1"/>
  <c r="F788" i="1"/>
  <c r="F756" i="1"/>
  <c r="F713" i="1"/>
  <c r="F674" i="1"/>
  <c r="F805" i="1"/>
  <c r="F795" i="1"/>
  <c r="F765" i="1"/>
  <c r="F520" i="1"/>
  <c r="F506" i="1"/>
  <c r="F465" i="1"/>
  <c r="F346" i="1"/>
  <c r="F301" i="1"/>
  <c r="F681" i="1"/>
  <c r="G115" i="1"/>
  <c r="F186" i="1"/>
  <c r="E193" i="1"/>
  <c r="E204" i="1"/>
  <c r="E208" i="1"/>
  <c r="E210" i="1"/>
  <c r="E212" i="1"/>
  <c r="E264" i="1"/>
  <c r="E281" i="1"/>
  <c r="F291" i="1"/>
  <c r="G301" i="1"/>
  <c r="H304" i="1"/>
  <c r="I304" i="1" s="1"/>
  <c r="G341" i="1"/>
  <c r="G343" i="1" s="1"/>
  <c r="H26" i="1" s="1"/>
  <c r="H326" i="1"/>
  <c r="I326" i="1" s="1"/>
  <c r="E447" i="1"/>
  <c r="H473" i="1"/>
  <c r="I473" i="1" s="1"/>
  <c r="H486" i="1"/>
  <c r="G506" i="1"/>
  <c r="G520" i="1"/>
  <c r="F579" i="1"/>
  <c r="F642" i="1" s="1"/>
  <c r="J597" i="1"/>
  <c r="K597" i="1" s="1"/>
  <c r="G186" i="1"/>
  <c r="F281" i="1"/>
  <c r="G489" i="1"/>
  <c r="H42" i="1" s="1"/>
  <c r="E567" i="1"/>
  <c r="E566" i="1"/>
  <c r="H621" i="1"/>
  <c r="H66" i="1" s="1"/>
  <c r="J619" i="1"/>
  <c r="J621" i="1" s="1"/>
  <c r="J636" i="1"/>
  <c r="J759" i="1"/>
  <c r="K759" i="1" s="1"/>
  <c r="K991" i="1"/>
  <c r="K990" i="1"/>
  <c r="J583" i="1"/>
  <c r="K583" i="1" s="1"/>
  <c r="G639" i="1"/>
  <c r="G68" i="1" s="1"/>
  <c r="H633" i="1"/>
  <c r="J633" i="1" s="1"/>
  <c r="K633" i="1" s="1"/>
  <c r="G646" i="1"/>
  <c r="G69" i="1" s="1"/>
  <c r="I646" i="1"/>
  <c r="E671" i="1"/>
  <c r="E72" i="1" s="1"/>
  <c r="I671" i="1"/>
  <c r="J683" i="1"/>
  <c r="F388" i="1"/>
  <c r="F443" i="1"/>
  <c r="F445" i="1" s="1"/>
  <c r="E557" i="1"/>
  <c r="E559" i="1" s="1"/>
  <c r="I639" i="1"/>
  <c r="F671" i="1"/>
  <c r="F72" i="1" s="1"/>
  <c r="G671" i="1"/>
  <c r="G72" i="1" s="1"/>
  <c r="H678" i="1"/>
  <c r="H77" i="1" s="1"/>
  <c r="J676" i="1"/>
  <c r="H802" i="1"/>
  <c r="H79" i="1" s="1"/>
  <c r="I802" i="1"/>
  <c r="J819" i="1"/>
  <c r="J790" i="1"/>
  <c r="K790" i="1" s="1"/>
  <c r="H1041" i="1"/>
  <c r="I1041" i="1" s="1"/>
  <c r="H1074" i="1"/>
  <c r="I1074" i="1" s="1"/>
  <c r="I1072" i="1"/>
  <c r="J829" i="1"/>
  <c r="J869" i="1"/>
  <c r="J850" i="1"/>
  <c r="K850" i="1" s="1"/>
  <c r="G872" i="1"/>
  <c r="H941" i="1"/>
  <c r="H997" i="1"/>
  <c r="I997" i="1" s="1"/>
  <c r="H1039" i="1"/>
  <c r="I1039" i="1" s="1"/>
  <c r="F1074" i="1"/>
  <c r="H864" i="1"/>
  <c r="J877" i="1"/>
  <c r="H905" i="1"/>
  <c r="I905" i="1" s="1"/>
  <c r="H924" i="1"/>
  <c r="I924" i="1" s="1"/>
  <c r="F995" i="1"/>
  <c r="G380" i="1" s="1"/>
  <c r="H1048" i="1"/>
  <c r="I1048" i="1" s="1"/>
  <c r="H845" i="1"/>
  <c r="H1043" i="1"/>
  <c r="I1043" i="1" s="1"/>
  <c r="K334" i="6" l="1"/>
  <c r="O42" i="2"/>
  <c r="Q103" i="2"/>
  <c r="P42" i="2"/>
  <c r="P45" i="2" s="1"/>
  <c r="C18" i="8" s="1"/>
  <c r="F710" i="1"/>
  <c r="F74" i="1" s="1"/>
  <c r="H936" i="1"/>
  <c r="I936" i="1" s="1"/>
  <c r="C8" i="8"/>
  <c r="I40" i="1"/>
  <c r="J40" i="1" s="1"/>
  <c r="H1046" i="1"/>
  <c r="I1046" i="1" s="1"/>
  <c r="B10" i="8"/>
  <c r="E10" i="8" s="1"/>
  <c r="B57" i="8" s="1"/>
  <c r="G414" i="1"/>
  <c r="H37" i="1" s="1"/>
  <c r="F414" i="1"/>
  <c r="G393" i="1"/>
  <c r="G37" i="1" s="1"/>
  <c r="I85" i="1"/>
  <c r="I109" i="1" s="1"/>
  <c r="B8" i="8"/>
  <c r="H921" i="1"/>
  <c r="I921" i="1" s="1"/>
  <c r="J671" i="1"/>
  <c r="K671" i="1" s="1"/>
  <c r="I20" i="1"/>
  <c r="F382" i="1"/>
  <c r="J854" i="1"/>
  <c r="K854" i="1" s="1"/>
  <c r="H1069" i="1"/>
  <c r="I1069" i="1" s="1"/>
  <c r="H824" i="1"/>
  <c r="I1030" i="1"/>
  <c r="T12" i="1"/>
  <c r="U12" i="1" s="1"/>
  <c r="F406" i="1"/>
  <c r="E183" i="1"/>
  <c r="F8" i="1" s="1"/>
  <c r="I8" i="1" s="1"/>
  <c r="J8" i="1" s="1"/>
  <c r="G367" i="1"/>
  <c r="G371" i="1" s="1"/>
  <c r="F37" i="1" s="1"/>
  <c r="H1000" i="1"/>
  <c r="I1000" i="1" s="1"/>
  <c r="G17" i="1"/>
  <c r="E738" i="1"/>
  <c r="E70" i="1" s="1"/>
  <c r="F17" i="1"/>
  <c r="I17" i="1" s="1"/>
  <c r="J17" i="1" s="1"/>
  <c r="H785" i="1"/>
  <c r="J785" i="1" s="1"/>
  <c r="K785" i="1" s="1"/>
  <c r="H738" i="1"/>
  <c r="H70" i="1" s="1"/>
  <c r="J70" i="1" s="1"/>
  <c r="K70" i="1" s="1"/>
  <c r="H710" i="1"/>
  <c r="H74" i="1" s="1"/>
  <c r="J74" i="1" s="1"/>
  <c r="K74" i="1" s="1"/>
  <c r="J835" i="1"/>
  <c r="K835" i="1" s="1"/>
  <c r="E568" i="1"/>
  <c r="J820" i="1"/>
  <c r="K820" i="1" s="1"/>
  <c r="H945" i="1"/>
  <c r="I945" i="1" s="1"/>
  <c r="F773" i="1"/>
  <c r="F76" i="1" s="1"/>
  <c r="H341" i="1"/>
  <c r="I341" i="1" s="1"/>
  <c r="F738" i="1"/>
  <c r="F70" i="1" s="1"/>
  <c r="J802" i="1"/>
  <c r="K802" i="1" s="1"/>
  <c r="J773" i="1"/>
  <c r="K773" i="1" s="1"/>
  <c r="H985" i="1"/>
  <c r="I985" i="1" s="1"/>
  <c r="H773" i="1"/>
  <c r="H76" i="1" s="1"/>
  <c r="J76" i="1" s="1"/>
  <c r="K76" i="1" s="1"/>
  <c r="J644" i="1"/>
  <c r="J646" i="1" s="1"/>
  <c r="F190" i="1"/>
  <c r="G12" i="1" s="1"/>
  <c r="H188" i="1"/>
  <c r="I188" i="1" s="1"/>
  <c r="J864" i="1"/>
  <c r="K864" i="1" s="1"/>
  <c r="F389" i="1"/>
  <c r="E773" i="1"/>
  <c r="E76" i="1" s="1"/>
  <c r="H1027" i="1"/>
  <c r="I1027" i="1" s="1"/>
  <c r="G360" i="1"/>
  <c r="G363" i="1" s="1"/>
  <c r="F183" i="1"/>
  <c r="G8" i="1" s="1"/>
  <c r="S19" i="1"/>
  <c r="S46" i="1" s="1"/>
  <c r="I29" i="1"/>
  <c r="J29" i="1" s="1"/>
  <c r="H517" i="1"/>
  <c r="I517" i="1" s="1"/>
  <c r="J745" i="1"/>
  <c r="K745" i="1" s="1"/>
  <c r="H71" i="1"/>
  <c r="J71" i="1" s="1"/>
  <c r="K71" i="1" s="1"/>
  <c r="J591" i="1"/>
  <c r="H59" i="1"/>
  <c r="K992" i="1"/>
  <c r="F390" i="1"/>
  <c r="F368" i="1"/>
  <c r="F371" i="1" s="1"/>
  <c r="I371" i="1" s="1"/>
  <c r="F381" i="1"/>
  <c r="F359" i="1"/>
  <c r="I14" i="1"/>
  <c r="K986" i="1"/>
  <c r="E188" i="1"/>
  <c r="E190" i="1" s="1"/>
  <c r="H503" i="1"/>
  <c r="I503" i="1" s="1"/>
  <c r="Q9" i="1"/>
  <c r="T9" i="1" s="1"/>
  <c r="U9" i="1" s="1"/>
  <c r="J753" i="1"/>
  <c r="K753" i="1" s="1"/>
  <c r="H75" i="1"/>
  <c r="J75" i="1" s="1"/>
  <c r="K75" i="1" s="1"/>
  <c r="R19" i="1"/>
  <c r="G83" i="1"/>
  <c r="G85" i="1" s="1"/>
  <c r="G98" i="1" s="1"/>
  <c r="G107" i="1" s="1"/>
  <c r="H351" i="1"/>
  <c r="I351" i="1" s="1"/>
  <c r="J845" i="1"/>
  <c r="K845" i="1" s="1"/>
  <c r="H88" i="1"/>
  <c r="H639" i="1"/>
  <c r="H539" i="1"/>
  <c r="I539" i="1" s="1"/>
  <c r="Q15" i="1"/>
  <c r="H343" i="1"/>
  <c r="I343" i="1" s="1"/>
  <c r="F26" i="1"/>
  <c r="I26" i="1" s="1"/>
  <c r="J26" i="1" s="1"/>
  <c r="F380" i="1"/>
  <c r="F358" i="1"/>
  <c r="G385" i="1"/>
  <c r="K715" i="1"/>
  <c r="J738" i="1"/>
  <c r="K738" i="1" s="1"/>
  <c r="J79" i="1"/>
  <c r="K79" i="1" s="1"/>
  <c r="K683" i="1"/>
  <c r="J710" i="1"/>
  <c r="K710" i="1" s="1"/>
  <c r="J762" i="1"/>
  <c r="K762" i="1" s="1"/>
  <c r="H67" i="1"/>
  <c r="H36" i="1"/>
  <c r="K676" i="1"/>
  <c r="J678" i="1"/>
  <c r="K678" i="1" s="1"/>
  <c r="J66" i="1"/>
  <c r="E548" i="1"/>
  <c r="E550" i="1" s="1"/>
  <c r="G436" i="1"/>
  <c r="D553" i="1"/>
  <c r="G378" i="1"/>
  <c r="F219" i="1"/>
  <c r="J77" i="1"/>
  <c r="K77" i="1" s="1"/>
  <c r="H489" i="1"/>
  <c r="I489" i="1" s="1"/>
  <c r="F42" i="1"/>
  <c r="H275" i="1"/>
  <c r="I275" i="1" s="1"/>
  <c r="I266" i="1"/>
  <c r="P46" i="2" l="1"/>
  <c r="G416" i="1"/>
  <c r="I98" i="1"/>
  <c r="I107" i="1" s="1"/>
  <c r="E8" i="8"/>
  <c r="B55" i="8" s="1"/>
  <c r="J824" i="1"/>
  <c r="K824" i="1" s="1"/>
  <c r="H80" i="1"/>
  <c r="J80" i="1" s="1"/>
  <c r="K80" i="1" s="1"/>
  <c r="E83" i="1"/>
  <c r="E85" i="1" s="1"/>
  <c r="H183" i="1"/>
  <c r="I183" i="1" s="1"/>
  <c r="H712" i="1"/>
  <c r="F393" i="1"/>
  <c r="H73" i="1"/>
  <c r="F363" i="1"/>
  <c r="F385" i="1"/>
  <c r="L987" i="1"/>
  <c r="J59" i="1"/>
  <c r="F36" i="1"/>
  <c r="F38" i="1" s="1"/>
  <c r="G373" i="1"/>
  <c r="H190" i="1"/>
  <c r="I190" i="1" s="1"/>
  <c r="F12" i="1"/>
  <c r="H38" i="1"/>
  <c r="I42" i="1"/>
  <c r="G395" i="1"/>
  <c r="G36" i="1"/>
  <c r="G38" i="1" s="1"/>
  <c r="T15" i="1"/>
  <c r="Q19" i="1"/>
  <c r="J639" i="1"/>
  <c r="K639" i="1" s="1"/>
  <c r="H68" i="1"/>
  <c r="J88" i="1"/>
  <c r="J67" i="1"/>
  <c r="K67" i="1" s="1"/>
  <c r="J73" i="1"/>
  <c r="K73" i="1" s="1"/>
  <c r="I12" i="1" l="1"/>
  <c r="J12" i="1" s="1"/>
  <c r="E15" i="1"/>
  <c r="K59" i="1"/>
  <c r="K88" i="1"/>
  <c r="U15" i="1"/>
  <c r="T19" i="1"/>
  <c r="J42" i="1"/>
  <c r="J68" i="1"/>
  <c r="K68" i="1" s="1"/>
  <c r="H45" i="1"/>
  <c r="H47" i="1" s="1"/>
  <c r="I38" i="1"/>
  <c r="J38" i="1" s="1"/>
  <c r="U19" i="1" l="1"/>
  <c r="F351" i="1" l="1"/>
  <c r="G29" i="1" s="1"/>
  <c r="H870" i="1"/>
  <c r="E872" i="1"/>
  <c r="E94" i="1" s="1"/>
  <c r="E96" i="1" s="1"/>
  <c r="E98" i="1" s="1"/>
  <c r="E107" i="1" s="1"/>
  <c r="H879" i="1"/>
  <c r="F886" i="1"/>
  <c r="F90" i="1" s="1"/>
  <c r="H872" i="1" l="1"/>
  <c r="J870" i="1"/>
  <c r="F802" i="1"/>
  <c r="F79" i="1" s="1"/>
  <c r="F83" i="1" s="1"/>
  <c r="F872" i="1"/>
  <c r="F94" i="1" s="1"/>
  <c r="F96" i="1" s="1"/>
  <c r="J879" i="1"/>
  <c r="H886" i="1"/>
  <c r="E149" i="1"/>
  <c r="T34" i="1"/>
  <c r="H90" i="1" l="1"/>
  <c r="H887" i="1" s="1"/>
  <c r="H893" i="1" s="1"/>
  <c r="J893" i="1" s="1"/>
  <c r="J886" i="1"/>
  <c r="J603" i="1"/>
  <c r="G149" i="1"/>
  <c r="E157" i="1"/>
  <c r="F85" i="1"/>
  <c r="F98" i="1" s="1"/>
  <c r="F107" i="1" s="1"/>
  <c r="U34" i="1"/>
  <c r="J872" i="1"/>
  <c r="H94" i="1"/>
  <c r="J94" i="1" s="1"/>
  <c r="H614" i="1" l="1"/>
  <c r="J600" i="1"/>
  <c r="J90" i="1"/>
  <c r="J96" i="1" s="1"/>
  <c r="K96" i="1" s="1"/>
  <c r="H96" i="1"/>
  <c r="J60" i="1" l="1"/>
  <c r="H62" i="1"/>
  <c r="J614" i="1"/>
  <c r="K614" i="1" s="1"/>
  <c r="H65" i="1"/>
  <c r="J65" i="1" l="1"/>
  <c r="H83" i="1"/>
  <c r="H85" i="1" s="1"/>
  <c r="K60" i="1"/>
  <c r="J62" i="1"/>
  <c r="H109" i="1" l="1"/>
  <c r="H98" i="1"/>
  <c r="L65" i="1"/>
  <c r="L75" i="1"/>
  <c r="L72" i="1"/>
  <c r="L70" i="1"/>
  <c r="L79" i="1"/>
  <c r="L67" i="1"/>
  <c r="L69" i="1"/>
  <c r="L78" i="1"/>
  <c r="L66" i="1"/>
  <c r="L68" i="1"/>
  <c r="L71" i="1"/>
  <c r="L74" i="1"/>
  <c r="L73" i="1"/>
  <c r="L81" i="1"/>
  <c r="L80" i="1"/>
  <c r="L77" i="1"/>
  <c r="L76" i="1"/>
  <c r="K62" i="1"/>
  <c r="K65" i="1"/>
  <c r="J83" i="1"/>
  <c r="K83" i="1" s="1"/>
  <c r="J85" i="1" l="1"/>
  <c r="K85" i="1" s="1"/>
  <c r="L83" i="1"/>
  <c r="J98" i="1"/>
  <c r="K98" i="1" s="1"/>
  <c r="E430" i="1" l="1"/>
  <c r="E432" i="1" s="1"/>
  <c r="F428" i="1"/>
  <c r="F430" i="1" s="1"/>
  <c r="G45" i="1" l="1"/>
  <c r="T39" i="1" l="1"/>
  <c r="F151" i="1"/>
  <c r="R44" i="1"/>
  <c r="R46" i="1" s="1"/>
  <c r="G47" i="1" s="1"/>
  <c r="C24" i="5"/>
  <c r="B27" i="5" s="1"/>
  <c r="B55" i="5" s="1"/>
  <c r="C56" i="5" s="1"/>
  <c r="U39" i="1" l="1"/>
  <c r="U44" i="1" s="1"/>
  <c r="T44" i="1"/>
  <c r="T46" i="1" s="1"/>
  <c r="U46" i="1" s="1"/>
  <c r="G151" i="1"/>
  <c r="G157" i="1" s="1"/>
  <c r="F157" i="1"/>
  <c r="J101" i="1" l="1"/>
  <c r="K101" i="1" s="1"/>
  <c r="H104" i="1"/>
  <c r="E120" i="1" l="1"/>
  <c r="E122" i="1" s="1"/>
  <c r="H107" i="1"/>
  <c r="F32" i="1"/>
  <c r="J104" i="1"/>
  <c r="K104" i="1" s="1"/>
  <c r="F45" i="1" l="1"/>
  <c r="I32" i="1"/>
  <c r="H110" i="1"/>
  <c r="J107" i="1"/>
  <c r="K107" i="1" s="1"/>
  <c r="Q39" i="1"/>
  <c r="Q44" i="1" s="1"/>
  <c r="Q46" i="1" s="1"/>
  <c r="F47" i="1" l="1"/>
  <c r="J32" i="1"/>
  <c r="I45" i="1"/>
  <c r="J45" i="1" l="1"/>
  <c r="J47" i="1" s="1"/>
  <c r="I47" i="1"/>
  <c r="G710" i="11" l="1"/>
  <c r="G232" i="11"/>
  <c r="G714" i="11"/>
  <c r="G667" i="11" s="1"/>
  <c r="G722" i="11"/>
  <c r="G713" i="11"/>
  <c r="G224" i="11"/>
  <c r="G706" i="11"/>
  <c r="G659" i="11" s="1"/>
  <c r="G707" i="11"/>
  <c r="G711" i="11"/>
  <c r="G705" i="11"/>
  <c r="G724" i="11"/>
  <c r="G222" i="11" l="1"/>
  <c r="G704" i="11"/>
  <c r="G657" i="11" s="1"/>
  <c r="Q703" i="11"/>
  <c r="R703" i="11"/>
  <c r="K703" i="11"/>
  <c r="L703" i="11"/>
  <c r="H703" i="11"/>
  <c r="O703" i="11"/>
  <c r="P703" i="11"/>
  <c r="M703" i="11"/>
  <c r="S703" i="11"/>
  <c r="V260" i="11"/>
  <c r="N703" i="11"/>
  <c r="J703" i="11"/>
  <c r="G703" i="11"/>
  <c r="G295" i="11"/>
  <c r="G2" i="11" s="1"/>
  <c r="I703" i="11"/>
  <c r="G221" i="11"/>
  <c r="V703" i="11" l="1"/>
  <c r="G739" i="11"/>
  <c r="G17" i="11" s="1"/>
  <c r="G656" i="11"/>
  <c r="Y260" i="11"/>
  <c r="AA260" i="11" l="1"/>
  <c r="AC260" i="11" l="1"/>
  <c r="AE260" i="11" l="1"/>
  <c r="H754" i="11" l="1"/>
  <c r="H746" i="11"/>
  <c r="H252" i="11" l="1"/>
  <c r="H774" i="11"/>
  <c r="H770" i="11"/>
  <c r="H248" i="11"/>
  <c r="H749" i="11"/>
  <c r="H747" i="11"/>
  <c r="H249" i="11"/>
  <c r="H771" i="11"/>
  <c r="H245" i="11"/>
  <c r="H767" i="11"/>
  <c r="H241" i="11"/>
  <c r="I763" i="11"/>
  <c r="I676" i="11" s="1"/>
  <c r="H763" i="11"/>
  <c r="H757" i="11"/>
  <c r="H750" i="11"/>
  <c r="H758" i="11"/>
  <c r="H236" i="11"/>
  <c r="H753" i="11"/>
  <c r="H759" i="11"/>
  <c r="H237" i="11"/>
  <c r="H765" i="11" l="1"/>
  <c r="H766" i="11"/>
  <c r="H773" i="11"/>
  <c r="H684" i="11"/>
  <c r="H683" i="11"/>
  <c r="H743" i="11"/>
  <c r="H221" i="11"/>
  <c r="H761" i="11"/>
  <c r="H239" i="11"/>
  <c r="H238" i="11"/>
  <c r="H760" i="11"/>
  <c r="H672" i="11"/>
  <c r="I774" i="11"/>
  <c r="I687" i="11" s="1"/>
  <c r="H762" i="11"/>
  <c r="H769" i="11"/>
  <c r="J758" i="11"/>
  <c r="J671" i="11" s="1"/>
  <c r="J746" i="11"/>
  <c r="I746" i="11"/>
  <c r="I758" i="11"/>
  <c r="I671" i="11" s="1"/>
  <c r="H676" i="11"/>
  <c r="H680" i="11"/>
  <c r="H687" i="11"/>
  <c r="H744" i="11"/>
  <c r="F12" i="11"/>
  <c r="G12" i="11" s="1"/>
  <c r="H234" i="11"/>
  <c r="H756" i="11"/>
  <c r="H745" i="11"/>
  <c r="H233" i="11"/>
  <c r="H755" i="11"/>
  <c r="H668" i="11" s="1"/>
  <c r="H751" i="11"/>
  <c r="I753" i="11"/>
  <c r="H671" i="11"/>
  <c r="J754" i="11"/>
  <c r="I754" i="11"/>
  <c r="H752" i="11" l="1"/>
  <c r="H772" i="11"/>
  <c r="J767" i="11"/>
  <c r="J680" i="11" s="1"/>
  <c r="J747" i="11"/>
  <c r="J770" i="11"/>
  <c r="J683" i="11" s="1"/>
  <c r="I770" i="11"/>
  <c r="H669" i="11"/>
  <c r="I761" i="11"/>
  <c r="I674" i="11" s="1"/>
  <c r="H333" i="11"/>
  <c r="H768" i="11"/>
  <c r="I768" i="11"/>
  <c r="J757" i="11"/>
  <c r="I757" i="11"/>
  <c r="H656" i="11"/>
  <c r="I767" i="11"/>
  <c r="J749" i="11"/>
  <c r="I749" i="11"/>
  <c r="I748" i="11"/>
  <c r="H748" i="11"/>
  <c r="J236" i="11"/>
  <c r="J771" i="11"/>
  <c r="J684" i="11" s="1"/>
  <c r="I771" i="11"/>
  <c r="H673" i="11"/>
  <c r="H674" i="11"/>
  <c r="J248" i="11"/>
  <c r="H764" i="11"/>
  <c r="H12" i="11"/>
  <c r="I12" i="11" s="1"/>
  <c r="J12" i="11" s="1"/>
  <c r="K12" i="11" s="1"/>
  <c r="L12" i="11" s="1"/>
  <c r="M12" i="11" s="1"/>
  <c r="N12" i="11" s="1"/>
  <c r="O12" i="11" s="1"/>
  <c r="P12" i="11" s="1"/>
  <c r="Q12" i="11" s="1"/>
  <c r="G13" i="11"/>
  <c r="G15" i="11" s="1"/>
  <c r="K746" i="11"/>
  <c r="I747" i="11"/>
  <c r="I759" i="11"/>
  <c r="J750" i="11"/>
  <c r="I750" i="11"/>
  <c r="I772" i="11"/>
  <c r="R12" i="11" l="1"/>
  <c r="H779" i="11"/>
  <c r="H18" i="11" s="1"/>
  <c r="H707" i="11"/>
  <c r="I684" i="11"/>
  <c r="J756" i="11"/>
  <c r="J669" i="11" s="1"/>
  <c r="I756" i="11"/>
  <c r="H224" i="11"/>
  <c r="H706" i="11"/>
  <c r="I672" i="11"/>
  <c r="I744" i="11"/>
  <c r="I680" i="11"/>
  <c r="J237" i="11"/>
  <c r="K759" i="11"/>
  <c r="K672" i="11" s="1"/>
  <c r="I762" i="11"/>
  <c r="J238" i="11"/>
  <c r="J233" i="11"/>
  <c r="J759" i="11"/>
  <c r="J672" i="11" s="1"/>
  <c r="J241" i="11"/>
  <c r="J763" i="11"/>
  <c r="J769" i="11"/>
  <c r="I769" i="11"/>
  <c r="J755" i="11"/>
  <c r="J668" i="11" s="1"/>
  <c r="I755" i="11"/>
  <c r="J760" i="11"/>
  <c r="J673" i="11" s="1"/>
  <c r="I760" i="11"/>
  <c r="H3" i="11"/>
  <c r="I683" i="11"/>
  <c r="I752" i="11"/>
  <c r="I245" i="11"/>
  <c r="K245" i="11"/>
  <c r="J234" i="11"/>
  <c r="I237" i="11"/>
  <c r="K237" i="11"/>
  <c r="J252" i="11"/>
  <c r="K774" i="11"/>
  <c r="K687" i="11" s="1"/>
  <c r="J774" i="11"/>
  <c r="J766" i="11"/>
  <c r="I766" i="11"/>
  <c r="J745" i="11"/>
  <c r="I745" i="11"/>
  <c r="I765" i="11"/>
  <c r="J773" i="11"/>
  <c r="I773" i="11"/>
  <c r="J743" i="11"/>
  <c r="I333" i="11"/>
  <c r="I743" i="11"/>
  <c r="J744" i="11"/>
  <c r="J753" i="11"/>
  <c r="J249" i="11"/>
  <c r="K771" i="11"/>
  <c r="K684" i="11" s="1"/>
  <c r="J245" i="11"/>
  <c r="K767" i="11"/>
  <c r="K680" i="11" s="1"/>
  <c r="J751" i="11"/>
  <c r="I751" i="11"/>
  <c r="I707" i="11"/>
  <c r="S12" i="11" l="1"/>
  <c r="V12" i="11" s="1"/>
  <c r="T11" i="11"/>
  <c r="J239" i="11"/>
  <c r="K761" i="11"/>
  <c r="K674" i="11" s="1"/>
  <c r="J761" i="11"/>
  <c r="J687" i="11"/>
  <c r="J762" i="11"/>
  <c r="I669" i="11"/>
  <c r="I656" i="11"/>
  <c r="L746" i="11"/>
  <c r="H659" i="11"/>
  <c r="H710" i="11"/>
  <c r="L774" i="11"/>
  <c r="J764" i="11"/>
  <c r="I673" i="11"/>
  <c r="K750" i="11"/>
  <c r="K765" i="11"/>
  <c r="H44" i="11"/>
  <c r="I3" i="11"/>
  <c r="I668" i="11"/>
  <c r="I764" i="11"/>
  <c r="K249" i="11"/>
  <c r="I249" i="11"/>
  <c r="L771" i="11"/>
  <c r="I252" i="11"/>
  <c r="K252" i="11"/>
  <c r="J656" i="11"/>
  <c r="J765" i="11"/>
  <c r="L770" i="11"/>
  <c r="L683" i="11" s="1"/>
  <c r="K248" i="11"/>
  <c r="I248" i="11"/>
  <c r="K770" i="11"/>
  <c r="J676" i="11"/>
  <c r="L758" i="11"/>
  <c r="L671" i="11" s="1"/>
  <c r="I236" i="11"/>
  <c r="K236" i="11"/>
  <c r="K758" i="11"/>
  <c r="K743" i="11"/>
  <c r="J221" i="11"/>
  <c r="X12" i="11" l="1"/>
  <c r="W12" i="11"/>
  <c r="L687" i="11"/>
  <c r="K656" i="11"/>
  <c r="K683" i="11"/>
  <c r="J752" i="11"/>
  <c r="K745" i="11"/>
  <c r="I711" i="11"/>
  <c r="H711" i="11"/>
  <c r="K769" i="11"/>
  <c r="K671" i="11"/>
  <c r="M750" i="11"/>
  <c r="J748" i="11"/>
  <c r="J772" i="11"/>
  <c r="K239" i="11"/>
  <c r="I239" i="11"/>
  <c r="L761" i="11"/>
  <c r="L674" i="11" s="1"/>
  <c r="I713" i="11"/>
  <c r="H713" i="11"/>
  <c r="N746" i="11"/>
  <c r="I234" i="11"/>
  <c r="K234" i="11"/>
  <c r="K756" i="11"/>
  <c r="M758" i="11"/>
  <c r="M671" i="11" s="1"/>
  <c r="L236" i="11"/>
  <c r="L773" i="11"/>
  <c r="H232" i="11"/>
  <c r="I714" i="11"/>
  <c r="I667" i="11" s="1"/>
  <c r="H714" i="11"/>
  <c r="K773" i="11"/>
  <c r="L750" i="11"/>
  <c r="J768" i="11"/>
  <c r="L237" i="11"/>
  <c r="M759" i="11"/>
  <c r="M672" i="11" s="1"/>
  <c r="L759" i="11"/>
  <c r="H722" i="11"/>
  <c r="I704" i="11"/>
  <c r="H222" i="11"/>
  <c r="H704" i="11"/>
  <c r="H295" i="11"/>
  <c r="H2" i="11" s="1"/>
  <c r="H13" i="11" s="1"/>
  <c r="H15" i="11" s="1"/>
  <c r="H16" i="11" s="1"/>
  <c r="L760" i="11"/>
  <c r="L673" i="11" s="1"/>
  <c r="K238" i="11"/>
  <c r="I238" i="11"/>
  <c r="K760" i="11"/>
  <c r="M774" i="11"/>
  <c r="M687" i="11" s="1"/>
  <c r="L252" i="11"/>
  <c r="K766" i="11"/>
  <c r="I221" i="11"/>
  <c r="K221" i="11"/>
  <c r="I705" i="11"/>
  <c r="H705" i="11"/>
  <c r="J333" i="11"/>
  <c r="L684" i="11"/>
  <c r="J706" i="11"/>
  <c r="J659" i="11" s="1"/>
  <c r="I706" i="11"/>
  <c r="L248" i="11"/>
  <c r="L751" i="11"/>
  <c r="K751" i="11"/>
  <c r="M771" i="11"/>
  <c r="M684" i="11" s="1"/>
  <c r="L249" i="11"/>
  <c r="I724" i="11"/>
  <c r="H724" i="11"/>
  <c r="M746" i="11"/>
  <c r="I779" i="11"/>
  <c r="L245" i="11"/>
  <c r="M767" i="11"/>
  <c r="M680" i="11" s="1"/>
  <c r="L767" i="11"/>
  <c r="I233" i="11"/>
  <c r="L755" i="11"/>
  <c r="L668" i="11" s="1"/>
  <c r="K233" i="11"/>
  <c r="K755" i="11"/>
  <c r="L765" i="11"/>
  <c r="J674" i="11"/>
  <c r="I18" i="11" l="1"/>
  <c r="I659" i="11"/>
  <c r="J779" i="11"/>
  <c r="L233" i="11"/>
  <c r="L221" i="11"/>
  <c r="M248" i="11"/>
  <c r="M756" i="11"/>
  <c r="M669" i="11" s="1"/>
  <c r="L234" i="11"/>
  <c r="J710" i="11"/>
  <c r="M755" i="11"/>
  <c r="P746" i="11"/>
  <c r="K668" i="11"/>
  <c r="L680" i="11"/>
  <c r="M770" i="11"/>
  <c r="J3" i="11"/>
  <c r="I295" i="11"/>
  <c r="I2" i="11" s="1"/>
  <c r="I13" i="11" s="1"/>
  <c r="I15" i="11" s="1"/>
  <c r="I16" i="11" s="1"/>
  <c r="I710" i="11"/>
  <c r="L743" i="11"/>
  <c r="L766" i="11"/>
  <c r="K673" i="11"/>
  <c r="I657" i="11"/>
  <c r="L756" i="11"/>
  <c r="L669" i="11" s="1"/>
  <c r="M773" i="11"/>
  <c r="L772" i="11"/>
  <c r="M237" i="11"/>
  <c r="J224" i="11"/>
  <c r="J714" i="11"/>
  <c r="J667" i="11" s="1"/>
  <c r="K764" i="11"/>
  <c r="L764" i="11"/>
  <c r="M252" i="11"/>
  <c r="N774" i="11"/>
  <c r="N687" i="11" s="1"/>
  <c r="L238" i="11"/>
  <c r="L672" i="11"/>
  <c r="K768" i="11"/>
  <c r="H667" i="11"/>
  <c r="K669" i="11"/>
  <c r="K772" i="11"/>
  <c r="N771" i="11"/>
  <c r="N684" i="11" s="1"/>
  <c r="M249" i="11"/>
  <c r="M245" i="11"/>
  <c r="M769" i="11"/>
  <c r="M236" i="11"/>
  <c r="N758" i="11"/>
  <c r="M760" i="11"/>
  <c r="N745" i="11"/>
  <c r="K706" i="11"/>
  <c r="K714" i="11"/>
  <c r="J232" i="11"/>
  <c r="K707" i="11"/>
  <c r="J707" i="11"/>
  <c r="H657" i="11"/>
  <c r="H739" i="11"/>
  <c r="H17" i="11" s="1"/>
  <c r="I722" i="11"/>
  <c r="L239" i="11"/>
  <c r="M761" i="11"/>
  <c r="J705" i="11"/>
  <c r="L769" i="11"/>
  <c r="L745" i="11"/>
  <c r="K659" i="11" l="1"/>
  <c r="M673" i="11"/>
  <c r="M668" i="11"/>
  <c r="O252" i="11"/>
  <c r="O245" i="11"/>
  <c r="M674" i="11"/>
  <c r="N245" i="11"/>
  <c r="O767" i="11"/>
  <c r="O680" i="11" s="1"/>
  <c r="N751" i="11"/>
  <c r="J222" i="11"/>
  <c r="J704" i="11"/>
  <c r="N743" i="11"/>
  <c r="M221" i="11"/>
  <c r="L707" i="11"/>
  <c r="N238" i="11"/>
  <c r="N233" i="11"/>
  <c r="N237" i="11"/>
  <c r="O759" i="11"/>
  <c r="O672" i="11" s="1"/>
  <c r="N252" i="11"/>
  <c r="O774" i="11"/>
  <c r="O687" i="11" s="1"/>
  <c r="M772" i="11"/>
  <c r="K722" i="11"/>
  <c r="N759" i="11"/>
  <c r="M238" i="11"/>
  <c r="N760" i="11"/>
  <c r="N673" i="11" s="1"/>
  <c r="N761" i="11"/>
  <c r="N674" i="11" s="1"/>
  <c r="M239" i="11"/>
  <c r="N234" i="11"/>
  <c r="M745" i="11"/>
  <c r="N756" i="11"/>
  <c r="N669" i="11" s="1"/>
  <c r="M234" i="11"/>
  <c r="N249" i="11"/>
  <c r="O771" i="11"/>
  <c r="O684" i="11" s="1"/>
  <c r="N769" i="11"/>
  <c r="K224" i="11"/>
  <c r="I224" i="11"/>
  <c r="L706" i="11"/>
  <c r="L659" i="11" s="1"/>
  <c r="K724" i="11"/>
  <c r="J724" i="11"/>
  <c r="O750" i="11"/>
  <c r="N765" i="11"/>
  <c r="O746" i="11"/>
  <c r="M765" i="11"/>
  <c r="M683" i="11"/>
  <c r="N236" i="11"/>
  <c r="O758" i="11"/>
  <c r="O671" i="11" s="1"/>
  <c r="N248" i="11"/>
  <c r="O770" i="11"/>
  <c r="O683" i="11" s="1"/>
  <c r="M768" i="11"/>
  <c r="K705" i="11"/>
  <c r="M743" i="11"/>
  <c r="J18" i="11"/>
  <c r="J44" i="11" s="1"/>
  <c r="J722" i="11"/>
  <c r="I44" i="11"/>
  <c r="O237" i="11"/>
  <c r="M751" i="11"/>
  <c r="L656" i="11"/>
  <c r="N755" i="11"/>
  <c r="N668" i="11" s="1"/>
  <c r="M233" i="11"/>
  <c r="K710" i="11"/>
  <c r="K713" i="11"/>
  <c r="J713" i="11"/>
  <c r="N239" i="11"/>
  <c r="N221" i="11"/>
  <c r="O249" i="11"/>
  <c r="N767" i="11"/>
  <c r="K704" i="11"/>
  <c r="L224" i="11"/>
  <c r="M707" i="11"/>
  <c r="O236" i="11"/>
  <c r="O248" i="11"/>
  <c r="N750" i="11"/>
  <c r="N671" i="11"/>
  <c r="N766" i="11"/>
  <c r="M764" i="11"/>
  <c r="N773" i="11"/>
  <c r="K711" i="11"/>
  <c r="J711" i="11"/>
  <c r="J295" i="11"/>
  <c r="J2" i="11" s="1"/>
  <c r="J13" i="11" s="1"/>
  <c r="J15" i="11" s="1"/>
  <c r="J16" i="11" s="1"/>
  <c r="I739" i="11"/>
  <c r="I17" i="11" s="1"/>
  <c r="L768" i="11"/>
  <c r="N770" i="11"/>
  <c r="N683" i="11" s="1"/>
  <c r="M766" i="11"/>
  <c r="M706" i="11"/>
  <c r="M659" i="11" s="1"/>
  <c r="L714" i="11"/>
  <c r="K739" i="11" l="1"/>
  <c r="K17" i="11" s="1"/>
  <c r="M656" i="11"/>
  <c r="N672" i="11"/>
  <c r="L713" i="11"/>
  <c r="N656" i="11"/>
  <c r="J657" i="11"/>
  <c r="J739" i="11"/>
  <c r="J17" i="11" s="1"/>
  <c r="L704" i="11"/>
  <c r="K295" i="11"/>
  <c r="K2" i="11" s="1"/>
  <c r="N680" i="11"/>
  <c r="M224" i="11"/>
  <c r="L705" i="11"/>
  <c r="L710" i="11"/>
  <c r="N706" i="11"/>
  <c r="N659" i="11" l="1"/>
  <c r="P239" i="11"/>
  <c r="Q248" i="11"/>
  <c r="Q765" i="11"/>
  <c r="Q237" i="11"/>
  <c r="P233" i="11"/>
  <c r="Q755" i="11"/>
  <c r="Q668" i="11" s="1"/>
  <c r="P252" i="11"/>
  <c r="Q774" i="11"/>
  <c r="Q687" i="11" s="1"/>
  <c r="P774" i="11"/>
  <c r="P687" i="11" s="1"/>
  <c r="P743" i="11"/>
  <c r="O221" i="11"/>
  <c r="O743" i="11"/>
  <c r="L295" i="11"/>
  <c r="L2" i="11" s="1"/>
  <c r="L724" i="11"/>
  <c r="O772" i="11"/>
  <c r="N772" i="11"/>
  <c r="M724" i="11"/>
  <c r="Q245" i="11"/>
  <c r="P234" i="11"/>
  <c r="Q252" i="11"/>
  <c r="P221" i="11"/>
  <c r="O239" i="11"/>
  <c r="P761" i="11"/>
  <c r="P674" i="11" s="1"/>
  <c r="O761" i="11"/>
  <c r="P766" i="11"/>
  <c r="O766" i="11"/>
  <c r="Q770" i="11"/>
  <c r="Q683" i="11" s="1"/>
  <c r="P248" i="11"/>
  <c r="P770" i="11"/>
  <c r="P683" i="11" s="1"/>
  <c r="Q771" i="11"/>
  <c r="Q684" i="11" s="1"/>
  <c r="P249" i="11"/>
  <c r="P771" i="11"/>
  <c r="P684" i="11" s="1"/>
  <c r="P755" i="11"/>
  <c r="P668" i="11" s="1"/>
  <c r="O233" i="11"/>
  <c r="O755" i="11"/>
  <c r="P760" i="11"/>
  <c r="P673" i="11" s="1"/>
  <c r="O238" i="11"/>
  <c r="O760" i="11"/>
  <c r="O673" i="11" s="1"/>
  <c r="P769" i="11"/>
  <c r="O769" i="11"/>
  <c r="P236" i="11"/>
  <c r="Q758" i="11"/>
  <c r="Q671" i="11" s="1"/>
  <c r="P758" i="11"/>
  <c r="M704" i="11"/>
  <c r="N711" i="11"/>
  <c r="R750" i="11"/>
  <c r="Q249" i="11"/>
  <c r="P756" i="11"/>
  <c r="P669" i="11" s="1"/>
  <c r="O234" i="11"/>
  <c r="O756" i="11"/>
  <c r="O669" i="11" s="1"/>
  <c r="R746" i="11"/>
  <c r="Q746" i="11"/>
  <c r="M722" i="11"/>
  <c r="L722" i="11"/>
  <c r="M711" i="11"/>
  <c r="M713" i="11"/>
  <c r="L711" i="11"/>
  <c r="M705" i="11"/>
  <c r="P765" i="11"/>
  <c r="O765" i="11"/>
  <c r="N224" i="11"/>
  <c r="P238" i="11"/>
  <c r="Q236" i="11"/>
  <c r="R758" i="11"/>
  <c r="R671" i="11" s="1"/>
  <c r="Q750" i="11"/>
  <c r="P750" i="11"/>
  <c r="P751" i="11"/>
  <c r="O751" i="11"/>
  <c r="P773" i="11"/>
  <c r="O773" i="11"/>
  <c r="M714" i="11"/>
  <c r="P745" i="11"/>
  <c r="O745" i="11"/>
  <c r="P237" i="11"/>
  <c r="Q759" i="11"/>
  <c r="Q672" i="11" s="1"/>
  <c r="P759" i="11"/>
  <c r="P245" i="11"/>
  <c r="Q767" i="11"/>
  <c r="Q680" i="11" s="1"/>
  <c r="P767" i="11"/>
  <c r="P680" i="11" s="1"/>
  <c r="O764" i="11"/>
  <c r="N764" i="11"/>
  <c r="O768" i="11"/>
  <c r="N768" i="11"/>
  <c r="Q769" i="11"/>
  <c r="P764" i="11"/>
  <c r="Q756" i="11"/>
  <c r="Q669" i="11" s="1"/>
  <c r="Q743" i="11"/>
  <c r="Q761" i="11"/>
  <c r="Q674" i="11" s="1"/>
  <c r="Q751" i="11"/>
  <c r="Q766" i="11"/>
  <c r="Q745" i="11"/>
  <c r="N714" i="11"/>
  <c r="O706" i="11"/>
  <c r="O659" i="11" s="1"/>
  <c r="Q656" i="11" l="1"/>
  <c r="P656" i="11"/>
  <c r="N707" i="11"/>
  <c r="R249" i="11"/>
  <c r="R236" i="11"/>
  <c r="Q238" i="11"/>
  <c r="Q760" i="11"/>
  <c r="Q673" i="11" s="1"/>
  <c r="R771" i="11"/>
  <c r="R684" i="11" s="1"/>
  <c r="P671" i="11"/>
  <c r="O674" i="11"/>
  <c r="O656" i="11"/>
  <c r="R248" i="11"/>
  <c r="R252" i="11"/>
  <c r="R245" i="11"/>
  <c r="R774" i="11"/>
  <c r="R687" i="11" s="1"/>
  <c r="P768" i="11"/>
  <c r="N704" i="11"/>
  <c r="Q233" i="11"/>
  <c r="Q221" i="11"/>
  <c r="Q234" i="11"/>
  <c r="P672" i="11"/>
  <c r="N713" i="11"/>
  <c r="M710" i="11"/>
  <c r="R770" i="11"/>
  <c r="R683" i="11" s="1"/>
  <c r="O224" i="11"/>
  <c r="O707" i="11"/>
  <c r="R237" i="11"/>
  <c r="Q239" i="11"/>
  <c r="R745" i="11"/>
  <c r="R751" i="11"/>
  <c r="P772" i="11"/>
  <c r="Q773" i="11"/>
  <c r="M295" i="11"/>
  <c r="M2" i="11" s="1"/>
  <c r="O668" i="11"/>
  <c r="R767" i="11"/>
  <c r="R680" i="11" s="1"/>
  <c r="N705" i="11"/>
  <c r="L739" i="11"/>
  <c r="L17" i="11" s="1"/>
  <c r="R759" i="11"/>
  <c r="R672" i="11" s="1"/>
  <c r="R761" i="11"/>
  <c r="Q768" i="11"/>
  <c r="R773" i="11"/>
  <c r="R760" i="11"/>
  <c r="R673" i="11" s="1"/>
  <c r="O705" i="11"/>
  <c r="R674" i="11" l="1"/>
  <c r="R233" i="11"/>
  <c r="R221" i="11"/>
  <c r="R234" i="11"/>
  <c r="R769" i="11"/>
  <c r="O710" i="11"/>
  <c r="Q764" i="11"/>
  <c r="O724" i="11"/>
  <c r="O722" i="11"/>
  <c r="N722" i="11"/>
  <c r="V301" i="11"/>
  <c r="S746" i="11"/>
  <c r="V746" i="11" s="1"/>
  <c r="Q772" i="11"/>
  <c r="N710" i="11"/>
  <c r="R756" i="11"/>
  <c r="R669" i="11" s="1"/>
  <c r="R743" i="11"/>
  <c r="R765" i="11"/>
  <c r="P707" i="11"/>
  <c r="R766" i="11"/>
  <c r="O713" i="11"/>
  <c r="O704" i="11"/>
  <c r="N295" i="11"/>
  <c r="N2" i="11" s="1"/>
  <c r="P705" i="11"/>
  <c r="R238" i="11"/>
  <c r="R239" i="11"/>
  <c r="R755" i="11"/>
  <c r="N724" i="11"/>
  <c r="M739" i="11"/>
  <c r="M17" i="11" s="1"/>
  <c r="V329" i="11" l="1"/>
  <c r="S252" i="11"/>
  <c r="S774" i="11"/>
  <c r="V314" i="11"/>
  <c r="S237" i="11"/>
  <c r="S759" i="11"/>
  <c r="Q224" i="11"/>
  <c r="P711" i="11"/>
  <c r="O711" i="11"/>
  <c r="Q706" i="11"/>
  <c r="Q659" i="11" s="1"/>
  <c r="P224" i="11"/>
  <c r="P706" i="11"/>
  <c r="P659" i="11" s="1"/>
  <c r="V322" i="11"/>
  <c r="S245" i="11"/>
  <c r="S767" i="11"/>
  <c r="O295" i="11"/>
  <c r="O2" i="11" s="1"/>
  <c r="Y301" i="11"/>
  <c r="V313" i="11"/>
  <c r="S236" i="11"/>
  <c r="S758" i="11"/>
  <c r="P724" i="11"/>
  <c r="V326" i="11"/>
  <c r="S249" i="11"/>
  <c r="S771" i="11"/>
  <c r="P713" i="11"/>
  <c r="N739" i="11"/>
  <c r="N17" i="11" s="1"/>
  <c r="R656" i="11"/>
  <c r="R668" i="11"/>
  <c r="Q707" i="11"/>
  <c r="P722" i="11"/>
  <c r="V325" i="11"/>
  <c r="S248" i="11"/>
  <c r="S770" i="11"/>
  <c r="P714" i="11"/>
  <c r="O714" i="11"/>
  <c r="V305" i="11"/>
  <c r="S750" i="11"/>
  <c r="V750" i="11" s="1"/>
  <c r="Q705" i="11"/>
  <c r="O739" i="11" l="1"/>
  <c r="O17" i="11" s="1"/>
  <c r="V311" i="11"/>
  <c r="S234" i="11"/>
  <c r="S756" i="11"/>
  <c r="V316" i="11"/>
  <c r="S239" i="11"/>
  <c r="S761" i="11"/>
  <c r="V298" i="11"/>
  <c r="S221" i="11"/>
  <c r="S743" i="11"/>
  <c r="V320" i="11"/>
  <c r="S765" i="11"/>
  <c r="Y746" i="11"/>
  <c r="V249" i="11"/>
  <c r="S680" i="11"/>
  <c r="V680" i="11" s="1"/>
  <c r="V767" i="11"/>
  <c r="Y749" i="11"/>
  <c r="V252" i="11"/>
  <c r="Y672" i="11" s="1"/>
  <c r="R764" i="11"/>
  <c r="V315" i="11"/>
  <c r="S238" i="11"/>
  <c r="S760" i="11"/>
  <c r="P295" i="11"/>
  <c r="P2" i="11" s="1"/>
  <c r="S264" i="11"/>
  <c r="S707" i="11" s="1"/>
  <c r="V319" i="11"/>
  <c r="S683" i="11"/>
  <c r="V683" i="11" s="1"/>
  <c r="V770" i="11"/>
  <c r="Y313" i="11"/>
  <c r="V236" i="11"/>
  <c r="S772" i="11"/>
  <c r="R772" i="11"/>
  <c r="S672" i="11"/>
  <c r="V672" i="11" s="1"/>
  <c r="V759" i="11"/>
  <c r="S263" i="11"/>
  <c r="S706" i="11" s="1"/>
  <c r="R224" i="11"/>
  <c r="V310" i="11"/>
  <c r="S233" i="11"/>
  <c r="S755" i="11"/>
  <c r="V306" i="11"/>
  <c r="S751" i="11"/>
  <c r="V751" i="11" s="1"/>
  <c r="V324" i="11"/>
  <c r="S769" i="11"/>
  <c r="V300" i="11"/>
  <c r="S745" i="11"/>
  <c r="V745" i="11" s="1"/>
  <c r="Q711" i="11"/>
  <c r="Q710" i="11"/>
  <c r="P710" i="11"/>
  <c r="R707" i="11"/>
  <c r="S684" i="11"/>
  <c r="V684" i="11" s="1"/>
  <c r="V771" i="11"/>
  <c r="V245" i="11"/>
  <c r="S687" i="11"/>
  <c r="V687" i="11" s="1"/>
  <c r="V774" i="11"/>
  <c r="V328" i="11"/>
  <c r="S773" i="11"/>
  <c r="S768" i="11"/>
  <c r="R768" i="11"/>
  <c r="Y305" i="11"/>
  <c r="AA305" i="11" s="1"/>
  <c r="AC305" i="11" s="1"/>
  <c r="AE305" i="11" s="1"/>
  <c r="Y745" i="11"/>
  <c r="V248" i="11"/>
  <c r="Y668" i="11" s="1"/>
  <c r="S671" i="11"/>
  <c r="V671" i="11" s="1"/>
  <c r="V758" i="11"/>
  <c r="Y721" i="11"/>
  <c r="AA301" i="11"/>
  <c r="P704" i="11"/>
  <c r="V321" i="11"/>
  <c r="S766" i="11"/>
  <c r="R706" i="11"/>
  <c r="R659" i="11" s="1"/>
  <c r="Y314" i="11"/>
  <c r="AA314" i="11" s="1"/>
  <c r="AC314" i="11" s="1"/>
  <c r="AE314" i="11" s="1"/>
  <c r="V237" i="11"/>
  <c r="R711" i="11"/>
  <c r="R713" i="11" l="1"/>
  <c r="Q713" i="11"/>
  <c r="Y311" i="11"/>
  <c r="V234" i="11"/>
  <c r="Q295" i="11"/>
  <c r="Q2" i="11" s="1"/>
  <c r="S271" i="11"/>
  <c r="S714" i="11" s="1"/>
  <c r="V768" i="11"/>
  <c r="Y748" i="11"/>
  <c r="Y744" i="11"/>
  <c r="V323" i="11"/>
  <c r="S659" i="11"/>
  <c r="V659" i="11" s="1"/>
  <c r="V706" i="11"/>
  <c r="V772" i="11"/>
  <c r="AA313" i="11"/>
  <c r="Y253" i="11"/>
  <c r="Y673" i="11" s="1"/>
  <c r="Q704" i="11"/>
  <c r="V238" i="11"/>
  <c r="V239" i="11"/>
  <c r="S268" i="11"/>
  <c r="S711" i="11" s="1"/>
  <c r="S279" i="11"/>
  <c r="S722" i="11" s="1"/>
  <c r="S668" i="11"/>
  <c r="V668" i="11" s="1"/>
  <c r="V755" i="11"/>
  <c r="R714" i="11"/>
  <c r="Q714" i="11"/>
  <c r="S281" i="11"/>
  <c r="S724" i="11" s="1"/>
  <c r="P739" i="11"/>
  <c r="P17" i="11" s="1"/>
  <c r="Y300" i="11"/>
  <c r="Y310" i="11"/>
  <c r="AA310" i="11" s="1"/>
  <c r="V233" i="11"/>
  <c r="R722" i="11"/>
  <c r="V264" i="11"/>
  <c r="Y320" i="11"/>
  <c r="AA320" i="11" s="1"/>
  <c r="AC320" i="11" s="1"/>
  <c r="AE320" i="11" s="1"/>
  <c r="Y298" i="11"/>
  <c r="V221" i="11"/>
  <c r="S669" i="11"/>
  <c r="V669" i="11" s="1"/>
  <c r="V756" i="11"/>
  <c r="V327" i="11"/>
  <c r="R724" i="11"/>
  <c r="Q724" i="11"/>
  <c r="V707" i="11"/>
  <c r="V765" i="11"/>
  <c r="S267" i="11"/>
  <c r="S262" i="11"/>
  <c r="S270" i="11"/>
  <c r="S713" i="11" s="1"/>
  <c r="R704" i="11"/>
  <c r="V766" i="11"/>
  <c r="AA721" i="11"/>
  <c r="AC301" i="11"/>
  <c r="V773" i="11"/>
  <c r="V769" i="11"/>
  <c r="Y306" i="11"/>
  <c r="R710" i="11"/>
  <c r="V263" i="11"/>
  <c r="S224" i="11"/>
  <c r="R705" i="11"/>
  <c r="S673" i="11"/>
  <c r="V673" i="11" s="1"/>
  <c r="V760" i="11"/>
  <c r="S764" i="11"/>
  <c r="V764" i="11" s="1"/>
  <c r="Q722" i="11"/>
  <c r="S656" i="11"/>
  <c r="V743" i="11"/>
  <c r="S674" i="11"/>
  <c r="V674" i="11" s="1"/>
  <c r="V761" i="11"/>
  <c r="R739" i="11" l="1"/>
  <c r="R17" i="11" s="1"/>
  <c r="V711" i="11"/>
  <c r="AA300" i="11"/>
  <c r="Y720" i="11"/>
  <c r="Q739" i="11"/>
  <c r="Q17" i="11" s="1"/>
  <c r="Y743" i="11"/>
  <c r="V722" i="11"/>
  <c r="V270" i="11"/>
  <c r="V262" i="11"/>
  <c r="Y264" i="11"/>
  <c r="V281" i="11"/>
  <c r="AA306" i="11"/>
  <c r="Y17" i="11"/>
  <c r="Y28" i="11" s="1"/>
  <c r="V713" i="11"/>
  <c r="V267" i="11"/>
  <c r="AC721" i="11"/>
  <c r="AE301" i="11"/>
  <c r="AE721" i="11" s="1"/>
  <c r="S261" i="11"/>
  <c r="S704" i="11" s="1"/>
  <c r="R295" i="11"/>
  <c r="R2" i="11" s="1"/>
  <c r="S710" i="11"/>
  <c r="Y747" i="11"/>
  <c r="AC310" i="11"/>
  <c r="AA248" i="11"/>
  <c r="AA668" i="11" s="1"/>
  <c r="AC313" i="11"/>
  <c r="AA253" i="11"/>
  <c r="AA673" i="11" s="1"/>
  <c r="V271" i="11"/>
  <c r="Y263" i="11"/>
  <c r="V224" i="11"/>
  <c r="V279" i="11"/>
  <c r="V714" i="11"/>
  <c r="AA311" i="11"/>
  <c r="Y249" i="11"/>
  <c r="Y669" i="11" s="1"/>
  <c r="V656" i="11"/>
  <c r="S705" i="11"/>
  <c r="AA298" i="11"/>
  <c r="Y718" i="11"/>
  <c r="Y236" i="11"/>
  <c r="Y656" i="11" s="1"/>
  <c r="Y692" i="11" s="1"/>
  <c r="Y38" i="11" s="1"/>
  <c r="Y40" i="11" s="1"/>
  <c r="V724" i="11"/>
  <c r="V268" i="11"/>
  <c r="S739" i="11" l="1"/>
  <c r="S17" i="11" s="1"/>
  <c r="V704" i="11"/>
  <c r="Y267" i="11"/>
  <c r="AC306" i="11"/>
  <c r="AA17" i="11"/>
  <c r="AA28" i="11" s="1"/>
  <c r="Y270" i="11"/>
  <c r="AA718" i="11"/>
  <c r="AC298" i="11"/>
  <c r="AA236" i="11"/>
  <c r="AA656" i="11" s="1"/>
  <c r="AA692" i="11" s="1"/>
  <c r="Y271" i="11"/>
  <c r="Y268" i="11"/>
  <c r="V705" i="11"/>
  <c r="AE310" i="11"/>
  <c r="AE248" i="11" s="1"/>
  <c r="AC248" i="11"/>
  <c r="AC668" i="11" s="1"/>
  <c r="AA264" i="11"/>
  <c r="Y262" i="11"/>
  <c r="AC300" i="11"/>
  <c r="AA720" i="11"/>
  <c r="AC311" i="11"/>
  <c r="AA249" i="11"/>
  <c r="AA669" i="11" s="1"/>
  <c r="AA263" i="11"/>
  <c r="Y239" i="11"/>
  <c r="Y659" i="11" s="1"/>
  <c r="AE313" i="11"/>
  <c r="AE253" i="11" s="1"/>
  <c r="AC253" i="11"/>
  <c r="AC673" i="11" s="1"/>
  <c r="V710" i="11"/>
  <c r="V261" i="11"/>
  <c r="S295" i="11"/>
  <c r="S2" i="11" s="1"/>
  <c r="V2" i="11" l="1"/>
  <c r="AC263" i="11"/>
  <c r="AA239" i="11"/>
  <c r="AA659" i="11" s="1"/>
  <c r="AA262" i="11"/>
  <c r="Y238" i="11"/>
  <c r="Y658" i="11" s="1"/>
  <c r="Y27" i="11" s="1"/>
  <c r="AE668" i="11"/>
  <c r="AA271" i="11"/>
  <c r="AE306" i="11"/>
  <c r="AE17" i="11" s="1"/>
  <c r="AE28" i="11" s="1"/>
  <c r="AC17" i="11"/>
  <c r="AC28" i="11" s="1"/>
  <c r="V739" i="11"/>
  <c r="AA267" i="11"/>
  <c r="Y243" i="11"/>
  <c r="Y261" i="11"/>
  <c r="V295" i="11"/>
  <c r="AE673" i="11"/>
  <c r="AC720" i="11"/>
  <c r="AE300" i="11"/>
  <c r="AE720" i="11" s="1"/>
  <c r="AA268" i="11"/>
  <c r="Y244" i="11"/>
  <c r="AB692" i="11"/>
  <c r="AA38" i="11"/>
  <c r="AA40" i="11" s="1"/>
  <c r="V17" i="11"/>
  <c r="AE311" i="11"/>
  <c r="AE249" i="11" s="1"/>
  <c r="AC249" i="11"/>
  <c r="AC669" i="11" s="1"/>
  <c r="AC264" i="11"/>
  <c r="AC718" i="11"/>
  <c r="AE298" i="11"/>
  <c r="AC236" i="11"/>
  <c r="AC656" i="11" s="1"/>
  <c r="AC692" i="11" s="1"/>
  <c r="AA270" i="11"/>
  <c r="AE669" i="11" l="1"/>
  <c r="AC271" i="11"/>
  <c r="AC270" i="11"/>
  <c r="AA261" i="11"/>
  <c r="Y295" i="11"/>
  <c r="AE263" i="11"/>
  <c r="AE239" i="11" s="1"/>
  <c r="AC239" i="11"/>
  <c r="AC659" i="11" s="1"/>
  <c r="AD692" i="11"/>
  <c r="AC38" i="11"/>
  <c r="AC40" i="11" s="1"/>
  <c r="AE264" i="11"/>
  <c r="AC268" i="11"/>
  <c r="AA244" i="11"/>
  <c r="AA664" i="11" s="1"/>
  <c r="X2" i="11"/>
  <c r="W2" i="11"/>
  <c r="AE718" i="11"/>
  <c r="AE236" i="11"/>
  <c r="AE656" i="11" s="1"/>
  <c r="AE692" i="11" s="1"/>
  <c r="AB40" i="11"/>
  <c r="AC267" i="11"/>
  <c r="AA243" i="11"/>
  <c r="AA663" i="11" s="1"/>
  <c r="AC262" i="11"/>
  <c r="AA238" i="11"/>
  <c r="AA658" i="11" s="1"/>
  <c r="AA27" i="11" s="1"/>
  <c r="AE659" i="11" l="1"/>
  <c r="AF692" i="11"/>
  <c r="AE38" i="11"/>
  <c r="AE40" i="11" s="1"/>
  <c r="AD40" i="11"/>
  <c r="Y715" i="11"/>
  <c r="Y739" i="11" s="1"/>
  <c r="Z739" i="11" s="1"/>
  <c r="Z295" i="11"/>
  <c r="Y2" i="11"/>
  <c r="AC243" i="11"/>
  <c r="AC663" i="11" s="1"/>
  <c r="AE267" i="11"/>
  <c r="AE243" i="11" s="1"/>
  <c r="AE268" i="11"/>
  <c r="AE244" i="11" s="1"/>
  <c r="AC244" i="11"/>
  <c r="AC664" i="11" s="1"/>
  <c r="AE270" i="11"/>
  <c r="AC261" i="11"/>
  <c r="AA295" i="11"/>
  <c r="AE271" i="11"/>
  <c r="AE262" i="11"/>
  <c r="AE238" i="11" s="1"/>
  <c r="AC238" i="11"/>
  <c r="AC658" i="11" s="1"/>
  <c r="AC27" i="11" s="1"/>
  <c r="AE658" i="11" l="1"/>
  <c r="AE27" i="11" s="1"/>
  <c r="AE663" i="11"/>
  <c r="AE261" i="11"/>
  <c r="AC295" i="11"/>
  <c r="AE664" i="11"/>
  <c r="AF40" i="11"/>
  <c r="AB295" i="11"/>
  <c r="AA2" i="11"/>
  <c r="AA715" i="11"/>
  <c r="AA739" i="11" s="1"/>
  <c r="AB739" i="11" s="1"/>
  <c r="AE295" i="11" l="1"/>
  <c r="AC2" i="11"/>
  <c r="AC715" i="11"/>
  <c r="AC739" i="11" s="1"/>
  <c r="AD739" i="11" s="1"/>
  <c r="AD295" i="11"/>
  <c r="AE715" i="11" l="1"/>
  <c r="AE739" i="11" s="1"/>
  <c r="AF739" i="11" s="1"/>
  <c r="AF295" i="11"/>
  <c r="AE2" i="11"/>
  <c r="K753" i="11" l="1"/>
  <c r="K762" i="11"/>
  <c r="K747" i="11"/>
  <c r="K757" i="11"/>
  <c r="K744" i="11"/>
  <c r="K333" i="11"/>
  <c r="K222" i="11"/>
  <c r="I222" i="11"/>
  <c r="K754" i="11"/>
  <c r="I232" i="11"/>
  <c r="K232" i="11"/>
  <c r="K748" i="11"/>
  <c r="K749" i="11"/>
  <c r="K752" i="11"/>
  <c r="K241" i="11"/>
  <c r="I241" i="11"/>
  <c r="K763" i="11"/>
  <c r="L232" i="11" l="1"/>
  <c r="K667" i="11"/>
  <c r="K3" i="11"/>
  <c r="K13" i="11" s="1"/>
  <c r="K15" i="11" s="1"/>
  <c r="K16" i="11" s="1"/>
  <c r="L748" i="11"/>
  <c r="L752" i="11"/>
  <c r="L754" i="11"/>
  <c r="L667" i="11" s="1"/>
  <c r="K779" i="11"/>
  <c r="K657" i="11"/>
  <c r="L222" i="11"/>
  <c r="K676" i="11"/>
  <c r="L744" i="11"/>
  <c r="L757" i="11"/>
  <c r="L747" i="11"/>
  <c r="L762" i="11"/>
  <c r="M748" i="11"/>
  <c r="L657" i="11" l="1"/>
  <c r="M753" i="11"/>
  <c r="L753" i="11"/>
  <c r="L241" i="11"/>
  <c r="M763" i="11"/>
  <c r="M676" i="11" s="1"/>
  <c r="L763" i="11"/>
  <c r="M752" i="11"/>
  <c r="M749" i="11"/>
  <c r="L749" i="11"/>
  <c r="K18" i="11"/>
  <c r="M241" i="11"/>
  <c r="N748" i="11"/>
  <c r="L333" i="11"/>
  <c r="N757" i="11" l="1"/>
  <c r="M757" i="11"/>
  <c r="N747" i="11"/>
  <c r="M747" i="11"/>
  <c r="L779" i="11"/>
  <c r="N749" i="11"/>
  <c r="L3" i="11"/>
  <c r="L13" i="11" s="1"/>
  <c r="L15" i="11" s="1"/>
  <c r="L16" i="11" s="1"/>
  <c r="L676" i="11"/>
  <c r="M333" i="11"/>
  <c r="M222" i="11"/>
  <c r="M744" i="11"/>
  <c r="N762" i="11"/>
  <c r="M762" i="11"/>
  <c r="N241" i="11"/>
  <c r="N232" i="11"/>
  <c r="N763" i="11"/>
  <c r="N676" i="11" s="1"/>
  <c r="K44" i="11"/>
  <c r="N754" i="11"/>
  <c r="N667" i="11" s="1"/>
  <c r="M232" i="11"/>
  <c r="M754" i="11"/>
  <c r="O762" i="11"/>
  <c r="M667" i="11" l="1"/>
  <c r="O753" i="11"/>
  <c r="N753" i="11"/>
  <c r="M3" i="11"/>
  <c r="M13" i="11" s="1"/>
  <c r="M15" i="11" s="1"/>
  <c r="M779" i="11"/>
  <c r="M657" i="11"/>
  <c r="O744" i="11"/>
  <c r="N333" i="11"/>
  <c r="N222" i="11"/>
  <c r="O752" i="11"/>
  <c r="N752" i="11"/>
  <c r="O333" i="11"/>
  <c r="O222" i="11"/>
  <c r="O757" i="11"/>
  <c r="N744" i="11"/>
  <c r="L18" i="11"/>
  <c r="N779" i="11" l="1"/>
  <c r="N657" i="11"/>
  <c r="O3" i="11"/>
  <c r="O13" i="11" s="1"/>
  <c r="O15" i="11" s="1"/>
  <c r="N3" i="11"/>
  <c r="N13" i="11" s="1"/>
  <c r="N15" i="11" s="1"/>
  <c r="N16" i="11" s="1"/>
  <c r="M18" i="11"/>
  <c r="P754" i="11"/>
  <c r="P667" i="11" s="1"/>
  <c r="O232" i="11"/>
  <c r="O754" i="11"/>
  <c r="O657" i="11"/>
  <c r="M16" i="11"/>
  <c r="P753" i="11"/>
  <c r="L44" i="11"/>
  <c r="P762" i="11"/>
  <c r="P748" i="11"/>
  <c r="O748" i="11"/>
  <c r="O241" i="11"/>
  <c r="O763" i="11"/>
  <c r="O676" i="11" s="1"/>
  <c r="Q748" i="11"/>
  <c r="P232" i="11"/>
  <c r="P749" i="11"/>
  <c r="O749" i="11"/>
  <c r="P757" i="11"/>
  <c r="P747" i="11"/>
  <c r="O747" i="11"/>
  <c r="Q757" i="11"/>
  <c r="Q753" i="11"/>
  <c r="O16" i="11" l="1"/>
  <c r="O779" i="11"/>
  <c r="O667" i="11"/>
  <c r="M44" i="11"/>
  <c r="P752" i="11"/>
  <c r="Q762" i="11"/>
  <c r="Q222" i="11"/>
  <c r="Q749" i="11"/>
  <c r="P241" i="11"/>
  <c r="Q763" i="11"/>
  <c r="Q676" i="11" s="1"/>
  <c r="Q241" i="11"/>
  <c r="Q744" i="11"/>
  <c r="P333" i="11"/>
  <c r="P222" i="11"/>
  <c r="P744" i="11"/>
  <c r="P763" i="11"/>
  <c r="P676" i="11" s="1"/>
  <c r="N18" i="11"/>
  <c r="N44" i="11" s="1"/>
  <c r="Q747" i="11"/>
  <c r="R749" i="11"/>
  <c r="P3" i="11" l="1"/>
  <c r="P13" i="11" s="1"/>
  <c r="P15" i="11" s="1"/>
  <c r="P16" i="11" s="1"/>
  <c r="R754" i="11"/>
  <c r="R667" i="11" s="1"/>
  <c r="Q232" i="11"/>
  <c r="Q754" i="11"/>
  <c r="Q657" i="11"/>
  <c r="Q333" i="11"/>
  <c r="O18" i="11"/>
  <c r="O44" i="11" s="1"/>
  <c r="P779" i="11"/>
  <c r="P657" i="11"/>
  <c r="R232" i="11"/>
  <c r="R748" i="11"/>
  <c r="R752" i="11"/>
  <c r="Q752" i="11"/>
  <c r="R762" i="11"/>
  <c r="S752" i="11"/>
  <c r="V752" i="11" l="1"/>
  <c r="R757" i="11"/>
  <c r="S747" i="11"/>
  <c r="R747" i="11"/>
  <c r="P18" i="11"/>
  <c r="Q3" i="11"/>
  <c r="Q13" i="11" s="1"/>
  <c r="Q15" i="11" s="1"/>
  <c r="Q16" i="11" s="1"/>
  <c r="R241" i="11"/>
  <c r="S763" i="11"/>
  <c r="R763" i="11"/>
  <c r="R676" i="11" s="1"/>
  <c r="Q667" i="11"/>
  <c r="S753" i="11"/>
  <c r="R753" i="11"/>
  <c r="Q779" i="11"/>
  <c r="V307" i="11"/>
  <c r="S744" i="11"/>
  <c r="R333" i="11"/>
  <c r="R222" i="11"/>
  <c r="R744" i="11"/>
  <c r="S657" i="11" l="1"/>
  <c r="V744" i="11"/>
  <c r="V753" i="11"/>
  <c r="V303" i="11"/>
  <c r="S748" i="11"/>
  <c r="V304" i="11"/>
  <c r="S749" i="11"/>
  <c r="S676" i="11"/>
  <c r="V676" i="11" s="1"/>
  <c r="V763" i="11"/>
  <c r="P44" i="11"/>
  <c r="V747" i="11"/>
  <c r="Y307" i="11"/>
  <c r="Q18" i="11"/>
  <c r="V312" i="11"/>
  <c r="V317" i="11"/>
  <c r="S762" i="11"/>
  <c r="R779" i="11"/>
  <c r="R657" i="11"/>
  <c r="R3" i="11"/>
  <c r="R13" i="11" s="1"/>
  <c r="R15" i="11" s="1"/>
  <c r="R16" i="11" s="1"/>
  <c r="V308" i="11"/>
  <c r="V318" i="11"/>
  <c r="S241" i="11"/>
  <c r="V299" i="11"/>
  <c r="S333" i="11"/>
  <c r="S222" i="11"/>
  <c r="V302" i="11"/>
  <c r="V309" i="11"/>
  <c r="S232" i="11"/>
  <c r="S754" i="11"/>
  <c r="S757" i="11"/>
  <c r="V748" i="11" l="1"/>
  <c r="Y299" i="11"/>
  <c r="V333" i="11"/>
  <c r="V222" i="11"/>
  <c r="Y308" i="11"/>
  <c r="R18" i="11"/>
  <c r="AA307" i="11"/>
  <c r="Y245" i="11"/>
  <c r="V749" i="11"/>
  <c r="Y309" i="11"/>
  <c r="V232" i="11"/>
  <c r="S3" i="11"/>
  <c r="V762" i="11"/>
  <c r="Q44" i="11"/>
  <c r="Y303" i="11"/>
  <c r="V657" i="11"/>
  <c r="S667" i="11"/>
  <c r="V667" i="11" s="1"/>
  <c r="V754" i="11"/>
  <c r="Y302" i="11"/>
  <c r="V757" i="11"/>
  <c r="V241" i="11"/>
  <c r="Y312" i="11"/>
  <c r="Y304" i="11"/>
  <c r="S779" i="11"/>
  <c r="V779" i="11" l="1"/>
  <c r="AA245" i="11"/>
  <c r="AC307" i="11"/>
  <c r="AA312" i="11"/>
  <c r="Y250" i="11"/>
  <c r="Y722" i="11"/>
  <c r="AA302" i="11"/>
  <c r="Y240" i="11"/>
  <c r="V3" i="11"/>
  <c r="S13" i="11"/>
  <c r="S15" i="11" s="1"/>
  <c r="S16" i="11" s="1"/>
  <c r="Y665" i="11"/>
  <c r="Y256" i="11"/>
  <c r="AA308" i="11"/>
  <c r="Y246" i="11"/>
  <c r="AA299" i="11"/>
  <c r="Y719" i="11"/>
  <c r="Y237" i="11"/>
  <c r="Y657" i="11" s="1"/>
  <c r="X295" i="11"/>
  <c r="AA304" i="11"/>
  <c r="Y242" i="11"/>
  <c r="S18" i="11"/>
  <c r="AA303" i="11"/>
  <c r="Y241" i="11"/>
  <c r="Y661" i="11" s="1"/>
  <c r="AA309" i="11"/>
  <c r="Y247" i="11"/>
  <c r="Y333" i="11"/>
  <c r="R44" i="11"/>
  <c r="AA719" i="11" l="1"/>
  <c r="AC299" i="11"/>
  <c r="AA237" i="11"/>
  <c r="AA657" i="11" s="1"/>
  <c r="AC302" i="11"/>
  <c r="AA722" i="11"/>
  <c r="AA240" i="11"/>
  <c r="AA660" i="11" s="1"/>
  <c r="AA333" i="11"/>
  <c r="AC309" i="11"/>
  <c r="AA247" i="11"/>
  <c r="AA667" i="11" s="1"/>
  <c r="Z333" i="11"/>
  <c r="Y753" i="11"/>
  <c r="Y779" i="11" s="1"/>
  <c r="Z779" i="11" s="1"/>
  <c r="Y3" i="11"/>
  <c r="Y13" i="11" s="1"/>
  <c r="S44" i="11"/>
  <c r="V18" i="11"/>
  <c r="AE307" i="11"/>
  <c r="AC245" i="11"/>
  <c r="AC304" i="11"/>
  <c r="AA242" i="11"/>
  <c r="AA662" i="11" s="1"/>
  <c r="AC312" i="11"/>
  <c r="AA250" i="11"/>
  <c r="AA670" i="11" s="1"/>
  <c r="AC303" i="11"/>
  <c r="AA241" i="11"/>
  <c r="AA661" i="11" s="1"/>
  <c r="AC308" i="11"/>
  <c r="AA246" i="11"/>
  <c r="AA666" i="11" s="1"/>
  <c r="X3" i="11"/>
  <c r="X13" i="11" s="1"/>
  <c r="W3" i="11"/>
  <c r="V13" i="11"/>
  <c r="AA665" i="11"/>
  <c r="AA256" i="11"/>
  <c r="AB256" i="11" s="1"/>
  <c r="S65" i="2" l="1"/>
  <c r="U65" i="2" s="1"/>
  <c r="T44" i="11"/>
  <c r="AC333" i="11"/>
  <c r="AC753" i="11" s="1"/>
  <c r="AC779" i="11" s="1"/>
  <c r="W13" i="11"/>
  <c r="V15" i="11"/>
  <c r="AE304" i="11"/>
  <c r="AE242" i="11" s="1"/>
  <c r="AC242" i="11"/>
  <c r="AC662" i="11" s="1"/>
  <c r="AE299" i="11"/>
  <c r="AC719" i="11"/>
  <c r="AC237" i="11"/>
  <c r="AC657" i="11" s="1"/>
  <c r="AE312" i="11"/>
  <c r="AE250" i="11" s="1"/>
  <c r="AC250" i="11"/>
  <c r="AC670" i="11" s="1"/>
  <c r="AC665" i="11"/>
  <c r="AC256" i="11"/>
  <c r="AD256" i="11" s="1"/>
  <c r="AE309" i="11"/>
  <c r="AE247" i="11" s="1"/>
  <c r="AC247" i="11"/>
  <c r="AC667" i="11" s="1"/>
  <c r="AE302" i="11"/>
  <c r="AC722" i="11"/>
  <c r="AC240" i="11"/>
  <c r="AC660" i="11" s="1"/>
  <c r="AE308" i="11"/>
  <c r="AE246" i="11" s="1"/>
  <c r="AC246" i="11"/>
  <c r="AC666" i="11" s="1"/>
  <c r="AE303" i="11"/>
  <c r="AE241" i="11" s="1"/>
  <c r="AC241" i="11"/>
  <c r="AC661" i="11" s="1"/>
  <c r="AE245" i="11"/>
  <c r="AB333" i="11"/>
  <c r="AA3" i="11"/>
  <c r="AA13" i="11" s="1"/>
  <c r="AA753" i="11"/>
  <c r="AA779" i="11" s="1"/>
  <c r="AB779" i="11" s="1"/>
  <c r="U44" i="11" l="1"/>
  <c r="V44" i="11" s="1"/>
  <c r="AH44" i="11" s="1"/>
  <c r="T65" i="2"/>
  <c r="V65" i="2" s="1"/>
  <c r="AE666" i="11"/>
  <c r="AE661" i="11"/>
  <c r="AC3" i="11"/>
  <c r="AC13" i="11" s="1"/>
  <c r="AD333" i="11"/>
  <c r="AE333" i="11"/>
  <c r="AE753" i="11" s="1"/>
  <c r="AE779" i="11" s="1"/>
  <c r="AF779" i="11" s="1"/>
  <c r="AE667" i="11"/>
  <c r="AE670" i="11"/>
  <c r="AE665" i="11"/>
  <c r="AE256" i="11"/>
  <c r="AF256" i="11" s="1"/>
  <c r="AE662" i="11"/>
  <c r="AE719" i="11"/>
  <c r="AE237" i="11"/>
  <c r="AE657" i="11" s="1"/>
  <c r="AE722" i="11"/>
  <c r="AE240" i="11"/>
  <c r="AE660" i="11" s="1"/>
  <c r="W15" i="11"/>
  <c r="V16" i="11"/>
  <c r="AD779" i="11"/>
  <c r="W44" i="11" l="1"/>
  <c r="AF333" i="11"/>
  <c r="AE3" i="11"/>
  <c r="AE13" i="11" s="1"/>
  <c r="V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G1074" i="11" l="1"/>
  <c r="G675" i="11" s="1"/>
  <c r="G240" i="11"/>
  <c r="G227" i="11"/>
  <c r="G1061" i="11"/>
  <c r="G662" i="11" s="1"/>
  <c r="G250" i="11" l="1"/>
  <c r="G1084" i="11"/>
  <c r="G685" i="11" s="1"/>
  <c r="G1077" i="11"/>
  <c r="G678" i="11" s="1"/>
  <c r="G243" i="11"/>
  <c r="H247" i="11"/>
  <c r="H1062" i="11"/>
  <c r="G1057" i="11"/>
  <c r="G223" i="11"/>
  <c r="G247" i="11"/>
  <c r="G1081" i="11"/>
  <c r="G682" i="11" s="1"/>
  <c r="H1081" i="11"/>
  <c r="G1062" i="11"/>
  <c r="G663" i="11" s="1"/>
  <c r="G228" i="11"/>
  <c r="H663" i="11" l="1"/>
  <c r="G1076" i="11"/>
  <c r="G677" i="11" s="1"/>
  <c r="G242" i="11"/>
  <c r="G658" i="11"/>
  <c r="G246" i="11"/>
  <c r="G1080" i="11"/>
  <c r="G681" i="11" s="1"/>
  <c r="H1080" i="11"/>
  <c r="G1085" i="11"/>
  <c r="G686" i="11" s="1"/>
  <c r="G251" i="11"/>
  <c r="H1085" i="11"/>
  <c r="H246" i="11"/>
  <c r="G1065" i="11"/>
  <c r="G666" i="11" s="1"/>
  <c r="H1065" i="11"/>
  <c r="G231" i="11"/>
  <c r="G230" i="11"/>
  <c r="G1064" i="11"/>
  <c r="G665" i="11" s="1"/>
  <c r="H1064" i="11"/>
  <c r="H240" i="11"/>
  <c r="H1074" i="11"/>
  <c r="G1059" i="11"/>
  <c r="G660" i="11" s="1"/>
  <c r="H1059" i="11"/>
  <c r="G225" i="11"/>
  <c r="I1061" i="11"/>
  <c r="I662" i="11" s="1"/>
  <c r="H227" i="11"/>
  <c r="H1061" i="11"/>
  <c r="H225" i="11"/>
  <c r="H229" i="11"/>
  <c r="G1063" i="11"/>
  <c r="G664" i="11" s="1"/>
  <c r="H1063" i="11"/>
  <c r="G229" i="11"/>
  <c r="G647" i="11"/>
  <c r="H228" i="11"/>
  <c r="H235" i="11"/>
  <c r="H226" i="11"/>
  <c r="H682" i="11"/>
  <c r="G226" i="11"/>
  <c r="G1060" i="11"/>
  <c r="G661" i="11" s="1"/>
  <c r="H1060" i="11"/>
  <c r="G235" i="11"/>
  <c r="G1069" i="11"/>
  <c r="G670" i="11" s="1"/>
  <c r="H1069" i="11"/>
  <c r="I1063" i="11"/>
  <c r="I664" i="11" s="1"/>
  <c r="J1061" i="11"/>
  <c r="J662" i="11" s="1"/>
  <c r="H670" i="11" l="1"/>
  <c r="J1081" i="11"/>
  <c r="J682" i="11" s="1"/>
  <c r="I1081" i="11"/>
  <c r="H665" i="11"/>
  <c r="H666" i="11"/>
  <c r="I1076" i="11"/>
  <c r="I677" i="11" s="1"/>
  <c r="H242" i="11"/>
  <c r="H686" i="11"/>
  <c r="I1064" i="11"/>
  <c r="I665" i="11" s="1"/>
  <c r="H230" i="11"/>
  <c r="H675" i="11"/>
  <c r="G244" i="11"/>
  <c r="G256" i="11" s="1"/>
  <c r="G257" i="11" s="1"/>
  <c r="H1078" i="11"/>
  <c r="G1078" i="11"/>
  <c r="G679" i="11" s="1"/>
  <c r="G692" i="11" s="1"/>
  <c r="G38" i="11" s="1"/>
  <c r="H647" i="11"/>
  <c r="H223" i="11"/>
  <c r="H1057" i="11"/>
  <c r="J1085" i="11"/>
  <c r="J686" i="11" s="1"/>
  <c r="J227" i="11"/>
  <c r="I1065" i="11"/>
  <c r="I666" i="11" s="1"/>
  <c r="H231" i="11"/>
  <c r="H664" i="11"/>
  <c r="H662" i="11"/>
  <c r="H660" i="11"/>
  <c r="I1077" i="11"/>
  <c r="I678" i="11" s="1"/>
  <c r="H243" i="11"/>
  <c r="H1077" i="11"/>
  <c r="H661" i="11"/>
  <c r="I1062" i="11"/>
  <c r="I1074" i="11"/>
  <c r="I675" i="11" s="1"/>
  <c r="I1080" i="11"/>
  <c r="I681" i="11" s="1"/>
  <c r="H681" i="11"/>
  <c r="G1091" i="11"/>
  <c r="G27" i="11" s="1"/>
  <c r="G28" i="11" s="1"/>
  <c r="H1076" i="11"/>
  <c r="I1084" i="11"/>
  <c r="I685" i="11" s="1"/>
  <c r="H250" i="11"/>
  <c r="H1084" i="11"/>
  <c r="I1085" i="11"/>
  <c r="I686" i="11" s="1"/>
  <c r="H251" i="11"/>
  <c r="J1063" i="11"/>
  <c r="J1065" i="11"/>
  <c r="J666" i="11" l="1"/>
  <c r="J664" i="11"/>
  <c r="K1074" i="11"/>
  <c r="K675" i="11" s="1"/>
  <c r="J240" i="11"/>
  <c r="I1069" i="11"/>
  <c r="K1062" i="11"/>
  <c r="K663" i="11" s="1"/>
  <c r="J228" i="11"/>
  <c r="I647" i="11"/>
  <c r="I663" i="11"/>
  <c r="K240" i="11"/>
  <c r="I240" i="11"/>
  <c r="J251" i="11"/>
  <c r="H677" i="11"/>
  <c r="G124" i="11"/>
  <c r="G133" i="11" s="1"/>
  <c r="G148" i="11" s="1"/>
  <c r="G151" i="11" s="1"/>
  <c r="G40" i="11"/>
  <c r="G66" i="11" s="1"/>
  <c r="G80" i="11"/>
  <c r="J1062" i="11"/>
  <c r="J663" i="11" s="1"/>
  <c r="I1078" i="11"/>
  <c r="I679" i="11" s="1"/>
  <c r="H244" i="11"/>
  <c r="H256" i="11" s="1"/>
  <c r="H257" i="11" s="1"/>
  <c r="I1057" i="11"/>
  <c r="J229" i="11"/>
  <c r="H679" i="11"/>
  <c r="J231" i="11"/>
  <c r="K228" i="11"/>
  <c r="I228" i="11"/>
  <c r="H685" i="11"/>
  <c r="J1059" i="11"/>
  <c r="J660" i="11" s="1"/>
  <c r="I1059" i="11"/>
  <c r="K1081" i="11"/>
  <c r="K682" i="11" s="1"/>
  <c r="J247" i="11"/>
  <c r="H678" i="11"/>
  <c r="J1074" i="11"/>
  <c r="J675" i="11" s="1"/>
  <c r="H1091" i="11"/>
  <c r="H27" i="11" s="1"/>
  <c r="H658" i="11"/>
  <c r="I682" i="11"/>
  <c r="I1060" i="11"/>
  <c r="L1062" i="11"/>
  <c r="L663" i="11" l="1"/>
  <c r="J244" i="11"/>
  <c r="H692" i="11"/>
  <c r="K1060" i="11"/>
  <c r="K661" i="11" s="1"/>
  <c r="J226" i="11"/>
  <c r="G83" i="11"/>
  <c r="G78" i="11"/>
  <c r="G82" i="11" s="1"/>
  <c r="G116" i="11" s="1"/>
  <c r="J230" i="11"/>
  <c r="J1064" i="11"/>
  <c r="J647" i="11"/>
  <c r="J223" i="11"/>
  <c r="I243" i="11"/>
  <c r="K243" i="11"/>
  <c r="L240" i="11"/>
  <c r="I661" i="11"/>
  <c r="H58" i="11"/>
  <c r="H28" i="11"/>
  <c r="H30" i="11" s="1"/>
  <c r="H38" i="11" s="1"/>
  <c r="I660" i="11"/>
  <c r="K1077" i="11"/>
  <c r="K678" i="11" s="1"/>
  <c r="J243" i="11"/>
  <c r="J1077" i="11"/>
  <c r="K1059" i="11"/>
  <c r="K660" i="11" s="1"/>
  <c r="J225" i="11"/>
  <c r="H150" i="11"/>
  <c r="H69" i="11"/>
  <c r="G87" i="11"/>
  <c r="G98" i="11" s="1"/>
  <c r="V150" i="11"/>
  <c r="AH150" i="11" s="1"/>
  <c r="K1084" i="11"/>
  <c r="K685" i="11" s="1"/>
  <c r="J250" i="11"/>
  <c r="J1084" i="11"/>
  <c r="K1080" i="11"/>
  <c r="K681" i="11" s="1"/>
  <c r="J246" i="11"/>
  <c r="J1080" i="11"/>
  <c r="K1064" i="11"/>
  <c r="K665" i="11" s="1"/>
  <c r="K1057" i="11"/>
  <c r="K229" i="11"/>
  <c r="I229" i="11"/>
  <c r="I251" i="11"/>
  <c r="K251" i="11"/>
  <c r="L228" i="11"/>
  <c r="J1060" i="11"/>
  <c r="J661" i="11" s="1"/>
  <c r="I1091" i="11"/>
  <c r="I27" i="11" s="1"/>
  <c r="I658" i="11"/>
  <c r="L1074" i="11"/>
  <c r="L675" i="11" s="1"/>
  <c r="I227" i="11"/>
  <c r="K227" i="11"/>
  <c r="K1061" i="11"/>
  <c r="J1057" i="11"/>
  <c r="I670" i="11"/>
  <c r="L1081" i="11"/>
  <c r="L682" i="11" s="1"/>
  <c r="I247" i="11"/>
  <c r="K247" i="11"/>
  <c r="K1076" i="11"/>
  <c r="K677" i="11" s="1"/>
  <c r="J242" i="11"/>
  <c r="J1076" i="11"/>
  <c r="K250" i="11"/>
  <c r="I250" i="11"/>
  <c r="L247" i="11"/>
  <c r="I226" i="11"/>
  <c r="K226" i="11"/>
  <c r="K1069" i="11"/>
  <c r="K670" i="11" s="1"/>
  <c r="J235" i="11"/>
  <c r="K1063" i="11"/>
  <c r="K1085" i="11"/>
  <c r="J1069" i="11"/>
  <c r="J670" i="11" s="1"/>
  <c r="J1078" i="11"/>
  <c r="M1062" i="11"/>
  <c r="M663" i="11" l="1"/>
  <c r="K658" i="11"/>
  <c r="M1061" i="11"/>
  <c r="M662" i="11" s="1"/>
  <c r="L227" i="11"/>
  <c r="L235" i="11"/>
  <c r="L1057" i="11"/>
  <c r="I692" i="11"/>
  <c r="G152" i="11"/>
  <c r="J678" i="11"/>
  <c r="K225" i="11"/>
  <c r="I225" i="11"/>
  <c r="L1065" i="11"/>
  <c r="L666" i="11" s="1"/>
  <c r="K231" i="11"/>
  <c r="I231" i="11"/>
  <c r="K1065" i="11"/>
  <c r="J679" i="11"/>
  <c r="I242" i="11"/>
  <c r="K242" i="11"/>
  <c r="I223" i="11"/>
  <c r="K223" i="11"/>
  <c r="J681" i="11"/>
  <c r="K686" i="11"/>
  <c r="J677" i="11"/>
  <c r="J1091" i="11"/>
  <c r="J27" i="11" s="1"/>
  <c r="J658" i="11"/>
  <c r="L1061" i="11"/>
  <c r="L662" i="11" s="1"/>
  <c r="I28" i="11"/>
  <c r="I30" i="11" s="1"/>
  <c r="I38" i="11" s="1"/>
  <c r="I58" i="11"/>
  <c r="L1069" i="11"/>
  <c r="I235" i="11"/>
  <c r="K235" i="11"/>
  <c r="L1064" i="11"/>
  <c r="L665" i="11" s="1"/>
  <c r="K230" i="11"/>
  <c r="I230" i="11"/>
  <c r="I246" i="11"/>
  <c r="K246" i="11"/>
  <c r="H115" i="11"/>
  <c r="G117" i="11"/>
  <c r="G119" i="11" s="1"/>
  <c r="G120" i="11" s="1"/>
  <c r="M228" i="11"/>
  <c r="H126" i="11"/>
  <c r="H76" i="11"/>
  <c r="H64" i="11"/>
  <c r="H80" i="11" s="1"/>
  <c r="H105" i="11" s="1"/>
  <c r="H110" i="11" s="1"/>
  <c r="H132" i="11"/>
  <c r="L1080" i="11"/>
  <c r="L230" i="11"/>
  <c r="L231" i="11"/>
  <c r="M227" i="11"/>
  <c r="L1059" i="11"/>
  <c r="K664" i="11"/>
  <c r="K662" i="11"/>
  <c r="J685" i="11"/>
  <c r="H40" i="11"/>
  <c r="H88" i="11"/>
  <c r="J256" i="11"/>
  <c r="J257" i="11" s="1"/>
  <c r="J665" i="11"/>
  <c r="L658" i="11" l="1"/>
  <c r="L681" i="11"/>
  <c r="L660" i="11"/>
  <c r="M250" i="11"/>
  <c r="M247" i="11"/>
  <c r="M1081" i="11"/>
  <c r="L670" i="11"/>
  <c r="K244" i="11"/>
  <c r="K256" i="11" s="1"/>
  <c r="K257" i="11" s="1"/>
  <c r="I244" i="11"/>
  <c r="I256" i="11" s="1"/>
  <c r="I257" i="11" s="1"/>
  <c r="K1078" i="11"/>
  <c r="I93" i="11"/>
  <c r="I124" i="11"/>
  <c r="H133" i="11"/>
  <c r="H148" i="11" s="1"/>
  <c r="H151" i="11" s="1"/>
  <c r="L242" i="11"/>
  <c r="I132" i="11"/>
  <c r="I64" i="11"/>
  <c r="I80" i="11" s="1"/>
  <c r="I105" i="11" s="1"/>
  <c r="I110" i="11" s="1"/>
  <c r="J692" i="11"/>
  <c r="L251" i="11"/>
  <c r="L1085" i="11"/>
  <c r="L1076" i="11"/>
  <c r="L243" i="11"/>
  <c r="L1077" i="11"/>
  <c r="M1080" i="11"/>
  <c r="M1060" i="11"/>
  <c r="M661" i="11" s="1"/>
  <c r="L226" i="11"/>
  <c r="L1060" i="11"/>
  <c r="L229" i="11"/>
  <c r="L1063" i="11"/>
  <c r="M240" i="11"/>
  <c r="M1074" i="11"/>
  <c r="L647" i="11"/>
  <c r="L223" i="11"/>
  <c r="M1084" i="11"/>
  <c r="M685" i="11" s="1"/>
  <c r="L250" i="11"/>
  <c r="L1084" i="11"/>
  <c r="M1057" i="11"/>
  <c r="M1063" i="11"/>
  <c r="M664" i="11" s="1"/>
  <c r="H66" i="11"/>
  <c r="H83" i="11" s="1"/>
  <c r="L225" i="11"/>
  <c r="L246" i="11"/>
  <c r="I115" i="11"/>
  <c r="I40" i="11"/>
  <c r="I88" i="11"/>
  <c r="J124" i="11" s="1"/>
  <c r="J58" i="11"/>
  <c r="J28" i="11"/>
  <c r="J30" i="11" s="1"/>
  <c r="J38" i="11" s="1"/>
  <c r="K647" i="11"/>
  <c r="K666" i="11"/>
  <c r="H78" i="11" l="1"/>
  <c r="H82" i="11" s="1"/>
  <c r="H116" i="11" s="1"/>
  <c r="H117" i="11" s="1"/>
  <c r="H119" i="11" s="1"/>
  <c r="I66" i="11"/>
  <c r="I83" i="11" s="1"/>
  <c r="M658" i="11"/>
  <c r="M681" i="11"/>
  <c r="P1074" i="11"/>
  <c r="P675" i="11" s="1"/>
  <c r="O240" i="11"/>
  <c r="N246" i="11"/>
  <c r="N229" i="11"/>
  <c r="O228" i="11"/>
  <c r="J88" i="11"/>
  <c r="J40" i="11"/>
  <c r="L678" i="11"/>
  <c r="L686" i="11"/>
  <c r="N227" i="11"/>
  <c r="N1061" i="11"/>
  <c r="N1060" i="11"/>
  <c r="N661" i="11" s="1"/>
  <c r="M226" i="11"/>
  <c r="M682" i="11"/>
  <c r="L677" i="11"/>
  <c r="K679" i="11"/>
  <c r="O1074" i="11"/>
  <c r="O675" i="11" s="1"/>
  <c r="N240" i="11"/>
  <c r="N225" i="11"/>
  <c r="J64" i="11"/>
  <c r="J80" i="11" s="1"/>
  <c r="J105" i="11" s="1"/>
  <c r="J110" i="11" s="1"/>
  <c r="J132" i="11"/>
  <c r="J115" i="11"/>
  <c r="I69" i="11"/>
  <c r="H87" i="11"/>
  <c r="H98" i="11" s="1"/>
  <c r="I150" i="11"/>
  <c r="N1076" i="11"/>
  <c r="N677" i="11" s="1"/>
  <c r="M242" i="11"/>
  <c r="O1062" i="11"/>
  <c r="O663" i="11" s="1"/>
  <c r="N228" i="11"/>
  <c r="N1062" i="11"/>
  <c r="M251" i="11"/>
  <c r="L685" i="11"/>
  <c r="M675" i="11"/>
  <c r="N1080" i="11"/>
  <c r="N681" i="11" s="1"/>
  <c r="M246" i="11"/>
  <c r="M1076" i="11"/>
  <c r="M677" i="11" s="1"/>
  <c r="M1078" i="11"/>
  <c r="M679" i="11" s="1"/>
  <c r="L244" i="11"/>
  <c r="L256" i="11" s="1"/>
  <c r="L257" i="11" s="1"/>
  <c r="N230" i="11"/>
  <c r="N1064" i="11"/>
  <c r="N665" i="11" s="1"/>
  <c r="M230" i="11"/>
  <c r="M1064" i="11"/>
  <c r="N1063" i="11"/>
  <c r="N664" i="11" s="1"/>
  <c r="M229" i="11"/>
  <c r="M243" i="11"/>
  <c r="M647" i="11"/>
  <c r="M223" i="11"/>
  <c r="N1074" i="11"/>
  <c r="N675" i="11" s="1"/>
  <c r="L661" i="11"/>
  <c r="N1069" i="11"/>
  <c r="N670" i="11" s="1"/>
  <c r="M235" i="11"/>
  <c r="M1069" i="11"/>
  <c r="N1059" i="11"/>
  <c r="N660" i="11" s="1"/>
  <c r="M225" i="11"/>
  <c r="N235" i="11"/>
  <c r="N1077" i="11"/>
  <c r="N226" i="11"/>
  <c r="K1091" i="11"/>
  <c r="K27" i="11" s="1"/>
  <c r="M1059" i="11"/>
  <c r="L664" i="11"/>
  <c r="M1077" i="11"/>
  <c r="M678" i="11" s="1"/>
  <c r="M1085" i="11"/>
  <c r="M686" i="11" s="1"/>
  <c r="J93" i="11"/>
  <c r="O1081" i="11"/>
  <c r="O682" i="11" s="1"/>
  <c r="N247" i="11"/>
  <c r="L1078" i="11"/>
  <c r="L679" i="11" s="1"/>
  <c r="N1081" i="11"/>
  <c r="N682" i="11" s="1"/>
  <c r="M231" i="11"/>
  <c r="M1065" i="11"/>
  <c r="L1091" i="11"/>
  <c r="L27" i="11" s="1"/>
  <c r="O1064" i="11"/>
  <c r="O665" i="11" s="1"/>
  <c r="O1060" i="11"/>
  <c r="O661" i="11" s="1"/>
  <c r="H120" i="11" l="1"/>
  <c r="K93" i="11"/>
  <c r="J66" i="11"/>
  <c r="J83" i="11" s="1"/>
  <c r="M1091" i="11"/>
  <c r="M27" i="11" s="1"/>
  <c r="M58" i="11" s="1"/>
  <c r="N678" i="11"/>
  <c r="P228" i="11"/>
  <c r="L58" i="11"/>
  <c r="L28" i="11"/>
  <c r="L30" i="11" s="1"/>
  <c r="L38" i="11" s="1"/>
  <c r="K692" i="11"/>
  <c r="O1085" i="11"/>
  <c r="O686" i="11" s="1"/>
  <c r="M666" i="11"/>
  <c r="K28" i="11"/>
  <c r="K30" i="11" s="1"/>
  <c r="K38" i="11" s="1"/>
  <c r="K58" i="11"/>
  <c r="M665" i="11"/>
  <c r="H152" i="11"/>
  <c r="N662" i="11"/>
  <c r="K124" i="11"/>
  <c r="N242" i="11"/>
  <c r="N1078" i="11"/>
  <c r="N679" i="11" s="1"/>
  <c r="M244" i="11"/>
  <c r="M256" i="11" s="1"/>
  <c r="M257" i="11" s="1"/>
  <c r="M670" i="11"/>
  <c r="O226" i="11"/>
  <c r="O230" i="11"/>
  <c r="P240" i="11"/>
  <c r="P1061" i="11"/>
  <c r="P662" i="11" s="1"/>
  <c r="O227" i="11"/>
  <c r="N231" i="11"/>
  <c r="N251" i="11"/>
  <c r="N1085" i="11"/>
  <c r="N686" i="11" s="1"/>
  <c r="K115" i="11"/>
  <c r="P1062" i="11"/>
  <c r="P663" i="11" s="1"/>
  <c r="O1077" i="11"/>
  <c r="O678" i="11" s="1"/>
  <c r="N243" i="11"/>
  <c r="N647" i="11"/>
  <c r="N223" i="11"/>
  <c r="I76" i="11"/>
  <c r="I78" i="11" s="1"/>
  <c r="I82" i="11" s="1"/>
  <c r="I126" i="11"/>
  <c r="P227" i="11"/>
  <c r="O1057" i="11"/>
  <c r="O1076" i="11"/>
  <c r="N1065" i="11"/>
  <c r="N666" i="11" s="1"/>
  <c r="M660" i="11"/>
  <c r="N1057" i="11"/>
  <c r="N663" i="11"/>
  <c r="L692" i="11"/>
  <c r="P1081" i="11"/>
  <c r="P682" i="11" s="1"/>
  <c r="O247" i="11"/>
  <c r="O1061" i="11"/>
  <c r="O662" i="11" s="1"/>
  <c r="O1084" i="11"/>
  <c r="O685" i="11" s="1"/>
  <c r="N250" i="11"/>
  <c r="N1084" i="11"/>
  <c r="M28" i="11" l="1"/>
  <c r="M30" i="11" s="1"/>
  <c r="M38" i="11" s="1"/>
  <c r="M88" i="11" s="1"/>
  <c r="M692" i="11"/>
  <c r="O677" i="11"/>
  <c r="O658" i="11"/>
  <c r="Q228" i="11"/>
  <c r="Q227" i="11"/>
  <c r="N685" i="11"/>
  <c r="O229" i="11"/>
  <c r="O1063" i="11"/>
  <c r="P247" i="11"/>
  <c r="I133" i="11"/>
  <c r="I148" i="11" s="1"/>
  <c r="I151" i="11" s="1"/>
  <c r="O243" i="11"/>
  <c r="L40" i="11"/>
  <c r="L88" i="11"/>
  <c r="M124" i="11" s="1"/>
  <c r="P1084" i="11"/>
  <c r="P685" i="11" s="1"/>
  <c r="O250" i="11"/>
  <c r="P1065" i="11"/>
  <c r="P666" i="11" s="1"/>
  <c r="O231" i="11"/>
  <c r="Q1081" i="11"/>
  <c r="Q682" i="11" s="1"/>
  <c r="P225" i="11"/>
  <c r="Q1061" i="11"/>
  <c r="Q662" i="11" s="1"/>
  <c r="I116" i="11"/>
  <c r="I118" i="11" s="1"/>
  <c r="K132" i="11"/>
  <c r="K64" i="11"/>
  <c r="K80" i="11" s="1"/>
  <c r="K105" i="11" s="1"/>
  <c r="K110" i="11" s="1"/>
  <c r="O235" i="11"/>
  <c r="O1069" i="11"/>
  <c r="N244" i="11"/>
  <c r="N256" i="11" s="1"/>
  <c r="N257" i="11" s="1"/>
  <c r="L132" i="11"/>
  <c r="L64" i="11"/>
  <c r="L80" i="11" s="1"/>
  <c r="M132" i="11"/>
  <c r="M64" i="11"/>
  <c r="N1091" i="11"/>
  <c r="N27" i="11" s="1"/>
  <c r="N658" i="11"/>
  <c r="L115" i="11"/>
  <c r="P1059" i="11"/>
  <c r="P660" i="11" s="1"/>
  <c r="O225" i="11"/>
  <c r="O1059" i="11"/>
  <c r="O660" i="11" s="1"/>
  <c r="P1080" i="11"/>
  <c r="P681" i="11" s="1"/>
  <c r="O246" i="11"/>
  <c r="O1080" i="11"/>
  <c r="O681" i="11" s="1"/>
  <c r="P1085" i="11"/>
  <c r="P686" i="11" s="1"/>
  <c r="O251" i="11"/>
  <c r="Q1062" i="11"/>
  <c r="Q663" i="11" s="1"/>
  <c r="P1069" i="11"/>
  <c r="P670" i="11" s="1"/>
  <c r="Q240" i="11"/>
  <c r="P1076" i="11"/>
  <c r="P677" i="11" s="1"/>
  <c r="O242" i="11"/>
  <c r="O647" i="11"/>
  <c r="O223" i="11"/>
  <c r="O1065" i="11"/>
  <c r="O666" i="11" s="1"/>
  <c r="Q1074" i="11"/>
  <c r="Q675" i="11" s="1"/>
  <c r="K40" i="11"/>
  <c r="K88" i="11"/>
  <c r="Q1059" i="11"/>
  <c r="Q660" i="11" s="1"/>
  <c r="M40" i="11" l="1"/>
  <c r="M66" i="11" s="1"/>
  <c r="M83" i="11" s="1"/>
  <c r="M80" i="11"/>
  <c r="M105" i="11" s="1"/>
  <c r="M110" i="11" s="1"/>
  <c r="K66" i="11"/>
  <c r="K83" i="11" s="1"/>
  <c r="L105" i="11"/>
  <c r="L110" i="11" s="1"/>
  <c r="Q242" i="11"/>
  <c r="O244" i="11"/>
  <c r="O256" i="11" s="1"/>
  <c r="Q1057" i="11"/>
  <c r="P223" i="11"/>
  <c r="N28" i="11"/>
  <c r="N30" i="11" s="1"/>
  <c r="N38" i="11" s="1"/>
  <c r="N58" i="11"/>
  <c r="Q1076" i="11"/>
  <c r="Q677" i="11" s="1"/>
  <c r="P242" i="11"/>
  <c r="Q1077" i="11"/>
  <c r="Q678" i="11" s="1"/>
  <c r="P243" i="11"/>
  <c r="P1077" i="11"/>
  <c r="P678" i="11" s="1"/>
  <c r="P231" i="11"/>
  <c r="Q223" i="11"/>
  <c r="P1057" i="11"/>
  <c r="M115" i="11"/>
  <c r="Q1085" i="11"/>
  <c r="Q686" i="11" s="1"/>
  <c r="P251" i="11"/>
  <c r="N124" i="11"/>
  <c r="L66" i="11"/>
  <c r="L83" i="11" s="1"/>
  <c r="J150" i="11"/>
  <c r="I87" i="11"/>
  <c r="I98" i="11" s="1"/>
  <c r="J69" i="11"/>
  <c r="O664" i="11"/>
  <c r="Q1063" i="11"/>
  <c r="Q664" i="11" s="1"/>
  <c r="P229" i="11"/>
  <c r="O670" i="11"/>
  <c r="I117" i="11"/>
  <c r="I119" i="11" s="1"/>
  <c r="P1063" i="11"/>
  <c r="P664" i="11" s="1"/>
  <c r="Q229" i="11"/>
  <c r="Q225" i="11"/>
  <c r="Q243" i="11"/>
  <c r="Q226" i="11"/>
  <c r="Q1069" i="11"/>
  <c r="Q670" i="11" s="1"/>
  <c r="L124" i="11"/>
  <c r="L93" i="11"/>
  <c r="M93" i="11" s="1"/>
  <c r="N93" i="11" s="1"/>
  <c r="P235" i="11"/>
  <c r="P250" i="11"/>
  <c r="O1078" i="11"/>
  <c r="O1091" i="11" s="1"/>
  <c r="O27" i="11" s="1"/>
  <c r="N692" i="11"/>
  <c r="Q1064" i="11"/>
  <c r="Q665" i="11" s="1"/>
  <c r="P230" i="11"/>
  <c r="P1064" i="11"/>
  <c r="R1081" i="11"/>
  <c r="R682" i="11" s="1"/>
  <c r="Q247" i="11"/>
  <c r="Q1080" i="11"/>
  <c r="Q681" i="11" s="1"/>
  <c r="P246" i="11"/>
  <c r="Q1060" i="11"/>
  <c r="Q661" i="11" s="1"/>
  <c r="P226" i="11"/>
  <c r="P1060" i="11"/>
  <c r="P661" i="11" s="1"/>
  <c r="O257" i="11" l="1"/>
  <c r="I152" i="11"/>
  <c r="O28" i="11"/>
  <c r="O30" i="11" s="1"/>
  <c r="O38" i="11" s="1"/>
  <c r="O58" i="11"/>
  <c r="V637" i="11"/>
  <c r="S247" i="11"/>
  <c r="P658" i="11"/>
  <c r="S1061" i="11"/>
  <c r="R227" i="11"/>
  <c r="R1061" i="11"/>
  <c r="R662" i="11" s="1"/>
  <c r="P665" i="11"/>
  <c r="O679" i="11"/>
  <c r="J126" i="11"/>
  <c r="J76" i="11"/>
  <c r="J78" i="11" s="1"/>
  <c r="J82" i="11" s="1"/>
  <c r="V630" i="11"/>
  <c r="S240" i="11"/>
  <c r="P244" i="11"/>
  <c r="P256" i="11" s="1"/>
  <c r="P257" i="11" s="1"/>
  <c r="Q250" i="11"/>
  <c r="N40" i="11"/>
  <c r="N88" i="11"/>
  <c r="Q658" i="11"/>
  <c r="V618" i="11"/>
  <c r="S228" i="11"/>
  <c r="Q235" i="11"/>
  <c r="R1065" i="11"/>
  <c r="R666" i="11" s="1"/>
  <c r="Q231" i="11"/>
  <c r="I120" i="11"/>
  <c r="Q246" i="11"/>
  <c r="S1074" i="11"/>
  <c r="R240" i="11"/>
  <c r="R1074" i="11"/>
  <c r="R675" i="11" s="1"/>
  <c r="Q1065" i="11"/>
  <c r="Q666" i="11" s="1"/>
  <c r="P1078" i="11"/>
  <c r="P679" i="11" s="1"/>
  <c r="R1064" i="11"/>
  <c r="R665" i="11" s="1"/>
  <c r="R1084" i="11"/>
  <c r="R685" i="11" s="1"/>
  <c r="Q1084" i="11"/>
  <c r="Q685" i="11" s="1"/>
  <c r="S1081" i="11"/>
  <c r="R247" i="11"/>
  <c r="N115" i="11"/>
  <c r="V617" i="11"/>
  <c r="S227" i="11"/>
  <c r="R1085" i="11"/>
  <c r="R686" i="11" s="1"/>
  <c r="Q251" i="11"/>
  <c r="Q230" i="11"/>
  <c r="N132" i="11"/>
  <c r="N64" i="11"/>
  <c r="N80" i="11" s="1"/>
  <c r="P647" i="11"/>
  <c r="S1062" i="11"/>
  <c r="R228" i="11"/>
  <c r="R1062" i="11"/>
  <c r="R663" i="11" s="1"/>
  <c r="O692" i="11" l="1"/>
  <c r="O124" i="11"/>
  <c r="N105" i="11"/>
  <c r="S663" i="11"/>
  <c r="V663" i="11" s="1"/>
  <c r="V1062" i="11"/>
  <c r="V632" i="11"/>
  <c r="S242" i="11"/>
  <c r="S1080" i="11"/>
  <c r="R246" i="11"/>
  <c r="V613" i="11"/>
  <c r="S223" i="11"/>
  <c r="S1063" i="11"/>
  <c r="R229" i="11"/>
  <c r="R1063" i="11"/>
  <c r="R664" i="11" s="1"/>
  <c r="V633" i="11"/>
  <c r="S243" i="11"/>
  <c r="S1059" i="11"/>
  <c r="R225" i="11"/>
  <c r="R1059" i="11"/>
  <c r="R660" i="11" s="1"/>
  <c r="N66" i="11"/>
  <c r="N83" i="11" s="1"/>
  <c r="P692" i="11"/>
  <c r="O132" i="11"/>
  <c r="O64" i="11"/>
  <c r="O80" i="11" s="1"/>
  <c r="O93" i="11"/>
  <c r="V615" i="11"/>
  <c r="S225" i="11"/>
  <c r="V240" i="11"/>
  <c r="Y660" i="11" s="1"/>
  <c r="Q244" i="11"/>
  <c r="S662" i="11"/>
  <c r="V662" i="11" s="1"/>
  <c r="V1061" i="11"/>
  <c r="Y1059" i="11"/>
  <c r="V247" i="11"/>
  <c r="Y667" i="11" s="1"/>
  <c r="V621" i="11"/>
  <c r="S231" i="11"/>
  <c r="S647" i="11"/>
  <c r="R1078" i="11"/>
  <c r="R679" i="11" s="1"/>
  <c r="Y617" i="11"/>
  <c r="AA617" i="11" s="1"/>
  <c r="AC617" i="11" s="1"/>
  <c r="AE617" i="11" s="1"/>
  <c r="V227" i="11"/>
  <c r="S682" i="11"/>
  <c r="V682" i="11" s="1"/>
  <c r="V1081" i="11"/>
  <c r="V625" i="11"/>
  <c r="S235" i="11"/>
  <c r="V641" i="11"/>
  <c r="S251" i="11"/>
  <c r="S1057" i="11"/>
  <c r="R647" i="11"/>
  <c r="R223" i="11"/>
  <c r="R1057" i="11"/>
  <c r="V620" i="11"/>
  <c r="S230" i="11"/>
  <c r="S1077" i="11"/>
  <c r="R243" i="11"/>
  <c r="R1077" i="11"/>
  <c r="R678" i="11" s="1"/>
  <c r="R1080" i="11"/>
  <c r="R681" i="11" s="1"/>
  <c r="Q1078" i="11"/>
  <c r="Q679" i="11" s="1"/>
  <c r="Q692" i="11" s="1"/>
  <c r="J116" i="11"/>
  <c r="P1091" i="11"/>
  <c r="P27" i="11" s="1"/>
  <c r="O40" i="11"/>
  <c r="O88" i="11"/>
  <c r="Q647" i="11"/>
  <c r="O115" i="11"/>
  <c r="S1076" i="11"/>
  <c r="R242" i="11"/>
  <c r="R1076" i="11"/>
  <c r="R677" i="11" s="1"/>
  <c r="T677" i="11" s="1"/>
  <c r="V616" i="11"/>
  <c r="S226" i="11"/>
  <c r="V636" i="11"/>
  <c r="S246" i="11"/>
  <c r="S1084" i="11"/>
  <c r="R250" i="11"/>
  <c r="V619" i="11"/>
  <c r="S229" i="11"/>
  <c r="S675" i="11"/>
  <c r="V675" i="11" s="1"/>
  <c r="V1074" i="11"/>
  <c r="Y618" i="11"/>
  <c r="AA618" i="11" s="1"/>
  <c r="AC618" i="11" s="1"/>
  <c r="AE618" i="11" s="1"/>
  <c r="V228" i="11"/>
  <c r="S1069" i="11"/>
  <c r="R235" i="11"/>
  <c r="S1060" i="11"/>
  <c r="R226" i="11"/>
  <c r="R1060" i="11"/>
  <c r="R661" i="11" s="1"/>
  <c r="S1085" i="11"/>
  <c r="R251" i="11"/>
  <c r="V640" i="11"/>
  <c r="S250" i="11"/>
  <c r="S1064" i="11"/>
  <c r="R230" i="11"/>
  <c r="R1069" i="11"/>
  <c r="R670" i="11" s="1"/>
  <c r="J133" i="11"/>
  <c r="J148" i="11" s="1"/>
  <c r="J151" i="11" s="1"/>
  <c r="S1065" i="11"/>
  <c r="R231" i="11"/>
  <c r="Q256" i="11" l="1"/>
  <c r="Q257" i="11" s="1"/>
  <c r="P124" i="11"/>
  <c r="O105" i="11"/>
  <c r="N110" i="11"/>
  <c r="K69" i="11"/>
  <c r="J87" i="11"/>
  <c r="J98" i="11" s="1"/>
  <c r="K150" i="11"/>
  <c r="Y1055" i="11"/>
  <c r="V243" i="11"/>
  <c r="Y663" i="11" s="1"/>
  <c r="Y1062" i="11"/>
  <c r="V250" i="11"/>
  <c r="Y670" i="11" s="1"/>
  <c r="S677" i="11"/>
  <c r="V677" i="11" s="1"/>
  <c r="V1076" i="11"/>
  <c r="J117" i="11"/>
  <c r="J119" i="11" s="1"/>
  <c r="R1091" i="11"/>
  <c r="R27" i="11" s="1"/>
  <c r="R658" i="11"/>
  <c r="R692" i="11" s="1"/>
  <c r="T692" i="11" s="1"/>
  <c r="Y615" i="11"/>
  <c r="AA615" i="11" s="1"/>
  <c r="AC615" i="11" s="1"/>
  <c r="AE615" i="11" s="1"/>
  <c r="V225" i="11"/>
  <c r="P58" i="11"/>
  <c r="P28" i="11"/>
  <c r="P30" i="11" s="1"/>
  <c r="P38" i="11" s="1"/>
  <c r="Y620" i="11"/>
  <c r="V230" i="11"/>
  <c r="S658" i="11"/>
  <c r="V1057" i="11"/>
  <c r="Y625" i="11"/>
  <c r="AA625" i="11" s="1"/>
  <c r="AC625" i="11" s="1"/>
  <c r="AE625" i="11" s="1"/>
  <c r="V235" i="11"/>
  <c r="S666" i="11"/>
  <c r="V666" i="11" s="1"/>
  <c r="V1065" i="11"/>
  <c r="S661" i="11"/>
  <c r="V661" i="11" s="1"/>
  <c r="V1060" i="11"/>
  <c r="S685" i="11"/>
  <c r="V685" i="11" s="1"/>
  <c r="V1084" i="11"/>
  <c r="Y616" i="11"/>
  <c r="AA616" i="11" s="1"/>
  <c r="AC616" i="11" s="1"/>
  <c r="AE616" i="11" s="1"/>
  <c r="V226" i="11"/>
  <c r="J118" i="11"/>
  <c r="Q1091" i="11"/>
  <c r="Q27" i="11" s="1"/>
  <c r="S678" i="11"/>
  <c r="V678" i="11" s="1"/>
  <c r="V1077" i="11"/>
  <c r="Y1063" i="11"/>
  <c r="V251" i="11"/>
  <c r="Y671" i="11" s="1"/>
  <c r="S1078" i="11"/>
  <c r="R244" i="11"/>
  <c r="R256" i="11" s="1"/>
  <c r="R257" i="11" s="1"/>
  <c r="Y621" i="11"/>
  <c r="AA621" i="11" s="1"/>
  <c r="AC621" i="11" s="1"/>
  <c r="AE621" i="11" s="1"/>
  <c r="V231" i="11"/>
  <c r="P93" i="11"/>
  <c r="S660" i="11"/>
  <c r="V660" i="11" s="1"/>
  <c r="V1059" i="11"/>
  <c r="Y613" i="11"/>
  <c r="V223" i="11"/>
  <c r="V242" i="11"/>
  <c r="Y662" i="11" s="1"/>
  <c r="S670" i="11"/>
  <c r="V670" i="11" s="1"/>
  <c r="V1069" i="11"/>
  <c r="Y619" i="11"/>
  <c r="AA619" i="11" s="1"/>
  <c r="AC619" i="11" s="1"/>
  <c r="AE619" i="11" s="1"/>
  <c r="V229" i="11"/>
  <c r="Y1058" i="11"/>
  <c r="V246" i="11"/>
  <c r="Y666" i="11" s="1"/>
  <c r="S681" i="11"/>
  <c r="V681" i="11" s="1"/>
  <c r="V1080" i="11"/>
  <c r="S665" i="11"/>
  <c r="V665" i="11" s="1"/>
  <c r="V1064" i="11"/>
  <c r="S686" i="11"/>
  <c r="V686" i="11" s="1"/>
  <c r="V1085" i="11"/>
  <c r="P115" i="11"/>
  <c r="O66" i="11"/>
  <c r="O83" i="11" s="1"/>
  <c r="V634" i="11"/>
  <c r="V647" i="11" s="1"/>
  <c r="S244" i="11"/>
  <c r="S256" i="11" s="1"/>
  <c r="S257" i="11" s="1"/>
  <c r="S664" i="11"/>
  <c r="V664" i="11" s="1"/>
  <c r="V1063" i="11"/>
  <c r="T242" i="11" l="1"/>
  <c r="O110" i="11"/>
  <c r="O111" i="11" s="1"/>
  <c r="J152" i="11"/>
  <c r="Y1056" i="11"/>
  <c r="V244" i="11"/>
  <c r="Y664" i="11" s="1"/>
  <c r="Y1034" i="11"/>
  <c r="AA613" i="11"/>
  <c r="S679" i="11"/>
  <c r="V679" i="11" s="1"/>
  <c r="V1078" i="11"/>
  <c r="V1091" i="11" s="1"/>
  <c r="S1091" i="11"/>
  <c r="S27" i="11" s="1"/>
  <c r="R58" i="11"/>
  <c r="R28" i="11"/>
  <c r="R30" i="11" s="1"/>
  <c r="R38" i="11" s="1"/>
  <c r="V648" i="11"/>
  <c r="Y1070" i="11" s="1"/>
  <c r="J120" i="11"/>
  <c r="Q58" i="11"/>
  <c r="Q28" i="11"/>
  <c r="Q30" i="11" s="1"/>
  <c r="Q38" i="11" s="1"/>
  <c r="S692" i="11"/>
  <c r="V658" i="11"/>
  <c r="AA620" i="11"/>
  <c r="AC620" i="11" s="1"/>
  <c r="Y647" i="11"/>
  <c r="P64" i="11"/>
  <c r="P80" i="11" s="1"/>
  <c r="P132" i="11"/>
  <c r="P40" i="11"/>
  <c r="P88" i="11"/>
  <c r="K76" i="11"/>
  <c r="K78" i="11" s="1"/>
  <c r="K82" i="11" s="1"/>
  <c r="K116" i="11" s="1"/>
  <c r="K126" i="11"/>
  <c r="V692" i="11" l="1"/>
  <c r="Z692" i="11" s="1"/>
  <c r="P105" i="11"/>
  <c r="P66" i="11"/>
  <c r="P83" i="11" s="1"/>
  <c r="K133" i="11"/>
  <c r="K148" i="11" s="1"/>
  <c r="K151" i="11" s="1"/>
  <c r="Z647" i="11"/>
  <c r="Y1069" i="11"/>
  <c r="Y1091" i="11" s="1"/>
  <c r="Z1091" i="11" s="1"/>
  <c r="Q88" i="11"/>
  <c r="Q40" i="11"/>
  <c r="S58" i="11"/>
  <c r="S28" i="11"/>
  <c r="S30" i="11" s="1"/>
  <c r="S38" i="11" s="1"/>
  <c r="V27" i="11"/>
  <c r="V28" i="11" s="1"/>
  <c r="V30" i="11" s="1"/>
  <c r="V38" i="11" s="1"/>
  <c r="AH38" i="11" s="1"/>
  <c r="K118" i="11"/>
  <c r="K117" i="11"/>
  <c r="K119" i="11" s="1"/>
  <c r="AE620" i="11"/>
  <c r="V256" i="11"/>
  <c r="R88" i="11"/>
  <c r="R40" i="11"/>
  <c r="Q132" i="11"/>
  <c r="Q64" i="11"/>
  <c r="Q80" i="11" s="1"/>
  <c r="Q124" i="11"/>
  <c r="Q93" i="11"/>
  <c r="R132" i="11"/>
  <c r="R64" i="11"/>
  <c r="R80" i="11" s="1"/>
  <c r="AA647" i="11"/>
  <c r="AA1034" i="11"/>
  <c r="AC613" i="11"/>
  <c r="AC647" i="11" s="1"/>
  <c r="S76" i="2" l="1"/>
  <c r="T58" i="11"/>
  <c r="U58" i="11" s="1"/>
  <c r="S57" i="2"/>
  <c r="T38" i="11"/>
  <c r="U38" i="11" s="1"/>
  <c r="V58" i="11"/>
  <c r="AH58" i="11" s="1"/>
  <c r="R124" i="11"/>
  <c r="U57" i="2"/>
  <c r="S62" i="2"/>
  <c r="U62" i="2" s="1"/>
  <c r="T76" i="2"/>
  <c r="T64" i="11"/>
  <c r="T57" i="2"/>
  <c r="T40" i="11"/>
  <c r="U76" i="2"/>
  <c r="S82" i="2"/>
  <c r="U82" i="2" s="1"/>
  <c r="P110" i="11"/>
  <c r="Q105" i="11"/>
  <c r="R93" i="11"/>
  <c r="R105" i="11"/>
  <c r="AD647" i="11"/>
  <c r="AC1069" i="11"/>
  <c r="AC1091" i="11" s="1"/>
  <c r="AA1069" i="11"/>
  <c r="AA1091" i="11" s="1"/>
  <c r="AB1091" i="11" s="1"/>
  <c r="AB647" i="11"/>
  <c r="R66" i="11"/>
  <c r="R83" i="11" s="1"/>
  <c r="W38" i="11"/>
  <c r="V40" i="11"/>
  <c r="AH40" i="11" s="1"/>
  <c r="Q66" i="11"/>
  <c r="Q83" i="11" s="1"/>
  <c r="S124" i="11"/>
  <c r="S40" i="11"/>
  <c r="S88" i="11"/>
  <c r="AC1034" i="11"/>
  <c r="AE613" i="11"/>
  <c r="AE1034" i="11" s="1"/>
  <c r="W648" i="11"/>
  <c r="W646" i="11"/>
  <c r="W527" i="11"/>
  <c r="W553" i="11"/>
  <c r="W534" i="11"/>
  <c r="W533" i="11"/>
  <c r="W291" i="11"/>
  <c r="W273" i="11"/>
  <c r="V257" i="11"/>
  <c r="W539" i="11"/>
  <c r="W555" i="11"/>
  <c r="W536" i="11"/>
  <c r="W293" i="11"/>
  <c r="W277" i="11"/>
  <c r="W360" i="11"/>
  <c r="W398" i="11"/>
  <c r="W425" i="11"/>
  <c r="W501" i="11"/>
  <c r="W643" i="11"/>
  <c r="W353" i="11"/>
  <c r="W436" i="11"/>
  <c r="W506" i="11"/>
  <c r="W601" i="11"/>
  <c r="W390" i="11"/>
  <c r="W419" i="11"/>
  <c r="W447" i="11"/>
  <c r="W361" i="11"/>
  <c r="W432" i="11"/>
  <c r="W488" i="11"/>
  <c r="W607" i="11"/>
  <c r="W594" i="11"/>
  <c r="W626" i="11"/>
  <c r="W490" i="11"/>
  <c r="W394" i="11"/>
  <c r="W497" i="11"/>
  <c r="W577" i="11"/>
  <c r="W409" i="11"/>
  <c r="W611" i="11"/>
  <c r="W370" i="11"/>
  <c r="W431" i="11"/>
  <c r="W564" i="11"/>
  <c r="W379" i="11"/>
  <c r="W428" i="11"/>
  <c r="W603" i="11"/>
  <c r="W584" i="11"/>
  <c r="W614" i="11"/>
  <c r="W352" i="11"/>
  <c r="W477" i="11"/>
  <c r="W509" i="11"/>
  <c r="W389" i="11"/>
  <c r="W444" i="11"/>
  <c r="W528" i="11"/>
  <c r="W605" i="11"/>
  <c r="W358" i="11"/>
  <c r="W410" i="11"/>
  <c r="W499" i="11"/>
  <c r="W339" i="11"/>
  <c r="W446" i="11"/>
  <c r="W474" i="11"/>
  <c r="W514" i="11"/>
  <c r="W612" i="11"/>
  <c r="W572" i="11"/>
  <c r="W286" i="11"/>
  <c r="W421" i="11"/>
  <c r="W467" i="11"/>
  <c r="W560" i="11"/>
  <c r="W587" i="11"/>
  <c r="W367" i="11"/>
  <c r="W401" i="11"/>
  <c r="W480" i="11"/>
  <c r="W512" i="11"/>
  <c r="W629" i="11"/>
  <c r="W346" i="11"/>
  <c r="W461" i="11"/>
  <c r="W487" i="11"/>
  <c r="W523" i="11"/>
  <c r="W365" i="11"/>
  <c r="W466" i="11"/>
  <c r="W526" i="11"/>
  <c r="W591" i="11"/>
  <c r="W529" i="11"/>
  <c r="W292" i="11"/>
  <c r="W411" i="11"/>
  <c r="W570" i="11"/>
  <c r="W332" i="11"/>
  <c r="W549" i="11"/>
  <c r="W642" i="11"/>
  <c r="W331" i="11"/>
  <c r="W287" i="11"/>
  <c r="W269" i="11"/>
  <c r="W565" i="11"/>
  <c r="W538" i="11"/>
  <c r="W545" i="11"/>
  <c r="W289" i="11"/>
  <c r="W275" i="11"/>
  <c r="W276" i="11"/>
  <c r="W364" i="11"/>
  <c r="W402" i="11"/>
  <c r="W433" i="11"/>
  <c r="W517" i="11"/>
  <c r="W355" i="11"/>
  <c r="W464" i="11"/>
  <c r="W516" i="11"/>
  <c r="W400" i="11"/>
  <c r="W435" i="11"/>
  <c r="W457" i="11"/>
  <c r="W371" i="11"/>
  <c r="W434" i="11"/>
  <c r="W508" i="11"/>
  <c r="W631" i="11"/>
  <c r="W602" i="11"/>
  <c r="W340" i="11"/>
  <c r="W429" i="11"/>
  <c r="W513" i="11"/>
  <c r="W581" i="11"/>
  <c r="W284" i="11"/>
  <c r="W341" i="11"/>
  <c r="W440" i="11"/>
  <c r="W378" i="11"/>
  <c r="W469" i="11"/>
  <c r="W644" i="11"/>
  <c r="W399" i="11"/>
  <c r="W442" i="11"/>
  <c r="W578" i="11"/>
  <c r="W592" i="11"/>
  <c r="W278" i="11"/>
  <c r="W376" i="11"/>
  <c r="W481" i="11"/>
  <c r="W544" i="11"/>
  <c r="W337" i="11"/>
  <c r="W418" i="11"/>
  <c r="W498" i="11"/>
  <c r="W554" i="11"/>
  <c r="W362" i="11"/>
  <c r="W427" i="11"/>
  <c r="W503" i="11"/>
  <c r="W357" i="11"/>
  <c r="W454" i="11"/>
  <c r="W478" i="11"/>
  <c r="W522" i="11"/>
  <c r="W628" i="11"/>
  <c r="W622" i="11"/>
  <c r="W437" i="11"/>
  <c r="W473" i="11"/>
  <c r="W575" i="11"/>
  <c r="W377" i="11"/>
  <c r="W405" i="11"/>
  <c r="W484" i="11"/>
  <c r="W540" i="11"/>
  <c r="W354" i="11"/>
  <c r="W475" i="11"/>
  <c r="W495" i="11"/>
  <c r="W266" i="11"/>
  <c r="W343" i="11"/>
  <c r="W383" i="11"/>
  <c r="W470" i="11"/>
  <c r="W548" i="11"/>
  <c r="W599" i="11"/>
  <c r="W580" i="11"/>
  <c r="W372" i="11"/>
  <c r="W290" i="11"/>
  <c r="W567" i="11"/>
  <c r="W561" i="11"/>
  <c r="W535" i="11"/>
  <c r="W551" i="11"/>
  <c r="W541" i="11"/>
  <c r="W563" i="11"/>
  <c r="W537" i="11"/>
  <c r="W344" i="11"/>
  <c r="W392" i="11"/>
  <c r="W417" i="11"/>
  <c r="W493" i="11"/>
  <c r="W552" i="11"/>
  <c r="W349" i="11"/>
  <c r="W430" i="11"/>
  <c r="W472" i="11"/>
  <c r="W593" i="11"/>
  <c r="W342" i="11"/>
  <c r="W408" i="11"/>
  <c r="W443" i="11"/>
  <c r="W556" i="11"/>
  <c r="W424" i="11"/>
  <c r="W450" i="11"/>
  <c r="W546" i="11"/>
  <c r="W639" i="11"/>
  <c r="W624" i="11"/>
  <c r="W388" i="11"/>
  <c r="W459" i="11"/>
  <c r="W608" i="11"/>
  <c r="W589" i="11"/>
  <c r="W363" i="11"/>
  <c r="W460" i="11"/>
  <c r="W627" i="11"/>
  <c r="W396" i="11"/>
  <c r="W550" i="11"/>
  <c r="W274" i="11"/>
  <c r="W375" i="11"/>
  <c r="W407" i="11"/>
  <c r="W595" i="11"/>
  <c r="W576" i="11"/>
  <c r="W606" i="11"/>
  <c r="W451" i="11"/>
  <c r="W471" i="11"/>
  <c r="W489" i="11"/>
  <c r="W288" i="11"/>
  <c r="W385" i="11"/>
  <c r="W426" i="11"/>
  <c r="W520" i="11"/>
  <c r="W597" i="11"/>
  <c r="W350" i="11"/>
  <c r="W382" i="11"/>
  <c r="W465" i="11"/>
  <c r="W416" i="11"/>
  <c r="W462" i="11"/>
  <c r="W486" i="11"/>
  <c r="W598" i="11"/>
  <c r="W638" i="11"/>
  <c r="W280" i="11"/>
  <c r="W380" i="11"/>
  <c r="W445" i="11"/>
  <c r="W542" i="11"/>
  <c r="W583" i="11"/>
  <c r="W397" i="11"/>
  <c r="W476" i="11"/>
  <c r="W510" i="11"/>
  <c r="W338" i="11"/>
  <c r="W423" i="11"/>
  <c r="W483" i="11"/>
  <c r="W519" i="11"/>
  <c r="W351" i="11"/>
  <c r="W391" i="11"/>
  <c r="W500" i="11"/>
  <c r="W566" i="11"/>
  <c r="W590" i="11"/>
  <c r="W604" i="11"/>
  <c r="W569" i="11"/>
  <c r="W568" i="11"/>
  <c r="W547" i="11"/>
  <c r="W559" i="11"/>
  <c r="W330" i="11"/>
  <c r="W283" i="11"/>
  <c r="W265" i="11"/>
  <c r="W557" i="11"/>
  <c r="W645" i="11"/>
  <c r="W543" i="11"/>
  <c r="W285" i="11"/>
  <c r="W336" i="11"/>
  <c r="W368" i="11"/>
  <c r="W406" i="11"/>
  <c r="W463" i="11"/>
  <c r="W521" i="11"/>
  <c r="W393" i="11"/>
  <c r="W468" i="11"/>
  <c r="W524" i="11"/>
  <c r="W404" i="11"/>
  <c r="W439" i="11"/>
  <c r="W511" i="11"/>
  <c r="W420" i="11"/>
  <c r="W438" i="11"/>
  <c r="W518" i="11"/>
  <c r="W635" i="11"/>
  <c r="W588" i="11"/>
  <c r="W282" i="11"/>
  <c r="W356" i="11"/>
  <c r="W455" i="11"/>
  <c r="W525" i="11"/>
  <c r="W585" i="11"/>
  <c r="W345" i="11"/>
  <c r="W456" i="11"/>
  <c r="W623" i="11"/>
  <c r="W386" i="11"/>
  <c r="W507" i="11"/>
  <c r="W369" i="11"/>
  <c r="W403" i="11"/>
  <c r="W504" i="11"/>
  <c r="W586" i="11"/>
  <c r="W600" i="11"/>
  <c r="W384" i="11"/>
  <c r="W485" i="11"/>
  <c r="W573" i="11"/>
  <c r="W359" i="11"/>
  <c r="W422" i="11"/>
  <c r="W502" i="11"/>
  <c r="W562" i="11"/>
  <c r="W294" i="11"/>
  <c r="W366" i="11"/>
  <c r="W449" i="11"/>
  <c r="W395" i="11"/>
  <c r="W458" i="11"/>
  <c r="W482" i="11"/>
  <c r="W574" i="11"/>
  <c r="W348" i="11"/>
  <c r="W441" i="11"/>
  <c r="W505" i="11"/>
  <c r="W579" i="11"/>
  <c r="W272" i="11"/>
  <c r="W381" i="11"/>
  <c r="W448" i="11"/>
  <c r="W494" i="11"/>
  <c r="W415" i="11"/>
  <c r="W479" i="11"/>
  <c r="W515" i="11"/>
  <c r="W347" i="11"/>
  <c r="W387" i="11"/>
  <c r="W496" i="11"/>
  <c r="W558" i="11"/>
  <c r="W582" i="11"/>
  <c r="W596" i="11"/>
  <c r="W260" i="11"/>
  <c r="W301" i="11"/>
  <c r="W313" i="11"/>
  <c r="W314" i="11"/>
  <c r="W322" i="11"/>
  <c r="W329" i="11"/>
  <c r="W326" i="11"/>
  <c r="W305" i="11"/>
  <c r="W325" i="11"/>
  <c r="W300" i="11"/>
  <c r="W306" i="11"/>
  <c r="W316" i="11"/>
  <c r="W311" i="11"/>
  <c r="W321" i="11"/>
  <c r="W315" i="11"/>
  <c r="W298" i="11"/>
  <c r="W319" i="11"/>
  <c r="W328" i="11"/>
  <c r="W324" i="11"/>
  <c r="W320" i="11"/>
  <c r="W310" i="11"/>
  <c r="W327" i="11"/>
  <c r="W264" i="11"/>
  <c r="W263" i="11"/>
  <c r="W323" i="11"/>
  <c r="W271" i="11"/>
  <c r="W262" i="11"/>
  <c r="W267" i="11"/>
  <c r="W281" i="11"/>
  <c r="W268" i="11"/>
  <c r="W270" i="11"/>
  <c r="W279" i="11"/>
  <c r="W261" i="11"/>
  <c r="W295" i="11"/>
  <c r="W307" i="11"/>
  <c r="W302" i="11"/>
  <c r="W304" i="11"/>
  <c r="W312" i="11"/>
  <c r="W303" i="11"/>
  <c r="W318" i="11"/>
  <c r="W317" i="11"/>
  <c r="W309" i="11"/>
  <c r="W299" i="11"/>
  <c r="W308" i="11"/>
  <c r="W333" i="11"/>
  <c r="Z256" i="11"/>
  <c r="W630" i="11"/>
  <c r="W618" i="11"/>
  <c r="W637" i="11"/>
  <c r="W617" i="11"/>
  <c r="W640" i="11"/>
  <c r="W620" i="11"/>
  <c r="W616" i="11"/>
  <c r="W641" i="11"/>
  <c r="W613" i="11"/>
  <c r="W633" i="11"/>
  <c r="W615" i="11"/>
  <c r="W621" i="11"/>
  <c r="W625" i="11"/>
  <c r="W632" i="11"/>
  <c r="W636" i="11"/>
  <c r="W619" i="11"/>
  <c r="W634" i="11"/>
  <c r="W647" i="11"/>
  <c r="S132" i="11"/>
  <c r="V132" i="11" s="1"/>
  <c r="AH132" i="11" s="1"/>
  <c r="S64" i="11"/>
  <c r="S80" i="11" s="1"/>
  <c r="S98" i="2" s="1"/>
  <c r="S101" i="2" s="1"/>
  <c r="U101" i="2" s="1"/>
  <c r="K87" i="11"/>
  <c r="K98" i="11" s="1"/>
  <c r="K120" i="11" s="1"/>
  <c r="L150" i="11"/>
  <c r="L69" i="11"/>
  <c r="V88" i="11" l="1"/>
  <c r="AH88" i="11" s="1"/>
  <c r="S13" i="2"/>
  <c r="U13" i="2" s="1"/>
  <c r="U64" i="11"/>
  <c r="U98" i="2"/>
  <c r="U40" i="11"/>
  <c r="R110" i="11"/>
  <c r="T80" i="11"/>
  <c r="U80" i="11" s="1"/>
  <c r="S93" i="11"/>
  <c r="T66" i="11"/>
  <c r="Q110" i="11"/>
  <c r="T62" i="2"/>
  <c r="D5" i="8"/>
  <c r="F5" i="8" s="1"/>
  <c r="C52" i="8" s="1"/>
  <c r="V57" i="2"/>
  <c r="T83" i="11"/>
  <c r="V76" i="2"/>
  <c r="T82" i="2"/>
  <c r="S84" i="2"/>
  <c r="U84" i="2" s="1"/>
  <c r="AD1091" i="11"/>
  <c r="S105" i="11"/>
  <c r="W40" i="11"/>
  <c r="Z40" i="11"/>
  <c r="K152" i="11"/>
  <c r="Y58" i="11"/>
  <c r="W58" i="11"/>
  <c r="V64" i="11"/>
  <c r="AH64" i="11" s="1"/>
  <c r="V124" i="11"/>
  <c r="AH124" i="11" s="1"/>
  <c r="V105" i="11"/>
  <c r="L126" i="11"/>
  <c r="L76" i="11"/>
  <c r="L78" i="11" s="1"/>
  <c r="L82" i="11" s="1"/>
  <c r="L116" i="11" s="1"/>
  <c r="AE647" i="11"/>
  <c r="S66" i="11"/>
  <c r="S83" i="11" s="1"/>
  <c r="S110" i="11" l="1"/>
  <c r="S31" i="2"/>
  <c r="S34" i="2" s="1"/>
  <c r="D17" i="8" s="1"/>
  <c r="Y88" i="11"/>
  <c r="Y130" i="11" s="1"/>
  <c r="U83" i="11"/>
  <c r="V93" i="11"/>
  <c r="AH93" i="11" s="1"/>
  <c r="S19" i="2"/>
  <c r="U19" i="2" s="1"/>
  <c r="U66" i="11"/>
  <c r="T98" i="2"/>
  <c r="W82" i="2"/>
  <c r="V82" i="2"/>
  <c r="D6" i="8"/>
  <c r="U31" i="2"/>
  <c r="V62" i="2"/>
  <c r="T84" i="2"/>
  <c r="S109" i="2"/>
  <c r="U109" i="2" s="1"/>
  <c r="V110" i="11"/>
  <c r="AH110" i="11" s="1"/>
  <c r="AH105" i="11"/>
  <c r="AE1069" i="11"/>
  <c r="AE1091" i="11" s="1"/>
  <c r="AF1091" i="11" s="1"/>
  <c r="AF647" i="11"/>
  <c r="W64" i="11"/>
  <c r="V80" i="11"/>
  <c r="AH80" i="11" s="1"/>
  <c r="L133" i="11"/>
  <c r="L148" i="11" s="1"/>
  <c r="L151" i="11" s="1"/>
  <c r="AA88" i="11"/>
  <c r="AA93" i="11" s="1"/>
  <c r="L118" i="11"/>
  <c r="L117" i="11"/>
  <c r="L119" i="11" s="1"/>
  <c r="Y132" i="11"/>
  <c r="Y64" i="11"/>
  <c r="AA58" i="11"/>
  <c r="V66" i="11"/>
  <c r="Y124" i="11" l="1"/>
  <c r="Y133" i="11" s="1"/>
  <c r="Y93" i="11"/>
  <c r="T101" i="2"/>
  <c r="V101" i="2" s="1"/>
  <c r="V98" i="2"/>
  <c r="V84" i="2"/>
  <c r="T109" i="2"/>
  <c r="F6" i="8"/>
  <c r="C53" i="8" s="1"/>
  <c r="D7" i="8"/>
  <c r="F7" i="8" s="1"/>
  <c r="C54" i="8" s="1"/>
  <c r="V83" i="11"/>
  <c r="AH83" i="11" s="1"/>
  <c r="AH66" i="11"/>
  <c r="AA132" i="11"/>
  <c r="AA64" i="11"/>
  <c r="AC58" i="11"/>
  <c r="AA124" i="11"/>
  <c r="AA133" i="11" s="1"/>
  <c r="Z64" i="11"/>
  <c r="Y66" i="11"/>
  <c r="AC88" i="11"/>
  <c r="AC124" i="11" s="1"/>
  <c r="AC133" i="11" s="1"/>
  <c r="M69" i="11"/>
  <c r="M150" i="11"/>
  <c r="L87" i="11"/>
  <c r="L98" i="11" s="1"/>
  <c r="L120" i="11" s="1"/>
  <c r="V109" i="2" l="1"/>
  <c r="D9" i="8"/>
  <c r="D10" i="8" s="1"/>
  <c r="F10" i="8" s="1"/>
  <c r="C57" i="8" s="1"/>
  <c r="AC93" i="11"/>
  <c r="M76" i="11"/>
  <c r="M78" i="11" s="1"/>
  <c r="M82" i="11" s="1"/>
  <c r="M116" i="11" s="1"/>
  <c r="M126" i="11"/>
  <c r="M133" i="11" s="1"/>
  <c r="M148" i="11" s="1"/>
  <c r="M151" i="11" s="1"/>
  <c r="AE88" i="11"/>
  <c r="AE93" i="11" s="1"/>
  <c r="AE58" i="11"/>
  <c r="AC132" i="11"/>
  <c r="AC64" i="11"/>
  <c r="L152" i="11"/>
  <c r="AB64" i="11"/>
  <c r="AA66" i="11"/>
  <c r="F9" i="8" l="1"/>
  <c r="C56" i="8" s="1"/>
  <c r="AE124" i="11"/>
  <c r="AE133" i="11" s="1"/>
  <c r="AE132" i="11"/>
  <c r="AE64" i="11"/>
  <c r="AD64" i="11"/>
  <c r="AC66" i="11"/>
  <c r="N150" i="11"/>
  <c r="N69" i="11"/>
  <c r="M87" i="11"/>
  <c r="M98" i="11" s="1"/>
  <c r="M118" i="11"/>
  <c r="M117" i="11"/>
  <c r="M119" i="11" s="1"/>
  <c r="N126" i="11" l="1"/>
  <c r="N133" i="11" s="1"/>
  <c r="N148" i="11" s="1"/>
  <c r="N151" i="11" s="1"/>
  <c r="N76" i="11"/>
  <c r="N78" i="11" s="1"/>
  <c r="N82" i="11" s="1"/>
  <c r="M120" i="11"/>
  <c r="AF64" i="11"/>
  <c r="AE66" i="11"/>
  <c r="M152" i="11"/>
  <c r="N116" i="11" l="1"/>
  <c r="O69" i="11"/>
  <c r="N87" i="11"/>
  <c r="O150" i="11"/>
  <c r="N98" i="11" l="1"/>
  <c r="N152" i="11"/>
  <c r="O76" i="11"/>
  <c r="O78" i="11" s="1"/>
  <c r="O82" i="11" s="1"/>
  <c r="O116" i="11" s="1"/>
  <c r="O126" i="11"/>
  <c r="O133" i="11" s="1"/>
  <c r="O148" i="11" s="1"/>
  <c r="O151" i="11" s="1"/>
  <c r="N117" i="11"/>
  <c r="N119" i="11" s="1"/>
  <c r="N118" i="11"/>
  <c r="N120" i="11" l="1"/>
  <c r="O117" i="11"/>
  <c r="O119" i="11" s="1"/>
  <c r="O118" i="11"/>
  <c r="O87" i="11"/>
  <c r="P150" i="11"/>
  <c r="P69" i="11"/>
  <c r="O98" i="11" l="1"/>
  <c r="O99" i="11" s="1"/>
  <c r="O152" i="11"/>
  <c r="P126" i="11"/>
  <c r="P133" i="11" s="1"/>
  <c r="P148" i="11" s="1"/>
  <c r="P151" i="11" s="1"/>
  <c r="P76" i="11"/>
  <c r="P78" i="11" s="1"/>
  <c r="P82" i="11" s="1"/>
  <c r="O120" i="11" l="1"/>
  <c r="Q150" i="11"/>
  <c r="P87" i="11"/>
  <c r="Q69" i="11"/>
  <c r="P116" i="11"/>
  <c r="P98" i="11" l="1"/>
  <c r="P118" i="11"/>
  <c r="Q76" i="11"/>
  <c r="Q78" i="11" s="1"/>
  <c r="Q82" i="11" s="1"/>
  <c r="Q142" i="11" s="1"/>
  <c r="Q126" i="11"/>
  <c r="Q133" i="11" s="1"/>
  <c r="P117" i="11"/>
  <c r="P119" i="11" s="1"/>
  <c r="P152" i="11"/>
  <c r="P120" i="11" l="1"/>
  <c r="Q116" i="11"/>
  <c r="Q144" i="11"/>
  <c r="Q148" i="11" s="1"/>
  <c r="Q151" i="11" s="1"/>
  <c r="Q115" i="11"/>
  <c r="Q118" i="11" l="1"/>
  <c r="R150" i="11"/>
  <c r="R69" i="11"/>
  <c r="Q87" i="11"/>
  <c r="Q117" i="11"/>
  <c r="Q119" i="11" s="1"/>
  <c r="Q98" i="11" l="1"/>
  <c r="Q120" i="11" s="1"/>
  <c r="Q152" i="11"/>
  <c r="R76" i="11"/>
  <c r="R78" i="11" s="1"/>
  <c r="R82" i="11" s="1"/>
  <c r="R126" i="11"/>
  <c r="R133" i="11" s="1"/>
  <c r="R142" i="11" l="1"/>
  <c r="R116" i="11"/>
  <c r="R118" i="11" l="1"/>
  <c r="R144" i="11"/>
  <c r="R148" i="11" s="1"/>
  <c r="R151" i="11" s="1"/>
  <c r="R115" i="11"/>
  <c r="S69" i="11" l="1"/>
  <c r="S150" i="11"/>
  <c r="R87" i="11"/>
  <c r="R117" i="11"/>
  <c r="R119" i="11" s="1"/>
  <c r="S88" i="2" l="1"/>
  <c r="T69" i="11"/>
  <c r="R98" i="11"/>
  <c r="R152" i="11"/>
  <c r="R120" i="11"/>
  <c r="S76" i="11"/>
  <c r="S78" i="11" s="1"/>
  <c r="S82" i="11" s="1"/>
  <c r="S126" i="11"/>
  <c r="V69" i="11" l="1"/>
  <c r="AH69" i="11" s="1"/>
  <c r="U69" i="11"/>
  <c r="T76" i="11"/>
  <c r="T88" i="2"/>
  <c r="U88" i="2"/>
  <c r="S93" i="2"/>
  <c r="V76" i="11"/>
  <c r="S133" i="11"/>
  <c r="V126" i="11"/>
  <c r="S142" i="11"/>
  <c r="S116" i="11"/>
  <c r="V116" i="11" l="1"/>
  <c r="AH116" i="11" s="1"/>
  <c r="S42" i="2"/>
  <c r="S45" i="2" s="1"/>
  <c r="W69" i="11"/>
  <c r="V88" i="2"/>
  <c r="T93" i="2"/>
  <c r="U76" i="11"/>
  <c r="T78" i="11"/>
  <c r="U93" i="2"/>
  <c r="S95" i="2"/>
  <c r="V133" i="11"/>
  <c r="AH133" i="11" s="1"/>
  <c r="AH126" i="11"/>
  <c r="V78" i="11"/>
  <c r="AH76" i="11"/>
  <c r="S118" i="11"/>
  <c r="S144" i="11"/>
  <c r="S148" i="11" s="1"/>
  <c r="S151" i="11" s="1"/>
  <c r="V142" i="11"/>
  <c r="S115" i="11"/>
  <c r="S103" i="2" l="1"/>
  <c r="U95" i="2"/>
  <c r="V93" i="2"/>
  <c r="T95" i="2"/>
  <c r="U78" i="11"/>
  <c r="T82" i="11"/>
  <c r="U82" i="11" s="1"/>
  <c r="D18" i="8"/>
  <c r="S46" i="2"/>
  <c r="V144" i="11"/>
  <c r="AH142" i="11"/>
  <c r="V82" i="11"/>
  <c r="AH78" i="11"/>
  <c r="S87" i="11"/>
  <c r="S117" i="11"/>
  <c r="S119" i="11" s="1"/>
  <c r="V115" i="11"/>
  <c r="S152" i="11" l="1"/>
  <c r="S11" i="2"/>
  <c r="S108" i="2"/>
  <c r="U103" i="2"/>
  <c r="S48" i="2"/>
  <c r="V95" i="2"/>
  <c r="T103" i="2"/>
  <c r="V117" i="11"/>
  <c r="AH117" i="11" s="1"/>
  <c r="AH115" i="11"/>
  <c r="AH82" i="11"/>
  <c r="W82" i="11"/>
  <c r="V148" i="11"/>
  <c r="AH144" i="11"/>
  <c r="V119" i="11"/>
  <c r="AH119" i="11" s="1"/>
  <c r="S98" i="11"/>
  <c r="S120" i="11" s="1"/>
  <c r="V87" i="11"/>
  <c r="W117" i="11" l="1"/>
  <c r="T108" i="2"/>
  <c r="D8" i="8"/>
  <c r="F8" i="8" s="1"/>
  <c r="C55" i="8" s="1"/>
  <c r="V103" i="2"/>
  <c r="U11" i="2"/>
  <c r="S25" i="2"/>
  <c r="V98" i="11"/>
  <c r="AH87" i="11"/>
  <c r="V151" i="11"/>
  <c r="AH148" i="11"/>
  <c r="D16" i="8" l="1"/>
  <c r="F16" i="8" s="1"/>
  <c r="U25" i="2"/>
  <c r="S47" i="2"/>
  <c r="AH151" i="11"/>
  <c r="Y150" i="11"/>
  <c r="Y69" i="11"/>
  <c r="V120" i="11"/>
  <c r="AH120" i="11" s="1"/>
  <c r="AH98" i="11"/>
  <c r="Y126" i="11" l="1"/>
  <c r="Y76" i="11"/>
  <c r="Z76" i="11" l="1"/>
  <c r="Y78" i="11"/>
  <c r="Y80" i="11" l="1"/>
  <c r="Y105" i="11" s="1"/>
  <c r="Y82" i="11" l="1"/>
  <c r="Y116" i="11" s="1"/>
  <c r="AA130" i="11"/>
  <c r="Y110" i="11"/>
  <c r="Z82" i="11" l="1"/>
  <c r="Y142" i="11"/>
  <c r="Y144" i="11" s="1"/>
  <c r="Y148" i="11" s="1"/>
  <c r="Y151" i="11" s="1"/>
  <c r="Y115" i="11" l="1"/>
  <c r="Y117" i="11" s="1"/>
  <c r="Y119" i="11" s="1"/>
  <c r="Z119" i="11" s="1"/>
  <c r="AA150" i="11"/>
  <c r="Y87" i="11"/>
  <c r="Y98" i="11" s="1"/>
  <c r="AA69" i="11"/>
  <c r="Y120" i="11" l="1"/>
  <c r="AA126" i="11"/>
  <c r="AA76" i="11"/>
  <c r="AB76" i="11" l="1"/>
  <c r="AA78" i="11"/>
  <c r="AA80" i="11" l="1"/>
  <c r="AA105" i="11" s="1"/>
  <c r="AA82" i="11" l="1"/>
  <c r="AC130" i="11"/>
  <c r="AA110" i="11"/>
  <c r="AA142" i="11" l="1"/>
  <c r="AA116" i="11"/>
  <c r="AB82" i="11"/>
  <c r="AA115" i="11" l="1"/>
  <c r="AA117" i="11" s="1"/>
  <c r="AA119" i="11" s="1"/>
  <c r="AB119" i="11" s="1"/>
  <c r="AA144" i="11"/>
  <c r="AA148" i="11" s="1"/>
  <c r="AA151" i="11" s="1"/>
  <c r="AC69" i="11" l="1"/>
  <c r="AA87" i="11"/>
  <c r="AA98" i="11" s="1"/>
  <c r="AA120" i="11" s="1"/>
  <c r="AC150" i="11"/>
  <c r="AC126" i="11" l="1"/>
  <c r="AC76" i="11"/>
  <c r="AD76" i="11" l="1"/>
  <c r="AC78" i="11"/>
  <c r="AC80" i="11" l="1"/>
  <c r="AC105" i="11" s="1"/>
  <c r="AC82" i="11" l="1"/>
  <c r="AC142" i="11" s="1"/>
  <c r="AE130" i="11"/>
  <c r="AC110" i="11"/>
  <c r="AD82" i="11" l="1"/>
  <c r="AC116" i="11"/>
  <c r="AC144" i="11"/>
  <c r="AC148" i="11" s="1"/>
  <c r="AC151" i="11" s="1"/>
  <c r="AC115" i="11"/>
  <c r="AC117" i="11" s="1"/>
  <c r="AC119" i="11" s="1"/>
  <c r="AD119" i="11" s="1"/>
  <c r="AC87" i="11" l="1"/>
  <c r="AC98" i="11" s="1"/>
  <c r="AC120" i="11" s="1"/>
  <c r="AE69" i="11"/>
  <c r="AE150" i="11"/>
  <c r="AE126" i="11" l="1"/>
  <c r="AE76" i="11"/>
  <c r="AE78" i="11" l="1"/>
  <c r="AE80" i="11" s="1"/>
  <c r="AE105" i="11" s="1"/>
  <c r="AE110" i="11" s="1"/>
  <c r="AF76" i="11"/>
  <c r="AE82" i="11" l="1"/>
  <c r="AE142" i="11" s="1"/>
  <c r="AF82" i="11" l="1"/>
  <c r="AE116" i="11"/>
  <c r="AE144" i="11"/>
  <c r="AE148" i="11" s="1"/>
  <c r="AE151" i="11" s="1"/>
  <c r="AE87" i="11" s="1"/>
  <c r="AE98" i="11" s="1"/>
  <c r="AE115" i="11"/>
  <c r="AE117" i="11" s="1"/>
  <c r="AE119" i="11" s="1"/>
  <c r="AF119" i="11" s="1"/>
  <c r="AE120" i="11" l="1"/>
  <c r="U34" i="2" l="1"/>
  <c r="B17" i="8"/>
  <c r="F17" i="8" s="1"/>
  <c r="Q34" i="2"/>
  <c r="E17" i="8" l="1"/>
  <c r="C45" i="2"/>
  <c r="C46" i="2" s="1"/>
  <c r="C47" i="2" s="1"/>
  <c r="D42" i="2"/>
  <c r="E42" i="2" s="1"/>
  <c r="E45" i="2" l="1"/>
  <c r="E46" i="2" s="1"/>
  <c r="E47" i="2" s="1"/>
  <c r="F42" i="2"/>
  <c r="D45" i="2"/>
  <c r="D46" i="2" s="1"/>
  <c r="D47" i="2" s="1"/>
  <c r="G42" i="2" l="1"/>
  <c r="F45" i="2"/>
  <c r="F46" i="2" s="1"/>
  <c r="F47" i="2" s="1"/>
  <c r="G45" i="2" l="1"/>
  <c r="G46" i="2" s="1"/>
  <c r="G47" i="2" s="1"/>
  <c r="H42" i="2"/>
  <c r="H45" i="2" l="1"/>
  <c r="H46" i="2" s="1"/>
  <c r="H47" i="2" s="1"/>
  <c r="I42" i="2"/>
  <c r="J42" i="2" s="1"/>
  <c r="U42" i="2" s="1"/>
  <c r="Q42" i="2" l="1"/>
  <c r="O45" i="2"/>
  <c r="I45" i="2"/>
  <c r="I46" i="2" s="1"/>
  <c r="I47" i="2" s="1"/>
  <c r="J45" i="2"/>
  <c r="J46" i="2" s="1"/>
  <c r="J47" i="2" s="1"/>
  <c r="Q45" i="2" l="1"/>
  <c r="U45" i="2"/>
  <c r="B18" i="8"/>
  <c r="O46" i="2"/>
  <c r="U46" i="2" s="1"/>
  <c r="O47" i="2" l="1"/>
  <c r="Q46" i="2"/>
  <c r="E18" i="8"/>
  <c r="F18" i="8"/>
  <c r="J78" i="10"/>
  <c r="P23" i="2" l="1"/>
  <c r="J100" i="10"/>
  <c r="J137" i="10" s="1"/>
  <c r="P25" i="2" l="1"/>
  <c r="Q23" i="2"/>
  <c r="C16" i="8" l="1"/>
  <c r="E16" i="8" s="1"/>
  <c r="Q25" i="2"/>
  <c r="P47" i="2"/>
</calcChain>
</file>

<file path=xl/comments1.xml><?xml version="1.0" encoding="utf-8"?>
<comments xmlns="http://schemas.openxmlformats.org/spreadsheetml/2006/main">
  <authors>
    <author>Erick</author>
  </authors>
  <commentList>
    <comment ref="L987" authorId="0">
      <text>
        <r>
          <rPr>
            <b/>
            <sz val="8"/>
            <color indexed="81"/>
            <rFont val="Tahoma"/>
            <family val="2"/>
          </rPr>
          <t>Erick:</t>
        </r>
        <r>
          <rPr>
            <sz val="8"/>
            <color indexed="81"/>
            <rFont val="Tahoma"/>
            <family val="2"/>
          </rPr>
          <t xml:space="preserve">
Proteksi XI</t>
        </r>
      </text>
    </comment>
  </commentList>
</comments>
</file>

<file path=xl/comments2.xml><?xml version="1.0" encoding="utf-8"?>
<comments xmlns="http://schemas.openxmlformats.org/spreadsheetml/2006/main">
  <authors>
    <author>bam</author>
  </authors>
  <commentList>
    <comment ref="C6" authorId="0">
      <text>
        <r>
          <rPr>
            <b/>
            <sz val="8"/>
            <color indexed="81"/>
            <rFont val="Tahoma"/>
            <family val="2"/>
          </rPr>
          <t>bam:</t>
        </r>
        <r>
          <rPr>
            <sz val="8"/>
            <color indexed="81"/>
            <rFont val="Tahoma"/>
            <family val="2"/>
          </rPr>
          <t xml:space="preserve">
LK = Laba Sebelum Pajak</t>
        </r>
      </text>
    </comment>
    <comment ref="B9" authorId="0">
      <text>
        <r>
          <rPr>
            <b/>
            <sz val="8"/>
            <color indexed="81"/>
            <rFont val="Tahoma"/>
            <family val="2"/>
          </rPr>
          <t>bam:</t>
        </r>
        <r>
          <rPr>
            <sz val="8"/>
            <color indexed="81"/>
            <rFont val="Tahoma"/>
            <family val="2"/>
          </rPr>
          <t xml:space="preserve">
Narik data dari Fix</t>
        </r>
      </text>
    </comment>
    <comment ref="B17" authorId="0">
      <text>
        <r>
          <rPr>
            <b/>
            <sz val="8"/>
            <color indexed="81"/>
            <rFont val="Tahoma"/>
            <family val="2"/>
          </rPr>
          <t>bam:</t>
        </r>
        <r>
          <rPr>
            <sz val="8"/>
            <color indexed="81"/>
            <rFont val="Tahoma"/>
            <family val="2"/>
          </rPr>
          <t xml:space="preserve">
LK = 521.01.04</t>
        </r>
      </text>
    </comment>
    <comment ref="B18" authorId="0">
      <text>
        <r>
          <rPr>
            <b/>
            <sz val="8"/>
            <color indexed="81"/>
            <rFont val="Tahoma"/>
            <family val="2"/>
          </rPr>
          <t>bam:</t>
        </r>
        <r>
          <rPr>
            <sz val="8"/>
            <color indexed="81"/>
            <rFont val="Tahoma"/>
            <family val="2"/>
          </rPr>
          <t xml:space="preserve">
LK = 415.01.01 + 415.01.02</t>
        </r>
      </text>
    </comment>
    <comment ref="B19" authorId="0">
      <text>
        <r>
          <rPr>
            <b/>
            <sz val="8"/>
            <color indexed="81"/>
            <rFont val="Tahoma"/>
            <family val="2"/>
          </rPr>
          <t>bam:</t>
        </r>
        <r>
          <rPr>
            <sz val="8"/>
            <color indexed="81"/>
            <rFont val="Tahoma"/>
            <family val="2"/>
          </rPr>
          <t xml:space="preserve">
LK = 415.01.03</t>
        </r>
      </text>
    </comment>
    <comment ref="B20" authorId="0">
      <text>
        <r>
          <rPr>
            <b/>
            <sz val="8"/>
            <color indexed="81"/>
            <rFont val="Tahoma"/>
            <family val="2"/>
          </rPr>
          <t>bam:</t>
        </r>
        <r>
          <rPr>
            <sz val="8"/>
            <color indexed="81"/>
            <rFont val="Tahoma"/>
            <family val="2"/>
          </rPr>
          <t xml:space="preserve">
LK = E520</t>
        </r>
      </text>
    </comment>
    <comment ref="B27" authorId="0">
      <text>
        <r>
          <rPr>
            <b/>
            <sz val="8"/>
            <color indexed="81"/>
            <rFont val="Tahoma"/>
            <family val="2"/>
          </rPr>
          <t>bam:</t>
        </r>
        <r>
          <rPr>
            <sz val="8"/>
            <color indexed="81"/>
            <rFont val="Tahoma"/>
            <family val="2"/>
          </rPr>
          <t xml:space="preserve">
Pajak Kini</t>
        </r>
      </text>
    </comment>
    <comment ref="B39" authorId="0">
      <text>
        <r>
          <rPr>
            <b/>
            <sz val="8"/>
            <color indexed="81"/>
            <rFont val="Tahoma"/>
            <family val="2"/>
          </rPr>
          <t>bam:</t>
        </r>
        <r>
          <rPr>
            <sz val="8"/>
            <color indexed="81"/>
            <rFont val="Tahoma"/>
            <family val="2"/>
          </rPr>
          <t xml:space="preserve">
Pajak Tangguhan</t>
        </r>
      </text>
    </comment>
    <comment ref="B51" authorId="0">
      <text>
        <r>
          <rPr>
            <b/>
            <sz val="8"/>
            <color indexed="81"/>
            <rFont val="Tahoma"/>
            <family val="2"/>
          </rPr>
          <t>bam:</t>
        </r>
        <r>
          <rPr>
            <sz val="8"/>
            <color indexed="81"/>
            <rFont val="Tahoma"/>
            <family val="2"/>
          </rPr>
          <t xml:space="preserve">
Ganti Rumus Link</t>
        </r>
      </text>
    </comment>
    <comment ref="B53" authorId="0">
      <text>
        <r>
          <rPr>
            <b/>
            <sz val="8"/>
            <color indexed="81"/>
            <rFont val="Tahoma"/>
            <family val="2"/>
          </rPr>
          <t>bam:</t>
        </r>
        <r>
          <rPr>
            <sz val="8"/>
            <color indexed="81"/>
            <rFont val="Tahoma"/>
            <family val="2"/>
          </rPr>
          <t xml:space="preserve">
Asset Pajak Tangguhan</t>
        </r>
      </text>
    </comment>
    <comment ref="B59" authorId="0">
      <text>
        <r>
          <rPr>
            <b/>
            <sz val="8"/>
            <color indexed="81"/>
            <rFont val="Tahoma"/>
            <family val="2"/>
          </rPr>
          <t>bam:</t>
        </r>
        <r>
          <rPr>
            <sz val="8"/>
            <color indexed="81"/>
            <rFont val="Tahoma"/>
            <family val="2"/>
          </rPr>
          <t xml:space="preserve">
LK = 511.01.04</t>
        </r>
      </text>
    </comment>
    <comment ref="B60" authorId="0">
      <text>
        <r>
          <rPr>
            <b/>
            <sz val="8"/>
            <color indexed="81"/>
            <rFont val="Tahoma"/>
            <family val="2"/>
          </rPr>
          <t>bam:</t>
        </r>
        <r>
          <rPr>
            <sz val="8"/>
            <color indexed="81"/>
            <rFont val="Tahoma"/>
            <family val="2"/>
          </rPr>
          <t xml:space="preserve">
LK = 523.01.16</t>
        </r>
      </text>
    </comment>
    <comment ref="B61" authorId="0">
      <text>
        <r>
          <rPr>
            <b/>
            <sz val="8"/>
            <color indexed="81"/>
            <rFont val="Tahoma"/>
            <family val="2"/>
          </rPr>
          <t>bam:</t>
        </r>
        <r>
          <rPr>
            <sz val="8"/>
            <color indexed="81"/>
            <rFont val="Tahoma"/>
            <family val="2"/>
          </rPr>
          <t xml:space="preserve">
LK = 511.01.13</t>
        </r>
      </text>
    </comment>
  </commentList>
</comments>
</file>

<file path=xl/comments3.xml><?xml version="1.0" encoding="utf-8"?>
<comments xmlns="http://schemas.openxmlformats.org/spreadsheetml/2006/main">
  <authors>
    <author>mam</author>
  </authors>
  <commentList>
    <comment ref="D244" authorId="0">
      <text>
        <r>
          <rPr>
            <sz val="9"/>
            <color indexed="81"/>
            <rFont val="Tahoma"/>
            <family val="2"/>
          </rPr>
          <t xml:space="preserve">Dividen
</t>
        </r>
      </text>
    </comment>
    <comment ref="E244" authorId="0">
      <text>
        <r>
          <rPr>
            <sz val="9"/>
            <color indexed="81"/>
            <rFont val="Tahoma"/>
            <family val="2"/>
          </rPr>
          <t xml:space="preserve">Dividen
</t>
        </r>
      </text>
    </comment>
  </commentList>
</comments>
</file>

<file path=xl/sharedStrings.xml><?xml version="1.0" encoding="utf-8"?>
<sst xmlns="http://schemas.openxmlformats.org/spreadsheetml/2006/main" count="5634" uniqueCount="1950">
  <si>
    <t>PT  MNC ASSET MANAGEMENT</t>
  </si>
  <si>
    <t>LAPORAN POSISI KEUANGAN</t>
  </si>
  <si>
    <t>PERIODE 30 APRIL 2017 DAN 2016</t>
  </si>
  <si>
    <t>ASET</t>
  </si>
  <si>
    <t>Catatan</t>
  </si>
  <si>
    <t>30 April 2017</t>
  </si>
  <si>
    <t>31 Maret 2017</t>
  </si>
  <si>
    <t>30 April 2016</t>
  </si>
  <si>
    <t>Selisih +/-</t>
  </si>
  <si>
    <t>%</t>
  </si>
  <si>
    <t>LIABILITAS</t>
  </si>
  <si>
    <t>KAS DAN SETARA KAS</t>
  </si>
  <si>
    <t>1</t>
  </si>
  <si>
    <t>UTANG LAIN - LAIN</t>
  </si>
  <si>
    <t xml:space="preserve">       Pihak ketiga</t>
  </si>
  <si>
    <t>PIUTANG USAHA</t>
  </si>
  <si>
    <t xml:space="preserve">     Pihak ketiga</t>
  </si>
  <si>
    <t>UTANG PAJAK</t>
  </si>
  <si>
    <t>PIUTANG LAIN-LAIN</t>
  </si>
  <si>
    <t>UTANG PEMBIAYAAN</t>
  </si>
  <si>
    <t>PORTOFOLIO EFEK</t>
  </si>
  <si>
    <t>LIABILITAS PAJAK TANGGUHAN</t>
  </si>
  <si>
    <t>JUMLAH LIABILITAS</t>
  </si>
  <si>
    <t>PORTOFOLIO LAINNYA</t>
  </si>
  <si>
    <t>PAJAK DIBAYAR DIMUKA</t>
  </si>
  <si>
    <t>UANG MUKA DAN BIAYA DIBAYAR DIMUKA</t>
  </si>
  <si>
    <t>TAGIHAN PAJAK PENGHASILAN</t>
  </si>
  <si>
    <t>EKUITAS</t>
  </si>
  <si>
    <t>165.01.05 - AKTIVA PAJAK TANGGUHAN</t>
  </si>
  <si>
    <t>ASET PAJAK TANGGUHAN</t>
  </si>
  <si>
    <t>Modal Saham - nilai nominal</t>
  </si>
  <si>
    <t>219.01.07 - KEWAJIBAN  PAJAK TANGGUHAN</t>
  </si>
  <si>
    <t xml:space="preserve">   Rp. 1,000,- per lembar Saham</t>
  </si>
  <si>
    <t>ASET TETAP</t>
  </si>
  <si>
    <t xml:space="preserve"> </t>
  </si>
  <si>
    <t>Modal ditempatkan dan disetor penuh</t>
  </si>
  <si>
    <t xml:space="preserve">26.260.000 saham pada tahun 2016 dan </t>
  </si>
  <si>
    <t xml:space="preserve">     Biaya Perolehan</t>
  </si>
  <si>
    <t>25.000.000 saham pada tahun 2015</t>
  </si>
  <si>
    <t xml:space="preserve">     Akumulasi Penyusutan</t>
  </si>
  <si>
    <t>330.01.01 - SALDO LABA TAHUN LALU</t>
  </si>
  <si>
    <t>Laba tahun lalu</t>
  </si>
  <si>
    <t>Saldo Laba periode berjalan</t>
  </si>
  <si>
    <t>ASET TAKBERWUJUD</t>
  </si>
  <si>
    <t>Keuntungan(kerugian) belum direalisasi</t>
  </si>
  <si>
    <t>Uang Muka Modal Di Setor</t>
  </si>
  <si>
    <t>ASET LAIN - LAIN</t>
  </si>
  <si>
    <t>Pendapatan Komprehensif Income  (OCI)</t>
  </si>
  <si>
    <t>312.01.04 - KEUNTUNGAN (KERUGIAN)BELUM DIREALISASI</t>
  </si>
  <si>
    <t xml:space="preserve"> Keuntungan(kerugian) belum direalisasi</t>
  </si>
  <si>
    <t>JUMLAH EKUITAS</t>
  </si>
  <si>
    <t>JUMLAH ASET</t>
  </si>
  <si>
    <t>JUMLAH LIABILITAS &amp; EKUITAS</t>
  </si>
  <si>
    <t>LAPORAN LABA RUGI</t>
  </si>
  <si>
    <t>s/d  30 April 2017</t>
  </si>
  <si>
    <t>s/d  30 April 2016</t>
  </si>
  <si>
    <t>Selisih</t>
  </si>
  <si>
    <t>PENDAPATAN USAHA</t>
  </si>
  <si>
    <t>Jasa manajer investasi</t>
  </si>
  <si>
    <t>412.01.01 - SELLING FEE</t>
  </si>
  <si>
    <t>Selling Fee</t>
  </si>
  <si>
    <t>Jumlah Pendapatan</t>
  </si>
  <si>
    <t xml:space="preserve">BEBAN USAHA </t>
  </si>
  <si>
    <t>Beban kepegawaian</t>
  </si>
  <si>
    <t xml:space="preserve">Referral Fee </t>
  </si>
  <si>
    <t>Iklan dan promosi</t>
  </si>
  <si>
    <t>Sewa Kantor</t>
  </si>
  <si>
    <t>Sewa Kendaraan</t>
  </si>
  <si>
    <t>Beban kantor</t>
  </si>
  <si>
    <t>Penyedia Jasa Tenaga Kerja</t>
  </si>
  <si>
    <t>Penyusutan</t>
  </si>
  <si>
    <t>Jamuan dan sumbangan</t>
  </si>
  <si>
    <t>Komunikasi dan informasi</t>
  </si>
  <si>
    <t>Jasa tenaga ahli</t>
  </si>
  <si>
    <t>Perjalanan dinas dan transportasi</t>
  </si>
  <si>
    <t>Amortisasi</t>
  </si>
  <si>
    <t xml:space="preserve">Beban Retur Komisi </t>
  </si>
  <si>
    <t>Beban Pajak</t>
  </si>
  <si>
    <t>Beban Pemeliharaan</t>
  </si>
  <si>
    <t>Lain-lain</t>
  </si>
  <si>
    <t>Jumlah Beban Usaha</t>
  </si>
  <si>
    <t>LABA USAHA</t>
  </si>
  <si>
    <t>PENGHASILAN (BEBAN) LAIN-LAIN</t>
  </si>
  <si>
    <t>Pendapatan bunga - bersih</t>
  </si>
  <si>
    <t>Beban bunga dan keuangan</t>
  </si>
  <si>
    <t>Lain-lain - bersih</t>
  </si>
  <si>
    <t>Laba (Rugi) Selisih kurs</t>
  </si>
  <si>
    <t>Keuntungan penjualan efek</t>
  </si>
  <si>
    <t>Perubahan nilai wajar efek diperdagangkan</t>
  </si>
  <si>
    <t>Pendapatan dividen dan kupon obligasi</t>
  </si>
  <si>
    <t>Beban Lain - lain</t>
  </si>
  <si>
    <t>Penghasilan Lain-lain - Bersih</t>
  </si>
  <si>
    <t>LABA SEBELUM BEBAN PAJAK PENGHASILAN</t>
  </si>
  <si>
    <t>BEBAN PAJAK PENGHASILAN</t>
  </si>
  <si>
    <t>Pajak kini</t>
  </si>
  <si>
    <t>Pajak tangguhan</t>
  </si>
  <si>
    <t xml:space="preserve">JUMLAH BEBAN PAJAK PENGHASILAN </t>
  </si>
  <si>
    <t xml:space="preserve">LABA BERSIH </t>
  </si>
  <si>
    <t>LAPORAN PERUBAHAN LABA TAHUN BERJALAN</t>
  </si>
  <si>
    <t>SALDO LABA S/D BULAN LALU</t>
  </si>
  <si>
    <t>LABA (RUGI)  PERIODE BERJALAN</t>
  </si>
  <si>
    <t>SALDO LABA</t>
  </si>
  <si>
    <t>LAPORAN PERUBAHAN EKUITAS</t>
  </si>
  <si>
    <t>Modal Saham</t>
  </si>
  <si>
    <t>Saldo Laba</t>
  </si>
  <si>
    <t>Jumlah Ekuitas</t>
  </si>
  <si>
    <t>Saldo Per 1 Januari 2016</t>
  </si>
  <si>
    <t>Laba Konprehensif Periode Berjalan</t>
  </si>
  <si>
    <t>Dividen</t>
  </si>
  <si>
    <t>Saldo Per 31 Maret 2016</t>
  </si>
  <si>
    <t>Saldo Per 1 Januari 2017</t>
  </si>
  <si>
    <t>Laba Komprehensif Periode Berjalan</t>
  </si>
  <si>
    <t>Komponen Ekuitas Lainnya</t>
  </si>
  <si>
    <t>Saldo Per 31 Maret 2017</t>
  </si>
  <si>
    <t>CATATAN ATAS LAPORAN KEUANGAN</t>
  </si>
  <si>
    <t>1.</t>
  </si>
  <si>
    <t>Kas</t>
  </si>
  <si>
    <t xml:space="preserve">    Rupiah</t>
  </si>
  <si>
    <t>Bank</t>
  </si>
  <si>
    <t xml:space="preserve">   Pihak ketiga</t>
  </si>
  <si>
    <t xml:space="preserve">      Rupiah </t>
  </si>
  <si>
    <t xml:space="preserve">      Dollar</t>
  </si>
  <si>
    <t>Deposito Berjangka</t>
  </si>
  <si>
    <t xml:space="preserve">      Bank Mutiara</t>
  </si>
  <si>
    <t xml:space="preserve">      Bank MNC USD</t>
  </si>
  <si>
    <t xml:space="preserve">      Bank Victoria</t>
  </si>
  <si>
    <t xml:space="preserve">      Bank BJB Syariah</t>
  </si>
  <si>
    <t xml:space="preserve">      Bank Bukopin</t>
  </si>
  <si>
    <t xml:space="preserve">      Bank Capital Indonesia</t>
  </si>
  <si>
    <t xml:space="preserve">      Bank BTPN SYARIAH</t>
  </si>
  <si>
    <t>Jumlah</t>
  </si>
  <si>
    <t>2.</t>
  </si>
  <si>
    <t>3.</t>
  </si>
  <si>
    <t>Piutang Lain-lain</t>
  </si>
  <si>
    <t>4.</t>
  </si>
  <si>
    <t>Portofolio terdiri ;</t>
  </si>
  <si>
    <t>Price</t>
  </si>
  <si>
    <t>AFS  :</t>
  </si>
  <si>
    <t>122.01.01 - PORTOFOLIO SAHAM - BMTR</t>
  </si>
  <si>
    <t xml:space="preserve">     - BMTR                          (8,530,500 lbr)</t>
  </si>
  <si>
    <t>122.01.05 - PORTOFOLIO SAHAM - MNCN</t>
  </si>
  <si>
    <t xml:space="preserve">     - MNCN                         (1,003,500 lbr)</t>
  </si>
  <si>
    <t>FVTPL</t>
  </si>
  <si>
    <t>122.01.04 - PORTOFOLIO SAHAM - FREN</t>
  </si>
  <si>
    <t xml:space="preserve">     - FREN                            (81 lbr)</t>
  </si>
  <si>
    <t>122.01.03 - PORTOFOLIO SAHAM - IATA</t>
  </si>
  <si>
    <t xml:space="preserve">     - IATA                           (253,122,990 lbr)</t>
  </si>
  <si>
    <t>122.01.08 - PORTOFOLIO SAHAM - MSKY</t>
  </si>
  <si>
    <t xml:space="preserve">     - MSKY                          (659,700 lbr)</t>
  </si>
  <si>
    <t>122.01.10 - PORTOFOLIO SAHAM - KPIG</t>
  </si>
  <si>
    <t xml:space="preserve">     - KPIG                             (325,000 lbr)</t>
  </si>
  <si>
    <t>122.01.11 - PORTOFOLIO SAHAM - BABP</t>
  </si>
  <si>
    <t xml:space="preserve">     - BABP                           (4,300,000 lbr)</t>
  </si>
  <si>
    <t xml:space="preserve">     - IATA                           (3,122,990 lbr)</t>
  </si>
  <si>
    <t>122.03.17 - REKSADANA PENYERTAAN TERBATAS MNC DANA MULTISEKTOR I</t>
  </si>
  <si>
    <t>122.03.19 - REKSADANA DANA MNC DANA PENDAPATAN TETAP IV</t>
  </si>
  <si>
    <t>122.03.13 - REKSADANA DANA MNC DANA LANCAR</t>
  </si>
  <si>
    <t>Reksadana dana mnc dana Lancar</t>
  </si>
  <si>
    <t>122.03.11 - REKSADANA MNC DANA SYARIAH KOMBINASI</t>
  </si>
  <si>
    <t>Reksadana dana mnc dana syariah kombinasi</t>
  </si>
  <si>
    <t>Reksadana dana mnc dana  kombinasi konsumen</t>
  </si>
  <si>
    <t>Reksadana dana mnc dana pendapatan tetap II</t>
  </si>
  <si>
    <t>122.03.15 - REKSADANA DANA MNC DANA SAHAM</t>
  </si>
  <si>
    <t xml:space="preserve">Reksadana dana mnc dana Saham </t>
  </si>
  <si>
    <t>122.03.16 - REKSADANA DANA MNC DANA SAHAM II</t>
  </si>
  <si>
    <t>Reksadana dana mnc dana Saham II</t>
  </si>
  <si>
    <t>Reksadana Penyertaan terbatas mnc dana Multisektor I</t>
  </si>
  <si>
    <t>122.03.18 - REKSADANA MNC DANA EKUITAS</t>
  </si>
  <si>
    <t>Reksadana dana mnc dana Ekuitas</t>
  </si>
  <si>
    <t>Reksadana MNC Dana Pendapatan Tetap IV</t>
  </si>
  <si>
    <t>30 DESember 2015</t>
  </si>
  <si>
    <t>5.</t>
  </si>
  <si>
    <t>Investasi Lainnya</t>
  </si>
  <si>
    <t>Obligasi</t>
  </si>
  <si>
    <t>Total</t>
  </si>
  <si>
    <t>7.</t>
  </si>
  <si>
    <t>PPN Masukan</t>
  </si>
  <si>
    <t>6.</t>
  </si>
  <si>
    <t xml:space="preserve">UANG MUKA DAN BIAYA DIBAYAR </t>
  </si>
  <si>
    <t>DIMUKA</t>
  </si>
  <si>
    <t>Uang Muka :</t>
  </si>
  <si>
    <t>164.01.01 - UANG MUKA LAIN-LAIN</t>
  </si>
  <si>
    <t>Uang muka lain-lain</t>
  </si>
  <si>
    <t>Sub Total</t>
  </si>
  <si>
    <t>Biaya dibayar Dimuka :</t>
  </si>
  <si>
    <t>163.01.01 - PREMI ASURANSI KESEHATAN</t>
  </si>
  <si>
    <t xml:space="preserve">Asuransi Kesehatan </t>
  </si>
  <si>
    <t>163.01.04 - PREMI ASURANSI MOBIL AVANZA</t>
  </si>
  <si>
    <t>Asuransi Toyota Avanza</t>
  </si>
  <si>
    <t>Sewa MNC Tower Lt-1 &amp; 2</t>
  </si>
  <si>
    <t>Sewa Kantor Bandung</t>
  </si>
  <si>
    <t>Asuransi New BMW 320 i</t>
  </si>
  <si>
    <t>Sewa Kantor Surabaya</t>
  </si>
  <si>
    <t>163.01.06 - PREMI ASURANSI XENIA (2 UNIT)</t>
  </si>
  <si>
    <t>Asuransi Xenia ( 2 unit)</t>
  </si>
  <si>
    <t>163.01.07 - PREMI ASURANSI AVANZA B 1527 PKT</t>
  </si>
  <si>
    <t>Asuransi Avanza B 1527 PKT</t>
  </si>
  <si>
    <t>Sewa Kantor Pluit</t>
  </si>
  <si>
    <t>163.01.08 - PREMI ASURANSI AVANZA 1.3 G MANUAL (3 UNIT)</t>
  </si>
  <si>
    <t>Asuransi Avanza 1.3 G Manual (3 Unit)</t>
  </si>
  <si>
    <t>163.02.01 - BIAYA DITANGGUHKAN SEWA GEDUNG MNC FINANCIAL CENTRE</t>
  </si>
  <si>
    <t>Sewa Gedung MNC Financial Center</t>
  </si>
  <si>
    <t>Asuransi Jiwa</t>
  </si>
  <si>
    <t>163.01.09 - PREMI ASURANSI BMW 320i LUXURY</t>
  </si>
  <si>
    <t>Asuransi BMW 320 i Luxury</t>
  </si>
  <si>
    <t>Langganan Bloomberg</t>
  </si>
  <si>
    <t>Langganan RTI/IBPA</t>
  </si>
  <si>
    <t>Asuransi Nissan X-trail Urban Selection</t>
  </si>
  <si>
    <t>Sewa Kantor Kelapa Gading</t>
  </si>
  <si>
    <t>Asuransi Toyota Vellfire ZG</t>
  </si>
  <si>
    <t>163.01.03 - PREMI ASURANSI KENDARAAN MOTOR</t>
  </si>
  <si>
    <t>Asuransi Motor Operasional</t>
  </si>
  <si>
    <t>163.01.12 - PREMI ASURANSI TOYOTA INNOVA G 2.0 MT</t>
  </si>
  <si>
    <t>Asuransi Toyota Inova G 2.0 MT</t>
  </si>
  <si>
    <t>163.01.13 - PREMI ASURANSI TOYOTA AVANZA G 1.3 MT</t>
  </si>
  <si>
    <t>Asuransi Toyota Avanza G 1.3 MT</t>
  </si>
  <si>
    <t>Sewa Kantor Mangga Dua</t>
  </si>
  <si>
    <t>162.05.00 - KEANGGOTAAN</t>
  </si>
  <si>
    <t>Keanggotaan</t>
  </si>
  <si>
    <t>163.03.02 - BIAYA DITANGGUHKAN LANGGANAN RTI/IBPA</t>
  </si>
  <si>
    <t>Biaya Ditangguhkan Langganan Rti/Ibpa</t>
  </si>
  <si>
    <t>163.03.03 - BIAYA DIBAYAR DIMUKA EQUITY LINK ADVERTISING</t>
  </si>
  <si>
    <t>Biaya Dibayar Dimuka Equty Link Advertising</t>
  </si>
  <si>
    <t>163.01.14 - PREMI ASURANSI BMW 320 I AT E90</t>
  </si>
  <si>
    <t>Asuransi BMW 320 I AT E90</t>
  </si>
  <si>
    <t>Biaya Ditangguhkan Biaya Pajak</t>
  </si>
  <si>
    <t>163.01.15 - PREMI ASURANSI TOYOTA ALPHARD G AT 2.5</t>
  </si>
  <si>
    <t>Asuransi Toyota Alphard G AT 2.5</t>
  </si>
  <si>
    <t>163.02.08 - BIAYA DITANGGUHKAN SEWA KANTOR PEKANBARU</t>
  </si>
  <si>
    <t>Sewa Kantor Pekanbaru</t>
  </si>
  <si>
    <t>163.01.16 - PREMI ASURANSI CLOUD SERVER</t>
  </si>
  <si>
    <t>Premi Asuransi Cloud Server</t>
  </si>
  <si>
    <t>165.01.01 - PPH PASAL 23</t>
  </si>
  <si>
    <t>Pph ps. 23</t>
  </si>
  <si>
    <t>165.01.02 - PPH PASAL 25</t>
  </si>
  <si>
    <t>Pph ps. 25</t>
  </si>
  <si>
    <t>165.01.04 - RESTITUSI PAJAK</t>
  </si>
  <si>
    <t>Restitusi Pajak</t>
  </si>
  <si>
    <t>8.</t>
  </si>
  <si>
    <t xml:space="preserve">Saldo </t>
  </si>
  <si>
    <t>Mutasi</t>
  </si>
  <si>
    <t>1 Januari 2017</t>
  </si>
  <si>
    <t xml:space="preserve">Biaya Perolehan </t>
  </si>
  <si>
    <t xml:space="preserve">   Partisi</t>
  </si>
  <si>
    <t xml:space="preserve">   Kendaraan bermotor</t>
  </si>
  <si>
    <t xml:space="preserve">   Peralatan Kantor</t>
  </si>
  <si>
    <t xml:space="preserve">   Mobil Leasing</t>
  </si>
  <si>
    <t>Akumulasi Penyusutan</t>
  </si>
  <si>
    <t>Depresiasi control</t>
  </si>
  <si>
    <t>Jumlah Tercatat</t>
  </si>
  <si>
    <t>1 Januari 2016</t>
  </si>
  <si>
    <t>9.</t>
  </si>
  <si>
    <t>ASET TAK BERWUJUD</t>
  </si>
  <si>
    <t>Software SIAP SIAR</t>
  </si>
  <si>
    <t>173.01.01 - AMORTISASI SOFTWARE SIAP SIAR</t>
  </si>
  <si>
    <t>10.</t>
  </si>
  <si>
    <t>ASET LAIN-LAIN</t>
  </si>
  <si>
    <t>Deposit Telpon Mangga Dua</t>
  </si>
  <si>
    <t>162.01.02 - DEPOSIT TELEPON TAIS SURABAYA</t>
  </si>
  <si>
    <t>Deposit Telpon TAIS Surabaya</t>
  </si>
  <si>
    <t>Deposit Telpon Gedung Bhakti Denpasar</t>
  </si>
  <si>
    <t>Deposit Telpon Singgasana Makassar</t>
  </si>
  <si>
    <t>162.01.04 - DEPOSIT TELEPON WISMA CIMB BANDUNG</t>
  </si>
  <si>
    <t>Deposit Telpon Wisma CIMB Bandung</t>
  </si>
  <si>
    <t>162.01.05 - DEPOSIT TELEPON MNC TOWER</t>
  </si>
  <si>
    <t>Deposit Telpon MNC Tower</t>
  </si>
  <si>
    <t>162.02.01 - DEPOSIT GEDUNG BIMANTARA</t>
  </si>
  <si>
    <t>Deposit Gedung MNC Tower</t>
  </si>
  <si>
    <t>162.02.02 - DEPOSIT WISMA CIMB BANDUNG</t>
  </si>
  <si>
    <t>Deposit Wisma CIMB Bandung</t>
  </si>
  <si>
    <t>162.02.03 - DEPOSIT GEDUNG TAIS SURABAYA</t>
  </si>
  <si>
    <t>Deposit Gedung TAIS Surabaya</t>
  </si>
  <si>
    <t>Deposit Gedung Bhakti Denpasar</t>
  </si>
  <si>
    <t>Deposit Kantor Pluit</t>
  </si>
  <si>
    <t>162.02.06 - DEPOSIT KANTOR GEDUNG FINANCIAL CENTER</t>
  </si>
  <si>
    <t>Deposit Gedung Financial Center</t>
  </si>
  <si>
    <t>162.03.01 - DEPOSIT MESIN FOTOCOPY</t>
  </si>
  <si>
    <t>Deposit Mesin Foto Copy</t>
  </si>
  <si>
    <t>168.01.01 - ASET DALAM PENYELESAIAN</t>
  </si>
  <si>
    <t>Aset Dalam Penyelesaian</t>
  </si>
  <si>
    <t>Deposit Gedung MNC Financial Centre</t>
  </si>
  <si>
    <t>Logam Mulia (Emas)</t>
  </si>
  <si>
    <t>162.02.07 - DEPOSIT KANTOR CAB MEDAN</t>
  </si>
  <si>
    <t>Deposit Kantor Cab Medan</t>
  </si>
  <si>
    <t>162.02.08 - DEPOSIT KANTOR CAB RIAU</t>
  </si>
  <si>
    <t>Deposit Kantor Cab Riau</t>
  </si>
  <si>
    <t>Deposit Kantor Cab Makassar</t>
  </si>
  <si>
    <t>162.01.08 - DEPOSIT BBM KENDARAAN OPERASIONAL</t>
  </si>
  <si>
    <t>Deposit BBM Kendaraan Operasional</t>
  </si>
  <si>
    <t>162.01.09 - DEPOSIT PEMBUKAAN R/K</t>
  </si>
  <si>
    <t>Deposit Pembukaan R/K</t>
  </si>
  <si>
    <t>11.</t>
  </si>
  <si>
    <t>UTANG LAIN-LAIN</t>
  </si>
  <si>
    <t>Pihak ketiga :</t>
  </si>
  <si>
    <t>Astek dan Danapera 2016 serta 2015</t>
  </si>
  <si>
    <t>220.01.03 - HUTANG BIAYA</t>
  </si>
  <si>
    <t>Biaya yang masih harus dibayar</t>
  </si>
  <si>
    <t>220.01.06 - KEWAJIBAN IMBALAN KERJA</t>
  </si>
  <si>
    <t>Kewajiban Imbalan Kerja</t>
  </si>
  <si>
    <t>223.03.01 - HUTANG LAIN-LAIN</t>
  </si>
  <si>
    <t>223.04.01 - PEMBELIAN INVENTARIS</t>
  </si>
  <si>
    <t>Pembelian aset tetap</t>
  </si>
  <si>
    <t>Pembelian Obligasi</t>
  </si>
  <si>
    <t>214.03.01 - HUTANG SEMENTARA</t>
  </si>
  <si>
    <t xml:space="preserve">Pinjaman sementara </t>
  </si>
  <si>
    <t xml:space="preserve">                      Sub total</t>
  </si>
  <si>
    <t>12.</t>
  </si>
  <si>
    <t xml:space="preserve">   Pajak Penghasilan</t>
  </si>
  <si>
    <t>219.01.01 - PPH 21</t>
  </si>
  <si>
    <t xml:space="preserve">        Pasal 21</t>
  </si>
  <si>
    <t>219.01.02 - PPH 23</t>
  </si>
  <si>
    <t xml:space="preserve">        Pasal 23</t>
  </si>
  <si>
    <t xml:space="preserve">        Pasal 25</t>
  </si>
  <si>
    <t>219.01.04 - PPH 26</t>
  </si>
  <si>
    <t xml:space="preserve">        Pasal 26</t>
  </si>
  <si>
    <t xml:space="preserve">        Pasal 29</t>
  </si>
  <si>
    <t>219.01.05 - PPN</t>
  </si>
  <si>
    <t xml:space="preserve">        Pajak Pertambahan Nilai</t>
  </si>
  <si>
    <t>219.01.08 - PPH 4 AYAT 2</t>
  </si>
  <si>
    <t xml:space="preserve">        Pasal 4 Ayat 2</t>
  </si>
  <si>
    <t>165.01.03 - PPN MASUKAN</t>
  </si>
  <si>
    <t xml:space="preserve">        PPN Masukan</t>
  </si>
  <si>
    <t>13.</t>
  </si>
  <si>
    <t>Pihak berelasi</t>
  </si>
  <si>
    <t xml:space="preserve">        PT MNC Finance - New Toyota Camry 2.4 V</t>
  </si>
  <si>
    <t xml:space="preserve">        PT MNC Finance - New Toyota Avanza</t>
  </si>
  <si>
    <t xml:space="preserve">        PT MNC Finance - New Nissan X-Trail</t>
  </si>
  <si>
    <t xml:space="preserve">        PT MNC Finance - New Toyota Avanza G Manual</t>
  </si>
  <si>
    <t xml:space="preserve">        PT MNC Finance - BMW 320i Luxury</t>
  </si>
  <si>
    <t xml:space="preserve">        PT MNC Finance - Nissan X-Trail Urban Selection</t>
  </si>
  <si>
    <t xml:space="preserve">        PT MNC Finance - Toyota Vellfire ZG</t>
  </si>
  <si>
    <t xml:space="preserve">        PT MNC Finance - Toyota InDESa G 2.0 MT</t>
  </si>
  <si>
    <t xml:space="preserve">        PT MNC Finance - Toyota Avanza G 1.3 MT</t>
  </si>
  <si>
    <t>223.01.06 - MFIN - BMW 320i SPORT</t>
  </si>
  <si>
    <t xml:space="preserve">        PT MNC Finance - BMW 320i Sport</t>
  </si>
  <si>
    <t>223.01.07 - MFIN - TOYOTA ALPHARD G AT 2,5</t>
  </si>
  <si>
    <t xml:space="preserve">        PT MNC Finance - Toyota Alphard G AT 2.5</t>
  </si>
  <si>
    <t xml:space="preserve">Jumlah </t>
  </si>
  <si>
    <t>14.</t>
  </si>
  <si>
    <t>MODAL SAHAM</t>
  </si>
  <si>
    <t>Pemegang Saham</t>
  </si>
  <si>
    <t>Persentase</t>
  </si>
  <si>
    <t>Jumlah lembar</t>
  </si>
  <si>
    <t>Kepemilikan</t>
  </si>
  <si>
    <t>Saham</t>
  </si>
  <si>
    <t>Modal Disetor</t>
  </si>
  <si>
    <t>PT. MNC Kapital Indonesia Tbk</t>
  </si>
  <si>
    <t>Kopkar BHIT</t>
  </si>
  <si>
    <t xml:space="preserve">LAMPIRAN I : </t>
  </si>
  <si>
    <t>PT. MNC ASSET MANAGEMENT</t>
  </si>
  <si>
    <t>PERINCIAN LAPORAN LABA DAN RUGI</t>
  </si>
  <si>
    <t>Jasa Pengelolaan Investasi :</t>
  </si>
  <si>
    <t>Fee Manager Investasi</t>
  </si>
  <si>
    <t xml:space="preserve">Jasa Pengelolaan Investasi </t>
  </si>
  <si>
    <t>Jasa Pendapatan Bagi Hasil :</t>
  </si>
  <si>
    <t>Pendapatan Bagi Hasil</t>
  </si>
  <si>
    <t>Jasa Pendapatan Bagi Hasil</t>
  </si>
  <si>
    <t>BEBAN USAHA</t>
  </si>
  <si>
    <t>Beban Kepegawaian</t>
  </si>
  <si>
    <t xml:space="preserve">  </t>
  </si>
  <si>
    <t>511.01.01 - GAJI KARYAWAN</t>
  </si>
  <si>
    <t xml:space="preserve">Gaji </t>
  </si>
  <si>
    <t>Lembur</t>
  </si>
  <si>
    <t>511.01.04 - TUNJANGAN PENGOBATAN</t>
  </si>
  <si>
    <t>Beban Pengobatan Karyawan</t>
  </si>
  <si>
    <t>Tunjangan Hari Raya</t>
  </si>
  <si>
    <t>511.01.06 - PAJAK PPH 21</t>
  </si>
  <si>
    <t>Tunjangan PPH 21</t>
  </si>
  <si>
    <t>511.01.07 - ASTEK</t>
  </si>
  <si>
    <t>Beban Astek</t>
  </si>
  <si>
    <t>Bonus</t>
  </si>
  <si>
    <t>511.01.10 - KOMISI SALES</t>
  </si>
  <si>
    <t>Komisi Sales</t>
  </si>
  <si>
    <t>511.01.11 - DANA PENSIUN</t>
  </si>
  <si>
    <t>Dana Pensiun</t>
  </si>
  <si>
    <t>511.01.13 - ASURANSI JIWA KARYAWAN</t>
  </si>
  <si>
    <t>511.01.14 - PELATIHAN/TRAINING/SEMINAR</t>
  </si>
  <si>
    <t>Pelatihan dan Training</t>
  </si>
  <si>
    <t>511.01.15 - ASURANSI KESEHATAN</t>
  </si>
  <si>
    <t>Asuransi Kesehatan</t>
  </si>
  <si>
    <t>Cadangan Imbalan Kerja</t>
  </si>
  <si>
    <t>511.02.04 - TUNJANGAN PENGOBATAN SALES</t>
  </si>
  <si>
    <t>Tunjangan Pengobatan Sales</t>
  </si>
  <si>
    <t>Sewa Kantor:</t>
  </si>
  <si>
    <t>Sewa Lantai 1 ( MNC Tower )</t>
  </si>
  <si>
    <t>Sewa TAIS Surabaya</t>
  </si>
  <si>
    <t>551.01.03 - SEWA KANTOR CABANG BANDUNG</t>
  </si>
  <si>
    <t>Sewa CIMB Niaga Bandung</t>
  </si>
  <si>
    <t>Sewa Lantai 2 ( MNC Tower )</t>
  </si>
  <si>
    <t>Sewa Pluit</t>
  </si>
  <si>
    <t>Sewa Kelapa Gading</t>
  </si>
  <si>
    <t>Sewa Mangga Dua</t>
  </si>
  <si>
    <t>Sewa Gedung Financial Center</t>
  </si>
  <si>
    <t>551.01.08 - SEWA KANTOR GEDUNG FINANCIAL CENTER</t>
  </si>
  <si>
    <t>551.02.08 - SEWA KANTOR GEDUNG FINANCIAL CENTER SALES</t>
  </si>
  <si>
    <t>Sewa Gedung Financial Center - Sales</t>
  </si>
  <si>
    <t>551.01.09 - SEWA KANTOR PEKANBARU</t>
  </si>
  <si>
    <t>Sewa Pekanbaru</t>
  </si>
  <si>
    <t>551.01.10 - SEWA KANTOR CABANG BOGOR</t>
  </si>
  <si>
    <t>Sewa Bogor</t>
  </si>
  <si>
    <t>551.01.11 - SEWA KANTOR CABANG MEDAN</t>
  </si>
  <si>
    <t>Sewa Medan</t>
  </si>
  <si>
    <t xml:space="preserve">Penyusutan Aset Tetap </t>
  </si>
  <si>
    <t>552.01.01 - P. INVENTARIS KANTOR BIMANTARA</t>
  </si>
  <si>
    <t xml:space="preserve">Penyusutan Inventaris Kantor </t>
  </si>
  <si>
    <t>552.01.02 - P. KENDARAAN MOBIL</t>
  </si>
  <si>
    <t>Penyusutan Kendaraan Mobil</t>
  </si>
  <si>
    <t>Penyusutan Kendaraan Motor</t>
  </si>
  <si>
    <t>552.01.04 - P. INVENTARIS INTERIOR / PARTISI</t>
  </si>
  <si>
    <t>Penyusutan Partisi</t>
  </si>
  <si>
    <t>552.01.05 - P. INVENTARIS MANGGA DUA</t>
  </si>
  <si>
    <t>Penyusutan Inventaris Mangga Dua</t>
  </si>
  <si>
    <t>Penyusutan Inventaris Surabaya</t>
  </si>
  <si>
    <t>552.01.07 - P. INVENTARIS BANDUNG</t>
  </si>
  <si>
    <t>Penyusutan Inventaris Bandung</t>
  </si>
  <si>
    <t>Penyusutan Inventaris Makassar</t>
  </si>
  <si>
    <t>552.01.14 - P. INVENTARIS TAIS SURABAYA</t>
  </si>
  <si>
    <t>Penyusutan Inventaris TAIS Surabaya</t>
  </si>
  <si>
    <t>552.01.16 - P. INVENTARIS SOFTWARE KAPERSKY</t>
  </si>
  <si>
    <t>Penyusutan Lisensi Kapersky</t>
  </si>
  <si>
    <t>552.01.17 - P. INVENTARIS SOFTWARE MKBD</t>
  </si>
  <si>
    <t>Penyusutan Software MKBD</t>
  </si>
  <si>
    <t>Penyusutan Inventaris Pluit</t>
  </si>
  <si>
    <t>Penyusutan Inventaris Kebon Jeruk</t>
  </si>
  <si>
    <t>552.01.20 - P. INVENTARIS LISENSI SOFTWARE</t>
  </si>
  <si>
    <t>Penyusutan Inventaris Lisensi Software</t>
  </si>
  <si>
    <t>Penyusutan Inventaris Kelapa Gading</t>
  </si>
  <si>
    <t>*</t>
  </si>
  <si>
    <t>Amortisasi Aset Tak Berwujud</t>
  </si>
  <si>
    <t>553.01.01 - BIAYA AMORTISASI SOFTWARE SIAP SIAR</t>
  </si>
  <si>
    <t>Amortisasi Software SIAP SIAR</t>
  </si>
  <si>
    <t>Komunikasi dan Informasi</t>
  </si>
  <si>
    <t>Surat-surat / Cargo</t>
  </si>
  <si>
    <t>541.01.01 - POS SURAT/KARGO</t>
  </si>
  <si>
    <t>541.02.01 - POS SURAT/KARGO SALES</t>
  </si>
  <si>
    <t>Telpon/Fax</t>
  </si>
  <si>
    <t>541.01.02 - TELPON/FAX/SLI/ORBIT</t>
  </si>
  <si>
    <t>541.02.02 - TELPON/FAX/SLI/ORBIT SALES</t>
  </si>
  <si>
    <t>541.01.03 - TELPON SELULAR / HANDPHONE</t>
  </si>
  <si>
    <t>Telpon Selular</t>
  </si>
  <si>
    <t>541.02.03 - TELPON SELULAR / HANDPHONE SALES</t>
  </si>
  <si>
    <t>541.01.04 - INTERNET</t>
  </si>
  <si>
    <t>Langganan Internet</t>
  </si>
  <si>
    <t>541.02.04 - INTERNET SALES</t>
  </si>
  <si>
    <t>541.01.05 - JSX - RTI</t>
  </si>
  <si>
    <t>RTI</t>
  </si>
  <si>
    <t>Instalasi Kabel Data</t>
  </si>
  <si>
    <t>Langganan TV Kabel Indovision</t>
  </si>
  <si>
    <t>541.01.08 - BLOOMBERG</t>
  </si>
  <si>
    <t>Bloomberg</t>
  </si>
  <si>
    <t>541.01.10 - BIAYA PERAWATAN / INSTALASI ICLOUD</t>
  </si>
  <si>
    <t>Instalasi I cloud</t>
  </si>
  <si>
    <t>541.01.09 - INSTALL PROGRAM</t>
  </si>
  <si>
    <t>Install Program</t>
  </si>
  <si>
    <t>Beban Kantor</t>
  </si>
  <si>
    <t>Alat Tulis Kantor</t>
  </si>
  <si>
    <t>522.01.01 - ALAT TULIS KANTOR</t>
  </si>
  <si>
    <t>522.02.01 - ALAT TULIS KANTOR SALES</t>
  </si>
  <si>
    <t>522.01.02 - MATERAI</t>
  </si>
  <si>
    <t>Materai</t>
  </si>
  <si>
    <t>Listrik</t>
  </si>
  <si>
    <t>522.01.03 - LISTRIK</t>
  </si>
  <si>
    <t>522.02.03 - LISTRIK SALES</t>
  </si>
  <si>
    <t>PAM</t>
  </si>
  <si>
    <t>522.01.04 - PAM/MINUM</t>
  </si>
  <si>
    <t>522.02.04 - PAM/MINUM SALES</t>
  </si>
  <si>
    <t>Langganan Koran/Majalah</t>
  </si>
  <si>
    <t>522.01.05 - LANGGANAN KORAN/MAJALAH</t>
  </si>
  <si>
    <t>522.02.05 - LANGGANAN KORAN/MAJALAH SALES</t>
  </si>
  <si>
    <t>Rumah Tangga Kantor</t>
  </si>
  <si>
    <t>522.01.06 - RUMAH TANGGA KANTOR</t>
  </si>
  <si>
    <t>522.02.06 - RUMAH TANGGA KANTOR SALES</t>
  </si>
  <si>
    <t>Cetakan</t>
  </si>
  <si>
    <t>522.01.07 - CETAKAN</t>
  </si>
  <si>
    <t>522.02.07 - CETAKAN SALES</t>
  </si>
  <si>
    <t>522.01.08 - PENGURUSAN IZIN</t>
  </si>
  <si>
    <t>Pengurusan ijin</t>
  </si>
  <si>
    <t>Beban HUT Bhakti Investama</t>
  </si>
  <si>
    <t>Penyedia Jasa Tenaga Kerja :</t>
  </si>
  <si>
    <t>523.01.01 - PENYEDIA JASA TENAGA KERJA</t>
  </si>
  <si>
    <t>Penyedia tenaga kerja</t>
  </si>
  <si>
    <t>Honorarium Tenaga Ahli :</t>
  </si>
  <si>
    <t>525.01.01 - PROFESSIONAL/KONSULTAN/AKUNTAN</t>
  </si>
  <si>
    <t>Jasa Profesional</t>
  </si>
  <si>
    <t xml:space="preserve">Honorarium Tenaga Ahli </t>
  </si>
  <si>
    <t>Iklan  dan Promosi</t>
  </si>
  <si>
    <t>521.01.01 - IKLAN/PROMOSI MEDIA MASSA</t>
  </si>
  <si>
    <t>Iklan Media Massa</t>
  </si>
  <si>
    <t>Iklan Promo Lapangan</t>
  </si>
  <si>
    <t>521.01.02 - PAMERAN &amp; PROMO LAPANGAN</t>
  </si>
  <si>
    <t>521.02.02 - PAMERAN &amp; PROMO LAPANGAN SALES</t>
  </si>
  <si>
    <t>Iklan dan Promosi</t>
  </si>
  <si>
    <t>Perjalanan dan Transportasi :</t>
  </si>
  <si>
    <t>Perjalanan Dinas</t>
  </si>
  <si>
    <t>526.01.01 - PERJALANAN DINAS</t>
  </si>
  <si>
    <t>526.02.01 - PERJALANAN DINAS SALES</t>
  </si>
  <si>
    <t>Transportasi</t>
  </si>
  <si>
    <t>526.01.02 - TRANSPORT/BENSIN/PARKIR</t>
  </si>
  <si>
    <t>526.02.02 - TRANSPORT/BENSIN/PARKIR SALES</t>
  </si>
  <si>
    <t xml:space="preserve">Perjalanan dan Transportasi </t>
  </si>
  <si>
    <t>Jamuan dan Sumbangan :</t>
  </si>
  <si>
    <t>Jamuan Tamu</t>
  </si>
  <si>
    <t>524.01.01 - JAMUAN TAMU</t>
  </si>
  <si>
    <t>524.02.01 - JAMUAN TAMU SALES</t>
  </si>
  <si>
    <t>524.01.02 - SUMBANGAN</t>
  </si>
  <si>
    <t>Sumbangan</t>
  </si>
  <si>
    <t xml:space="preserve">Hadiah </t>
  </si>
  <si>
    <t>Jamuan dan Sumbangan</t>
  </si>
  <si>
    <t>Beban Retur Komisi :</t>
  </si>
  <si>
    <t>531.01.01 - RETUR KOMISI REKSADANA</t>
  </si>
  <si>
    <t>Retur Komisi</t>
  </si>
  <si>
    <t>Beban Pajak :</t>
  </si>
  <si>
    <t>561.01.01 - PAJAK KENDARAAN</t>
  </si>
  <si>
    <t>Pajak Kendaraan</t>
  </si>
  <si>
    <t>Pajak reklame</t>
  </si>
  <si>
    <t>Denda pajak</t>
  </si>
  <si>
    <t>Biaya pajak</t>
  </si>
  <si>
    <t>Beban Pemeliharaan :</t>
  </si>
  <si>
    <t>Perawatan Aset Tetap</t>
  </si>
  <si>
    <t>571.01.03 - PERAWATAN PERALATAN KANTOR (INCLUDE TAX)</t>
  </si>
  <si>
    <t>Perawatan Peralatan Kantor</t>
  </si>
  <si>
    <t>571.01.06 - ASURANSI KENDARAAN</t>
  </si>
  <si>
    <t>Asuransi Kendaraan</t>
  </si>
  <si>
    <t>571.01.04 - SPARE PART KENDARAAN (NON TAX)</t>
  </si>
  <si>
    <t>Spare part kendaraan</t>
  </si>
  <si>
    <t>571.01.05 - SPARE PART PERALATAN KANTOR (NON TAX)</t>
  </si>
  <si>
    <t>Spare part Peralatan kantor</t>
  </si>
  <si>
    <t>571.02.05 - SPARE PART PERALATAN KANTOR (NON TAX) SALES</t>
  </si>
  <si>
    <t>571.02.04 - SPARE PART KENDARAAN (NON TAX) SALES</t>
  </si>
  <si>
    <t>571.02.03 - PERAWATAN PERALATAN KANTOR (INCLUDE TAX) SALES</t>
  </si>
  <si>
    <t>571.02.02 - PERAWATAN KENDARAAN (INCLUDE TAX) SALES</t>
  </si>
  <si>
    <t>Perawatan Kendaraan</t>
  </si>
  <si>
    <t>571.01.07 - PERAWATAN KENDARAAN (NON TAX)</t>
  </si>
  <si>
    <t>Perawatan Kendaraan (non tax)</t>
  </si>
  <si>
    <t>571.02.07 - PERAWATAN KENDARAAN (NON TAX) SALES</t>
  </si>
  <si>
    <t>Lain-lain :</t>
  </si>
  <si>
    <t>Beban Kustodian</t>
  </si>
  <si>
    <t>581.01.03 - BIAYA TRANSAKSI BURSA</t>
  </si>
  <si>
    <t>Beban Transaksi Bursa</t>
  </si>
  <si>
    <t>581.01.02 - IURAN</t>
  </si>
  <si>
    <t>Beban Iuran</t>
  </si>
  <si>
    <t>581.01.04 - BIAYA PUNGUTAN OJK</t>
  </si>
  <si>
    <t>Beban Pungutan OJK</t>
  </si>
  <si>
    <t>Penghapusan Piutang</t>
  </si>
  <si>
    <t>615.01.01 - BIAYA LAIN-LAIN</t>
  </si>
  <si>
    <t xml:space="preserve">Lain-lain </t>
  </si>
  <si>
    <t>Penghasilan Bunga :</t>
  </si>
  <si>
    <t>611.01.01 - BUNGA DEPOSITO</t>
  </si>
  <si>
    <t>Interest Income Deposito</t>
  </si>
  <si>
    <t>611.01.02 - BUNGA JASA GIRO</t>
  </si>
  <si>
    <t>Interest Income Jasa Giro</t>
  </si>
  <si>
    <t>Bunga kupon obligasi</t>
  </si>
  <si>
    <t xml:space="preserve">Penghasilan  Bunga  </t>
  </si>
  <si>
    <t>Beban bunga dan keuangan :</t>
  </si>
  <si>
    <t>612.01.01 - BIAYA ADMINISTRASI BANK</t>
  </si>
  <si>
    <t>Beban Administrasi Bank</t>
  </si>
  <si>
    <t>612.01.02 - BEBAN BUNGA PEMBIAYAAN</t>
  </si>
  <si>
    <t>Bunga pembiayaan</t>
  </si>
  <si>
    <t>Beban Dividen</t>
  </si>
  <si>
    <t>Beban bunga, keuangan dan dividen :</t>
  </si>
  <si>
    <t>Kenaikan (penurunan) harga pasar efek saham :</t>
  </si>
  <si>
    <t>414.01.01 - LABA RUGI PORTOFOLIO SAHAM UNREALIZED - PT BHAKTI ASSET MANAGEMENT</t>
  </si>
  <si>
    <t>Laba / Rugi Portofolio Unrealized</t>
  </si>
  <si>
    <t>414.01.02 - LABA RUGI PORTOFOLIO SAHAM REALIZED-PT BHAKTI ASSET MANAGEMENT</t>
  </si>
  <si>
    <t>Laba / Rugi Portofolio Realized</t>
  </si>
  <si>
    <t>414.03.01 - LABA/RUGI PORTOFOLIO REKSADANA UNREALIZED</t>
  </si>
  <si>
    <t>Laba / Rugi Reksadana Unrealized</t>
  </si>
  <si>
    <t>414.03.02 - LABA/RUGI PORTOFOLIO REKSADANA REALIZED</t>
  </si>
  <si>
    <t>Laba / Rugi Reksadana Realized</t>
  </si>
  <si>
    <t>Kenaikan (penurunan) harga pasar saham efek-bersih</t>
  </si>
  <si>
    <t>Pendapatan Dividen dan Kupon Obligasi</t>
  </si>
  <si>
    <t>Penghasilan Lainnya :</t>
  </si>
  <si>
    <t>613.01.01 - PENDAPATAN LAIN-LAIN</t>
  </si>
  <si>
    <t>Lain - lain</t>
  </si>
  <si>
    <t>Pendapatan kustodian</t>
  </si>
  <si>
    <t>Laba penjualan aset tetap</t>
  </si>
  <si>
    <t>Rugi penjualan aset tetap</t>
  </si>
  <si>
    <t>412.01.02 - KOMISI ARRANGER</t>
  </si>
  <si>
    <t>Arranger Fee</t>
  </si>
  <si>
    <t>Fee Lain-lain</t>
  </si>
  <si>
    <t>Lain-lain bersih</t>
  </si>
  <si>
    <t>Beban Lainnya :</t>
  </si>
  <si>
    <t>614.01.01 - SELISIH KURS</t>
  </si>
  <si>
    <t>Selisih Kurs</t>
  </si>
  <si>
    <t>LAMPIRAN II :</t>
  </si>
  <si>
    <t>PERINCIAN LAPORAN POSISI KEUANGAN</t>
  </si>
  <si>
    <t>Kas (Dalam Rupiah) :</t>
  </si>
  <si>
    <t>111.03.01 - PETTY CASH BANDUNG</t>
  </si>
  <si>
    <t>Kas Bandung</t>
  </si>
  <si>
    <t>111.03.02 - PETTY CASH GENERAL</t>
  </si>
  <si>
    <t>Kas Kecil</t>
  </si>
  <si>
    <t xml:space="preserve">Kas Galeri </t>
  </si>
  <si>
    <t>111.03.05 - PETTY CASH SURABAYA</t>
  </si>
  <si>
    <t>Kas Surabaya</t>
  </si>
  <si>
    <t xml:space="preserve">Kas Pluit </t>
  </si>
  <si>
    <t>Kas Mangga Dua</t>
  </si>
  <si>
    <t>Kas Kelapa Gading</t>
  </si>
  <si>
    <t>111.03.08 - PETTY CASH BOGOR</t>
  </si>
  <si>
    <t>Kas Bogor</t>
  </si>
  <si>
    <t>Sub - Total</t>
  </si>
  <si>
    <t>Bank (Dalam Rupiah) :</t>
  </si>
  <si>
    <t>111.01.01 - BANK BCA WAHID HASYIM</t>
  </si>
  <si>
    <t>Bank BCA - Wahid Hasyim</t>
  </si>
  <si>
    <t>Bank Danamon</t>
  </si>
  <si>
    <t>111.01.03 - BANK BNI UTAMA</t>
  </si>
  <si>
    <t>Bank BNI</t>
  </si>
  <si>
    <t>111.01.04 - BANK BRI UTAMA</t>
  </si>
  <si>
    <t>Bank BRI Pusat</t>
  </si>
  <si>
    <t>111.01.05 - BANK BCA PAYROLL</t>
  </si>
  <si>
    <t>Bank BCA Payroll</t>
  </si>
  <si>
    <t>111.01.06 - BANK BUMIPUTERA</t>
  </si>
  <si>
    <t>Bank Bumiputera</t>
  </si>
  <si>
    <t>Kas Makassar</t>
  </si>
  <si>
    <t xml:space="preserve">Sub - Total </t>
  </si>
  <si>
    <t>Bank (Dalam Dollar) :</t>
  </si>
  <si>
    <t>Bank BCA USD</t>
  </si>
  <si>
    <t>111.02.02 - BANK BII US DOLLAR</t>
  </si>
  <si>
    <t>Bank BII USD</t>
  </si>
  <si>
    <t>111.02.03 - BANK BUMIPUTERA US DOLLAR</t>
  </si>
  <si>
    <t>Bank Bumiputera USD</t>
  </si>
  <si>
    <t xml:space="preserve">           Pendapatan yang akan diterima pihak berelasi :</t>
  </si>
  <si>
    <t>121.03.02 - PIUTANG REKSADANA MNC DANA LANCAR</t>
  </si>
  <si>
    <t>Fee manager Investasi MNC Dana Lancar</t>
  </si>
  <si>
    <t>121.03.03 - PIUTANG REKSADANA MNC DANA SYARIAH</t>
  </si>
  <si>
    <t>Fee manager Investasi MNC Dana Syariah</t>
  </si>
  <si>
    <t>121.03.04 - PIUTANG REKSADANA MNC DANA LIKUID</t>
  </si>
  <si>
    <t xml:space="preserve">Fee manager Investasi MNC Dana Likuid </t>
  </si>
  <si>
    <t>121.03.05 - PIUTANG REKSADANA MNC DANA KOMBINASI</t>
  </si>
  <si>
    <t>Fee manager Investasi MNC Dana  Kombinasi</t>
  </si>
  <si>
    <t>121.03.06 - PIUTANG REKSADANA MNC EKUITAS</t>
  </si>
  <si>
    <t>Fee manager Investasi MNC Dana Ekuitas</t>
  </si>
  <si>
    <t>121.03.07 - PIUTANG REKSADANA MNC DANA DOLLAR</t>
  </si>
  <si>
    <t>Fee manager Investasi MNC Dana Dollar</t>
  </si>
  <si>
    <t>121.03.08 - PIUTANG REKSADANA MNC DANA KOMBINASI ICON</t>
  </si>
  <si>
    <t>Fee manager Investasi MNC Dana Icon</t>
  </si>
  <si>
    <t>121.03.09 - PIUTANG REKSADANA MNC DANA KOMBINASI KONSUMEN</t>
  </si>
  <si>
    <t>Fee manager Investasi MNC Dana Kombinasi Konsumen</t>
  </si>
  <si>
    <t>121.03.10 - PIUTANG REKSADANA MNC DANA SYARIAH EKUITAS</t>
  </si>
  <si>
    <t>Fee manager Investasi MNC Dana Syariah Ekuitas</t>
  </si>
  <si>
    <t>121.03.11 - PIUTANG REKSADANA MNC DANA SYARIAH KOMBINASI</t>
  </si>
  <si>
    <t>Fee manager Investasi MNC Dana Syariah Kombinasi</t>
  </si>
  <si>
    <t>Fee manager Investasi MNC Dana Terproteksi</t>
  </si>
  <si>
    <t>Fee manager Investasi MNC Dana Terproteksi 2</t>
  </si>
  <si>
    <t>Fee manager Investasi MNC Dana Pendapatan Tetap</t>
  </si>
  <si>
    <t>121.03.15 - PIUTANG REKSADANA MNC DANA TERPROTEKSI 3</t>
  </si>
  <si>
    <t>Fee manager Investasi MNC Dana Terproteksi 3</t>
  </si>
  <si>
    <t>121.03.16 - PIUTANG REKSADANA MNC DANA PENDAPATAN TETAP II</t>
  </si>
  <si>
    <t>Fee manager Investasi MNC Dana Pendapatan Tetap 2</t>
  </si>
  <si>
    <t>121.03.17 - PIUTANG REKSADANA MNC DANA TERPROTEKSI 4</t>
  </si>
  <si>
    <t>Fee manager Investasi MNC Dana Terproteksi 4</t>
  </si>
  <si>
    <t>121.03.18 - PIUTANG REKSADANA INDEKS MNC 36</t>
  </si>
  <si>
    <t>Fee manager Investasi MNC Indeks MNC 36</t>
  </si>
  <si>
    <t>121.03.19 - PIUTANG REKSADANA MNC DANA TERPROTEKSI 5</t>
  </si>
  <si>
    <t>Fee manager Investasi MNC Dana Terproteksi 5</t>
  </si>
  <si>
    <t>121.03.20 - PIUTANG REKSADANA MNC DANA TERPROTEKSI 8</t>
  </si>
  <si>
    <t>Fee manager Investasi MNC Dana Terproteksi 8</t>
  </si>
  <si>
    <t>121.03.21 - PIUTANG REKSADANA MNC DANA PENDAPATAN TETAP III</t>
  </si>
  <si>
    <t>Fee manager Investasi MNC Dana Pendapatan Tetap 3</t>
  </si>
  <si>
    <t>121.03.23 - PIUTANG REKSADANA MNC DANA SYARIAH BAROKAH</t>
  </si>
  <si>
    <t>Fee manager Investasi MNC Dana Syariah Barokah</t>
  </si>
  <si>
    <t>121.03.22 - PIUTANG REKSADANA MNC DANA SBN</t>
  </si>
  <si>
    <t>Fee manager Investasi MNC Dana SBN</t>
  </si>
  <si>
    <t>121.03.01 - PIUTANG MI KELOLA DANA</t>
  </si>
  <si>
    <t>Fee manager Investasi Kelola Dana</t>
  </si>
  <si>
    <t>121.03.24 - PIUTANG REKSADANA MNC DANA TERPROTEKSI 9</t>
  </si>
  <si>
    <t>Fee manager Investasi MNC Dana Terproteksi 9</t>
  </si>
  <si>
    <t>121.03.25 - PIUTANG REKSADANA MNC DANA TERPROTEKSI 10</t>
  </si>
  <si>
    <t>Fee manager Investasi MNC Dana Terproteksi 10</t>
  </si>
  <si>
    <t>121.03.26 - PIUTANG REKSADANA MNC DANA TERPROTEKSI 12</t>
  </si>
  <si>
    <t>Fee manager Investasi MNC Dana Terproteksi 12</t>
  </si>
  <si>
    <t>121.03.27 - PIUTANG REKSADANA MNC DANA TERPROTEKSI 11</t>
  </si>
  <si>
    <t>Fee manager Investasi MNC Dana Terproteksi 11</t>
  </si>
  <si>
    <t>121.03.28 - PIUTANG REKSADANA MNC DANA SYARIAH EKUITAS 2</t>
  </si>
  <si>
    <t>Fee manager Investasi MNC Dana Syariah Ekuitas 2</t>
  </si>
  <si>
    <t>121.03.29 - PIUTANG REKSADANA SYARIAH TERPROTEKSI MNC DANA SYARIAH TERPROTEKSI</t>
  </si>
  <si>
    <t>Fee manager Investasi MNC Dana Syariah Terproteksi</t>
  </si>
  <si>
    <t>121.03.30 - PIUTANG REKSADANA MNC DANA TERPROTEKSI 13</t>
  </si>
  <si>
    <t>Fee manager Investasi MNC Dana Terproteksi 13</t>
  </si>
  <si>
    <t>121.03.32 - PIUTANG REKSADANA MNC DANA TERPROTEKSI 14</t>
  </si>
  <si>
    <t>Fee manager Investasi MNC Dana Terproteksi 14</t>
  </si>
  <si>
    <t>121.03.31 - PIUTANG REKSADANA MNC DANA PENDAPATAN TETAP IV</t>
  </si>
  <si>
    <t>Fee manager Investasi MNC Dana Pendapatan Tetap 4</t>
  </si>
  <si>
    <t>121.03.33 - PIUTANG REKSADANA PENYERTAAN TERBATAS MNC DANA MULTISEKTOR I</t>
  </si>
  <si>
    <t>Fee manager Investasi MNC Dana Multisektor I</t>
  </si>
  <si>
    <t>Fee MI Control</t>
  </si>
  <si>
    <t xml:space="preserve">Harga Perolehan </t>
  </si>
  <si>
    <t xml:space="preserve">Partisi </t>
  </si>
  <si>
    <t>151.01.04 - INVENTARIS INTERIOR / PARTISI</t>
  </si>
  <si>
    <t>Partisi (Interior)</t>
  </si>
  <si>
    <t>Kendaraan Bermotor</t>
  </si>
  <si>
    <t>151.01.02 - INVENTARIS KENDARAAN MOBIL</t>
  </si>
  <si>
    <t>Kendaraan Mobil</t>
  </si>
  <si>
    <t>151.01.03 - INVENTARIS KENDARAAN MOTOR</t>
  </si>
  <si>
    <t>Kendaraan Motor</t>
  </si>
  <si>
    <t>Inventaris Kantor</t>
  </si>
  <si>
    <t>151.01.01 - INVENTARIS KANTOR MENARA KEBON SIRIH</t>
  </si>
  <si>
    <t>Inventaris Kantor Kebon Sirih</t>
  </si>
  <si>
    <t>151.01.05 - INVENTARIS KANTOR MANGGA DUA</t>
  </si>
  <si>
    <t>Inventaris Kantor Mangga Dua</t>
  </si>
  <si>
    <t>151.01.06 - INVENTARIS KANTOR SURABAYA</t>
  </si>
  <si>
    <t>Inventaris Kantor Surabaya</t>
  </si>
  <si>
    <t>151.01.07 - INVENTARIS KANTOR BANDUNG</t>
  </si>
  <si>
    <t>Inventaris Kantor Bandung</t>
  </si>
  <si>
    <t>151.01.08 - INVENTARIS KANTOR SEMARANG</t>
  </si>
  <si>
    <t>Inventaris Kantor Semarang</t>
  </si>
  <si>
    <t>151.01.09 - INVENTARIS KANTOR MALANG</t>
  </si>
  <si>
    <t>Inventaris Kantor Malang</t>
  </si>
  <si>
    <t>151.01.10 - INVENTARIS LISENSI SOFTWARE MY GL</t>
  </si>
  <si>
    <t>Inventaris Lisensi My GL</t>
  </si>
  <si>
    <t>151.01.11 - INVENTARIS LISENSI WINDOWS SQL</t>
  </si>
  <si>
    <t>Inventaris Lisensi Windows SQL</t>
  </si>
  <si>
    <t>151.01.13 - INVENTARIS KANTOR MAKASSAR</t>
  </si>
  <si>
    <t>Inventaris Kantor Makassar</t>
  </si>
  <si>
    <t>151.01.14 - INVENTARIS KANTOR TAIS SURABAYA</t>
  </si>
  <si>
    <t>Inventaris Kantor TAIS Embong Surabaya</t>
  </si>
  <si>
    <t>151.01.16 - INVENTARIS LISENSI KAPERSKY</t>
  </si>
  <si>
    <t>Inventaris Lisensi Kapersky</t>
  </si>
  <si>
    <t>151.01.17 - INVENTARIS SOFTWARE MKBD</t>
  </si>
  <si>
    <t>Inventaris Software MKBD</t>
  </si>
  <si>
    <t>Inventaris Pluit</t>
  </si>
  <si>
    <t>Inventaris Kebon Jeruk</t>
  </si>
  <si>
    <t>151.01.20 - INVENTARIS LISENSI SOFTWARE</t>
  </si>
  <si>
    <t>Inventaris Lisensi Software</t>
  </si>
  <si>
    <t>Inventaris Kelapa Gading</t>
  </si>
  <si>
    <t>Inventaris Software SIAP/SIAR</t>
  </si>
  <si>
    <t>Mobil Leasing</t>
  </si>
  <si>
    <t>151.02.01 - KENDARAAN MOBIL LEASING</t>
  </si>
  <si>
    <t>ASET TETAP (Lanjutan)</t>
  </si>
  <si>
    <t>153.01.04 - AKM. P. INVENTARIS INTERIOR / PARTISI</t>
  </si>
  <si>
    <t>153.01.02 - AKM. P. KENDARAAN MOBIL</t>
  </si>
  <si>
    <t>153.01.03 - AKM. P. KENDARAAN MOTOR</t>
  </si>
  <si>
    <t>153.01.01 - AKM. P. INVENTARIS KANTOR MENARA KEBON SIRIH</t>
  </si>
  <si>
    <t>153.01.05 - AKM. P. INVENTARIS MANGGA DUA</t>
  </si>
  <si>
    <t>153.01.06 - AKM. P. INVENTARIS KANTOR SURABAYA</t>
  </si>
  <si>
    <t>153.01.07 - AKM. P. INVENTARIS KANTOR BANDUNG</t>
  </si>
  <si>
    <t>153.01.08 - AKM. P. INVENTARIS KANTOR SEMARANG</t>
  </si>
  <si>
    <t>153.01.09 - AKM. P. INVENTARIS KANTOR MALANG</t>
  </si>
  <si>
    <t>153.01.10 - AKM. P. INVENTARIS LISENSI SOFTWARE MY GL</t>
  </si>
  <si>
    <t>153.01.11 - AKM. P. INVENTARIS LISENSI WINDOWS SQL</t>
  </si>
  <si>
    <t>153.01.13 - AKM. P. INVENTARIS KANTOR MAKASSAR</t>
  </si>
  <si>
    <t>153.01.14 - AKM. P. INVENTARIS KANTOR TAIS SURABAYA</t>
  </si>
  <si>
    <t>153.01.16 - AKM. P. INVENTARIS SOFTWARE KAPERSKY</t>
  </si>
  <si>
    <t>153.01.17 - AKM. P. INVENTARIS SOFTWARE MKBD</t>
  </si>
  <si>
    <t>153.01.20 - AKM. P. INVENTARIS LISENSI SOFTWARE</t>
  </si>
  <si>
    <t>153.02.01 - AKM PENYUSUTAN KENDARAAN LEASING</t>
  </si>
  <si>
    <t>Kas dan Setara Kas</t>
  </si>
  <si>
    <t>Piutang Usaha</t>
  </si>
  <si>
    <t>Pihak Ketiga</t>
  </si>
  <si>
    <t>Portofolio Efek</t>
  </si>
  <si>
    <t>Portofolio Lainnya</t>
  </si>
  <si>
    <t>Pajak dibayar dimuka</t>
  </si>
  <si>
    <t>Uang Muka dan Biaya dibayar dimuka</t>
  </si>
  <si>
    <t>Tagihan Pajak Penghasilan</t>
  </si>
  <si>
    <t>Aset Pajak Tangguhan</t>
  </si>
  <si>
    <t>Aset Tetap</t>
  </si>
  <si>
    <t>Aset tidak Berwujud</t>
  </si>
  <si>
    <t>Aset Lain - Lain</t>
  </si>
  <si>
    <t>Piutang Lainnya</t>
  </si>
  <si>
    <t>Utang Lainnya</t>
  </si>
  <si>
    <t>Utang Pajak</t>
  </si>
  <si>
    <t>Liabilitas Pajak Tangguhan</t>
  </si>
  <si>
    <t>26.260.000 saham pada tahun 2017 dan 2016</t>
  </si>
  <si>
    <t>Modal Saham - nilai nominal Rp. 1,000,- per lembar Saham</t>
  </si>
  <si>
    <t>Modal ditempatkan dan disetor penuh,</t>
  </si>
  <si>
    <t>LAPORAN LABA RUGI DAN KOMPREHENSIF LAINNYA</t>
  </si>
  <si>
    <t>Jasa Manajer Investasi</t>
  </si>
  <si>
    <t>Pendapatan Dividen dan Kupon Obligasi, Neto</t>
  </si>
  <si>
    <t>Keuntungan (Kerugian) Penjualan Efek (Realized)</t>
  </si>
  <si>
    <t>Perubahan Nilai Wajar Efek yang diperdagangkan (Unrealized)</t>
  </si>
  <si>
    <t>Beban Bunga dan Keuangan</t>
  </si>
  <si>
    <t>Penghasilan (Beban) Lainnya, Bersih</t>
  </si>
  <si>
    <t>Penghasilan Bunga, Bersih</t>
  </si>
  <si>
    <t>JUMLAH PENDAPATAN USAHA</t>
  </si>
  <si>
    <t>PENGHASILAN (BEBAN) Lainnya, Bersih:</t>
  </si>
  <si>
    <t>JUMLAH PENGHASILAN (BEBAN) Lainnya</t>
  </si>
  <si>
    <t>JUMLAH BEBAN USAHA</t>
  </si>
  <si>
    <t>LABA SEBELUM MANFAAT PAJAK PENGHASILAN</t>
  </si>
  <si>
    <t>MANFAAT (BEBAN) PAJAK PENGHASILAN</t>
  </si>
  <si>
    <t>Kini</t>
  </si>
  <si>
    <t>Tangguhan</t>
  </si>
  <si>
    <t>Manfaat (Beban) Pajak Penghasilan, Neto</t>
  </si>
  <si>
    <t>LABA NETO</t>
  </si>
  <si>
    <t>DETAIL BALANCE SHEET</t>
  </si>
  <si>
    <t>Rupiah</t>
  </si>
  <si>
    <t>Kas Rupiah</t>
  </si>
  <si>
    <t>Dolar</t>
  </si>
  <si>
    <t>PT Bank MNC Internasional Tbk</t>
  </si>
  <si>
    <t>PT Bank J Trust Indonesia</t>
  </si>
  <si>
    <t>AFS :</t>
  </si>
  <si>
    <t>- BMTR</t>
  </si>
  <si>
    <t>- MNCN</t>
  </si>
  <si>
    <t>FVTPL:</t>
  </si>
  <si>
    <t>- FREN</t>
  </si>
  <si>
    <t>- IATA</t>
  </si>
  <si>
    <t>- MSKY</t>
  </si>
  <si>
    <t>- KPIG</t>
  </si>
  <si>
    <t>- BABP</t>
  </si>
  <si>
    <t>Portofolio Efek:</t>
  </si>
  <si>
    <t>PPh 23</t>
  </si>
  <si>
    <t>PPh 25</t>
  </si>
  <si>
    <t>Sewa dibayar dimuka - Fincen</t>
  </si>
  <si>
    <t>Biaya dibayar dimuka Lainnya</t>
  </si>
  <si>
    <t>Uang Muka Lain-Lain</t>
  </si>
  <si>
    <t>Partisi</t>
  </si>
  <si>
    <t>Kendaraan Pembiayaan</t>
  </si>
  <si>
    <t>Uang Jaminan</t>
  </si>
  <si>
    <t>Logam Mulia</t>
  </si>
  <si>
    <t>Gedung Fincen</t>
  </si>
  <si>
    <t>Cabang</t>
  </si>
  <si>
    <t>BBM</t>
  </si>
  <si>
    <t>Lainnya</t>
  </si>
  <si>
    <t>Akum. Partisi</t>
  </si>
  <si>
    <t>Akum. Kendaraan Bermotor</t>
  </si>
  <si>
    <t>Akum. Kendaraan Pembiayaan</t>
  </si>
  <si>
    <t>Aset Tetap, Neto</t>
  </si>
  <si>
    <t>Aset tidak Berwujud, Neto</t>
  </si>
  <si>
    <t>Addition</t>
  </si>
  <si>
    <t>Deduction</t>
  </si>
  <si>
    <t>Utang Sementara</t>
  </si>
  <si>
    <t>Utang Biaya</t>
  </si>
  <si>
    <t>Utang Lain-Lain</t>
  </si>
  <si>
    <t>Utang Sewa Pembiayaan</t>
  </si>
  <si>
    <t>Utang PPh 21</t>
  </si>
  <si>
    <t>PPN Keluaran</t>
  </si>
  <si>
    <t>Utang PPh 23</t>
  </si>
  <si>
    <t>Utang PPh 26</t>
  </si>
  <si>
    <t>DETAIL LABA RUGI DAN KOMPREHENSIF LAINNYA</t>
  </si>
  <si>
    <t>Gaji Karyawan</t>
  </si>
  <si>
    <t>Tunjangan Pengobatan</t>
  </si>
  <si>
    <t>Pajak Pph 21</t>
  </si>
  <si>
    <t>Astek</t>
  </si>
  <si>
    <t>Asuransi Jiwa Karyawan</t>
  </si>
  <si>
    <t>Pelatihan/Training/Seminar</t>
  </si>
  <si>
    <t>Iklan/Promosi Media Massa</t>
  </si>
  <si>
    <t>Pameran &amp; Promo Lapangan</t>
  </si>
  <si>
    <t>Pam/Minum</t>
  </si>
  <si>
    <t>Pengurusan Izin</t>
  </si>
  <si>
    <t>Jamuan Tamu Sales</t>
  </si>
  <si>
    <t>Professional/Konsultan/Akuntan</t>
  </si>
  <si>
    <t>Transport/Bensin/Parkir</t>
  </si>
  <si>
    <t>Perjalanan Dinas Sales</t>
  </si>
  <si>
    <t>Transport/Bensin/Parkir Sales</t>
  </si>
  <si>
    <t>Retur Komisi Reksadana</t>
  </si>
  <si>
    <t>Pos Surat/Kargo</t>
  </si>
  <si>
    <t>Telpon/Fax/Sli/Orbit</t>
  </si>
  <si>
    <t>Telpon Selular / Handphone</t>
  </si>
  <si>
    <t>Internet</t>
  </si>
  <si>
    <t>Jsx - Rti</t>
  </si>
  <si>
    <t>Sewa Kantor Gedung Financial Center</t>
  </si>
  <si>
    <t>Biaya Amortisasi Software Siap Siar</t>
  </si>
  <si>
    <t>Biaya Transaksi Bursa</t>
  </si>
  <si>
    <t>Biaya Pungutan Ojk</t>
  </si>
  <si>
    <t>Bunga Deposito</t>
  </si>
  <si>
    <t>Bunga Jasa Giro</t>
  </si>
  <si>
    <t>Biaya Administrasi Bank</t>
  </si>
  <si>
    <t>Beban Bunga Pembiayaan</t>
  </si>
  <si>
    <t>Biaya Lain-Lain</t>
  </si>
  <si>
    <t>Total Beban kepegawaian</t>
  </si>
  <si>
    <t>Total Iklan dan Promosi</t>
  </si>
  <si>
    <t>Total Beban Kantor</t>
  </si>
  <si>
    <t>Total Penyedia Jasa Tenaga Kerja</t>
  </si>
  <si>
    <t>Total Jasa Tenaga Ahli</t>
  </si>
  <si>
    <t>Total Jamuan dan sumbangan</t>
  </si>
  <si>
    <t>Total Perjalanan Dinas &amp; Transportasi</t>
  </si>
  <si>
    <t>Total Retur Komisi</t>
  </si>
  <si>
    <t>Total Komunikasi &amp; Informasi</t>
  </si>
  <si>
    <t>Total Sewa</t>
  </si>
  <si>
    <t>Total Penyusutan</t>
  </si>
  <si>
    <t>Total Amortisasi</t>
  </si>
  <si>
    <t>Total Beban Pajak</t>
  </si>
  <si>
    <t>Total Perbaikan dan Pemeliharaan</t>
  </si>
  <si>
    <t>Pendapatan Bunga :</t>
  </si>
  <si>
    <t>Total Pendapatan Bunga</t>
  </si>
  <si>
    <t>Total Beban Bunga dan Keuangan</t>
  </si>
  <si>
    <t>Penghasilan Lain-Lain</t>
  </si>
  <si>
    <t>Total Penghasilan (Biaya) Lainnya</t>
  </si>
  <si>
    <t>Total Laba (Rugi) Selisih Kurs</t>
  </si>
  <si>
    <t>Laba (Rugi) Reksadana Unrealized</t>
  </si>
  <si>
    <t>Laba (Rugi) Reksadana Realized</t>
  </si>
  <si>
    <t>Selisih Kurs Lainnya</t>
  </si>
  <si>
    <t xml:space="preserve">ASET PAJAK TANGGUHAN </t>
  </si>
  <si>
    <t>BEDA WAKTU</t>
  </si>
  <si>
    <t>Penyusutan Aset Tetap</t>
  </si>
  <si>
    <t>Accrued beban penyisihan imbalan kerja</t>
  </si>
  <si>
    <t>Laba = (   )</t>
  </si>
  <si>
    <t>Jumlah beda waktu</t>
  </si>
  <si>
    <t>BEDA TETAP</t>
  </si>
  <si>
    <t>Beban kesejahteraan karyawan</t>
  </si>
  <si>
    <t>Jamuan &amp; Sumbangan</t>
  </si>
  <si>
    <t>Bunga deposito dan jasa giro</t>
  </si>
  <si>
    <t>Bunga kupon dan reksadana</t>
  </si>
  <si>
    <t>(Laba) rugi  transaksi saham/portofolio</t>
  </si>
  <si>
    <t>Laba = (  )</t>
  </si>
  <si>
    <t>Jumlah beda tetap</t>
  </si>
  <si>
    <t>Taksiran Laba (Rugi)  Fiskal Perusahaan</t>
  </si>
  <si>
    <t>tarif 25%</t>
  </si>
  <si>
    <t>TAKSIRAN PAJAK PENGHASILAN TANGGUHAN</t>
  </si>
  <si>
    <t>Pengaruh beda waktu pada tarif pajak</t>
  </si>
  <si>
    <t xml:space="preserve">               Aset Tetap</t>
  </si>
  <si>
    <t>(lihat wp auditor)</t>
  </si>
  <si>
    <t xml:space="preserve">               Laba (rugi)  fiskal tahun berjalan</t>
  </si>
  <si>
    <t xml:space="preserve">               Accrued beban kesejahteraan karyawan</t>
  </si>
  <si>
    <t xml:space="preserve">               Penyusutan aset leasing</t>
  </si>
  <si>
    <t>Jumlah taksiran pajak penghasilan tangguhan</t>
  </si>
  <si>
    <t>PENGARUH PAJAK YANG SIGNIFIKAN ATAS BEDA WAKTU ANTARA</t>
  </si>
  <si>
    <t>PELAPORAN KOMERSIAL DAN PAJAK ADALAH SBB:</t>
  </si>
  <si>
    <t>Tambah (kurang)</t>
  </si>
  <si>
    <t xml:space="preserve">               Beban kesejahteraan karyawan</t>
  </si>
  <si>
    <t xml:space="preserve">               Penyesuaian saldo imbalan kerja</t>
  </si>
  <si>
    <t xml:space="preserve">               Rugi Fiskal</t>
  </si>
  <si>
    <t xml:space="preserve">               Aset tetap</t>
  </si>
  <si>
    <t>Journal :</t>
  </si>
  <si>
    <t xml:space="preserve">                          Dr.   Aset pajak tangguhan</t>
  </si>
  <si>
    <t xml:space="preserve">                          Cr. L/R tahun berjalan</t>
  </si>
  <si>
    <t>Beban kesejahtaraan</t>
  </si>
  <si>
    <t xml:space="preserve">   - Beban pengobatan</t>
  </si>
  <si>
    <t xml:space="preserve">   - Beban asuransi kesehatan</t>
  </si>
  <si>
    <t xml:space="preserve">   - Beban asuransi jiwa</t>
  </si>
  <si>
    <t xml:space="preserve">   - Beban dana pensiun</t>
  </si>
  <si>
    <t xml:space="preserve">   - Tunj pph 21</t>
  </si>
  <si>
    <t>Total Beban Usaha Lainnya</t>
  </si>
  <si>
    <t>Portofolio Lainnya:</t>
  </si>
  <si>
    <t>Asuransi Kesehatan dibayar dimuka</t>
  </si>
  <si>
    <t>Asuransi Kendaraan dibayar dimuka</t>
  </si>
  <si>
    <t>Asuransi Cloud dan Server dibayar dimuka</t>
  </si>
  <si>
    <t>Pembelian Inventaris dan Aset</t>
  </si>
  <si>
    <t>Utang PPh 4 ayat 2</t>
  </si>
  <si>
    <t>Utang PPh 25</t>
  </si>
  <si>
    <t>Utang PPh 29</t>
  </si>
  <si>
    <t>PT MNC Finance - BMW 320i Sport</t>
  </si>
  <si>
    <t>PT MNC Finance - Toyota Alphard G AT 2.5</t>
  </si>
  <si>
    <t>PT MNC Guna Usaha Indonesia</t>
  </si>
  <si>
    <t>Sewa Kantor Cabang</t>
  </si>
  <si>
    <t>Peralatan Kantor Fincen</t>
  </si>
  <si>
    <t>Peralatan Kantor Cabang</t>
  </si>
  <si>
    <t>Iuran Lainnya</t>
  </si>
  <si>
    <t>Pajak Lainnya</t>
  </si>
  <si>
    <t>Sub Total Bank Rupiah</t>
  </si>
  <si>
    <t>Sub Total Bank Dolar</t>
  </si>
  <si>
    <t>Total Kas dan Setara Kas</t>
  </si>
  <si>
    <t>Akum. Peralatan Kantor Fincen</t>
  </si>
  <si>
    <t>Akum. Peralatan Kantor Cabang</t>
  </si>
  <si>
    <t>Total Akum. Aset Tetap</t>
  </si>
  <si>
    <t>Total Aset Tetap</t>
  </si>
  <si>
    <t>Total Portofolio Efek</t>
  </si>
  <si>
    <t xml:space="preserve">Total Portofolio Lainnya </t>
  </si>
  <si>
    <t>Total Pajak dibayar dimuka</t>
  </si>
  <si>
    <t>Total Uang Muka dan Biaya dibayar dimuka</t>
  </si>
  <si>
    <t>Total Aset Lain - Lain</t>
  </si>
  <si>
    <t>Total Utang Lainnya</t>
  </si>
  <si>
    <t>Total Utang Pajak</t>
  </si>
  <si>
    <t>Total Utang Sewa Pembiayaan</t>
  </si>
  <si>
    <t>Penyusutan Peralatan Kantor Fincen</t>
  </si>
  <si>
    <t>Penyusutan Peralatan Kantor Cabang</t>
  </si>
  <si>
    <t>Spare Part Kendaraan</t>
  </si>
  <si>
    <t>Spare Part Peralatan Kantor</t>
  </si>
  <si>
    <t>Perawatan / Instalasi Icloud</t>
  </si>
  <si>
    <t>Aset Tetap, Net</t>
  </si>
  <si>
    <t>Total Piutang Usaha</t>
  </si>
  <si>
    <t>WBS.1</t>
  </si>
  <si>
    <t>WBS.2</t>
  </si>
  <si>
    <t>WBS.3</t>
  </si>
  <si>
    <t>WBS.4</t>
  </si>
  <si>
    <t>WBS.5</t>
  </si>
  <si>
    <t>WBS.6</t>
  </si>
  <si>
    <t>WBS.7</t>
  </si>
  <si>
    <t>WBS.9</t>
  </si>
  <si>
    <t>WBS.10</t>
  </si>
  <si>
    <t>WBS.11</t>
  </si>
  <si>
    <t>WBS.12</t>
  </si>
  <si>
    <t>WBS.13</t>
  </si>
  <si>
    <t>WBS.14</t>
  </si>
  <si>
    <t>WBS.15</t>
  </si>
  <si>
    <t>WBS.16</t>
  </si>
  <si>
    <t>WBS.17</t>
  </si>
  <si>
    <t>WBS.8</t>
  </si>
  <si>
    <t>WPL.1</t>
  </si>
  <si>
    <t>WPL.2</t>
  </si>
  <si>
    <t>WPL.3</t>
  </si>
  <si>
    <t>WPL.4</t>
  </si>
  <si>
    <t>WPL.5</t>
  </si>
  <si>
    <t>WPL.6</t>
  </si>
  <si>
    <t>WPL.7</t>
  </si>
  <si>
    <t>WPL.8</t>
  </si>
  <si>
    <t>WPL.9</t>
  </si>
  <si>
    <t>WPL.10</t>
  </si>
  <si>
    <t>WPL.11</t>
  </si>
  <si>
    <t>WPL.12</t>
  </si>
  <si>
    <t>WPL.13</t>
  </si>
  <si>
    <t>WPL.14</t>
  </si>
  <si>
    <t>WPL.15</t>
  </si>
  <si>
    <t>WPL.16</t>
  </si>
  <si>
    <t>WPL.17</t>
  </si>
  <si>
    <t>WPL.18</t>
  </si>
  <si>
    <t>WPL.19</t>
  </si>
  <si>
    <t>Sewa Kantor dan Kendaraan</t>
  </si>
  <si>
    <t>Beban Perbaikan dan Pemeliharaan</t>
  </si>
  <si>
    <t>Beban Usaha Lainnya</t>
  </si>
  <si>
    <t xml:space="preserve">Beban Iuran </t>
  </si>
  <si>
    <t>Total Beban  Iuran</t>
  </si>
  <si>
    <t>WPL.20</t>
  </si>
  <si>
    <t>WPL.21</t>
  </si>
  <si>
    <t>MNCFinancial Center Jl.Kebon Sirih No.21 - 27 Jakarta 10340 - Indonesia</t>
  </si>
  <si>
    <t>No</t>
  </si>
  <si>
    <t>Account</t>
  </si>
  <si>
    <t>PreviousBalance</t>
  </si>
  <si>
    <t>DebetMutasi</t>
  </si>
  <si>
    <t>CreditMutasi</t>
  </si>
  <si>
    <t>CurrentBalance</t>
  </si>
  <si>
    <t>PL Monthly</t>
  </si>
  <si>
    <t>ASSET</t>
  </si>
  <si>
    <t>111.04.01 - AYAT SILANG</t>
  </si>
  <si>
    <t>112.01.08 - DEPOSITO DI MNC BANK USD</t>
  </si>
  <si>
    <t>Asset Pajak Tangguhan</t>
  </si>
  <si>
    <t>ASSET LAIN-LAIN</t>
  </si>
  <si>
    <t>171.01.01 - SOFTWARE SIAP SIAR</t>
  </si>
  <si>
    <t>LIABILITAS IMBALAN KERJA</t>
  </si>
  <si>
    <t>311.01.01 - MODAL DISETOR  - PT BHAKTI CAPITAL INDONESIA TBK</t>
  </si>
  <si>
    <t xml:space="preserve">   Modal Disetor dan Ditempatkan</t>
  </si>
  <si>
    <t>311.01.02 - MODAL DISETOR - KOPERASI KARYAWAN PT BHAKTI INVESTAMA</t>
  </si>
  <si>
    <t>330.03.01 - PENDAPATAN KOMPREHENSIF INCOME (OCI)</t>
  </si>
  <si>
    <t>411.01.01 - KOMISI MANAGER INVESTASI &amp; REKSADANA</t>
  </si>
  <si>
    <t>411.01.03 - KOMISI MANAJEMEN INVESTASI KPD</t>
  </si>
  <si>
    <t>411.01.04 - KOMISI MANAGER INVESTASI &amp; REKSADANA MNC DANA EKUITAS</t>
  </si>
  <si>
    <t>411.01.05 - KOMISI MANAGER INVESTASI &amp; REKSADANA MNC DANA KOMBINASI</t>
  </si>
  <si>
    <t>411.01.06 - KOMISI MANAGER INVESTASI &amp; REKSADANA MNC DANA KOMBINASI ICON</t>
  </si>
  <si>
    <t>411.01.07 - KOMISI MANAGER INVESTASI &amp; REKSADANA MNC DANA KOMBINASI KONSUMEN</t>
  </si>
  <si>
    <t>411.01.08 - KOMISI MANAGER INVESTASI &amp; REKSADANA MNC DANA LANCAR</t>
  </si>
  <si>
    <t>411.01.09 - KOMISI MANAGER INVESTASI &amp; REKSADANA MNC DANA SYARIAH</t>
  </si>
  <si>
    <t>411.01.10 - KOMISI MANAGER INVESTASI &amp; REKSADANA MNC DANA SYARIAH EKUITAS</t>
  </si>
  <si>
    <t>411.01.11 - KOMISI MANAGER INVESTASI &amp; REKSADANA MNC DANA SYARIAH KOMBINASI</t>
  </si>
  <si>
    <t>411.01.12 - KOMISI MANAGER INVESTASI &amp; REKSADANA MNC DANA LIKUID</t>
  </si>
  <si>
    <t>411.01.13 - KOMISI MANAGER INVESTASI &amp; REKSADANA MNC DANA DOLLAR (IDR)</t>
  </si>
  <si>
    <t>411.01.14 - KOMISI MANAGER INVESTASI &amp; REKSADANA MNC DANA INDEKS MNC36</t>
  </si>
  <si>
    <t>411.01.16 - KOMISI MANAGER INVESTASI &amp; REKSADANA MNC DANA TERPROTEKSI IV</t>
  </si>
  <si>
    <t>411.01.18 - KOMISI MANAGER INVESTASI &amp; REKSADANA MNC DANA TERPROTEKSI XII</t>
  </si>
  <si>
    <t>411.01.19 - KOMISI MANAGER INVESTASI &amp; REKSADANA MNC DANA SYARIAH BAROKAH</t>
  </si>
  <si>
    <t>411.01.20 - KOMISI MANAGER INVESTASI &amp; REKSADANA SBN</t>
  </si>
  <si>
    <t>411.01.21 - KOMISI MANAGER INVESTASI &amp; REKSADANA MNC PENDAPATAN TETAP II (MSIG)</t>
  </si>
  <si>
    <t>411.01.23 - KOMISI MANAGER INVESTASI &amp; REKSADANA MNC PENDAPATAN TETAP III (SIMAS JIWA)</t>
  </si>
  <si>
    <t>411.01.24 - KOMISI MANAGER INVESTASI &amp; REKSADANA MNC DANA TERPROTEKSI III (BANK SUMUT)</t>
  </si>
  <si>
    <t>411.01.25 - KOMISI MANAGER INVESTASI &amp; REKSADANA MNC DANA TERPROTEKSI V (BANK SULUT)</t>
  </si>
  <si>
    <t>411.01.26 - KOMISI MANAGER INVESTASI &amp; REKSADANA MNC DANA TERPROTEKSI VIII (ASURANSI SIMAS)</t>
  </si>
  <si>
    <t>411.01.27 - KOMISI MANAGER INVESTASI &amp; REKSADANA MNC DANA TERPROTEKSI IX (MSIG)</t>
  </si>
  <si>
    <t>411.01.28 - KOMISI MANAGER INVESTASI &amp; REKSADANA MNC DANA TERPROTEKSI X (SIMAS JIWA)</t>
  </si>
  <si>
    <t>411.01.29 - KOMISI MANAGER INVESTASI &amp; REKSADANA MNC DANA TERPROTEKSI XI (TUGU REI)</t>
  </si>
  <si>
    <t>411.01.30 - KOMISI MANAGER INVESTASI &amp; REKSADANA MNC DANA SYARIAH EKUITAS II</t>
  </si>
  <si>
    <t>411.01.31 - KOMISI MANAGER INVESTASI &amp; REKSADANA MNC DANA TERPROTEKSI XIII (SIMAS)</t>
  </si>
  <si>
    <t>411.01.32 - KOMISI MANAGER INVESTASI &amp; REKSADANA MNC DANA SYARIAH TERPROTEKSI (SIMAS)</t>
  </si>
  <si>
    <t>411.01.33 - KOMISI MANAGER INVESTASI &amp; REKSADANA MULTISEKTOR I</t>
  </si>
  <si>
    <t>411.01.36 - KOMISI MANAGER INVESTASI &amp; REKSADANA MNC LINK AKTIF</t>
  </si>
  <si>
    <t>411.01.37 - KOMISI MANAGER INVESTASI &amp; REKSADANA MNC LINK SERASI</t>
  </si>
  <si>
    <t>411.01.38 - KOMISI MANAGER INVESTASI &amp; REKSADANA MNC LINK PASTI</t>
  </si>
  <si>
    <t>411.01.39 - KOMISI MANAGER INVESTASI &amp; REKSADANA MNC DANA TERPROTEKSI XIV</t>
  </si>
  <si>
    <t>411.01.40 - KOMISI MANAGER INVESTASI &amp; REKSADANA MNC DANA PENDAPATAN TETAP IV</t>
  </si>
  <si>
    <t>522.02.02 - MATERAI SALES</t>
  </si>
  <si>
    <t>561.02.01 - PAJAK KENDARAAN SALES</t>
  </si>
  <si>
    <t>571.01.02 - PERAWATAN KENDARAAN (INCLUDE TAX)</t>
  </si>
  <si>
    <t>MTD</t>
  </si>
  <si>
    <t>YTD</t>
  </si>
  <si>
    <t>Aset Lainnya</t>
  </si>
  <si>
    <t>Sewa dibayar dimuka - Cabang</t>
  </si>
  <si>
    <t>Biaya Dibayar Dimuka Equity Link Advertising</t>
  </si>
  <si>
    <t>Laba (rugi) sebelum taksiran pajak penghasilan</t>
  </si>
  <si>
    <t>Laba (Rugi) Portofolio Saham Unrealized</t>
  </si>
  <si>
    <t>Laba (Rugi) Portofolio Saham Realized</t>
  </si>
  <si>
    <t>Laba (Rugi) Selisih Kurs Lainnya</t>
  </si>
  <si>
    <t>JUMLAH KEWAJIBAN &amp; EKUITAS</t>
  </si>
  <si>
    <t>111.03.03 - PETTY CASH GA</t>
  </si>
  <si>
    <t>163.03.01 - BIAYA DITANGGUHKAN LANGGANAN BLOOMBERG</t>
  </si>
  <si>
    <t>163.03.05 - BIAYA DIBAYAR DIMUKA LAINNYA</t>
  </si>
  <si>
    <t>223.06.05 - HUTANG PT. MNC GUNA USAHA</t>
  </si>
  <si>
    <t>524.02.02 - SUMBANGAN SALES</t>
  </si>
  <si>
    <t>552.01.06 - P. INVENTARIS SURABAYA</t>
  </si>
  <si>
    <t>511.01.04</t>
  </si>
  <si>
    <t>511.01.13</t>
  </si>
  <si>
    <t>PT MNC ASSET MANAGEMENT</t>
  </si>
  <si>
    <t xml:space="preserve">Laporan Keuangan </t>
  </si>
  <si>
    <t>-</t>
  </si>
  <si>
    <t>Saldo per 31 Oktober 2015</t>
  </si>
  <si>
    <t>11</t>
  </si>
  <si>
    <t>12</t>
  </si>
  <si>
    <t>Pembelian Obligasi PT Global Mediacom I</t>
  </si>
  <si>
    <t xml:space="preserve"> Tahun 2012 Seri B</t>
  </si>
  <si>
    <t>Sehingga susunan pemegang saham pada tanggal 28 Februari 2015 dan 2014 adalah sebagai berikut:</t>
  </si>
  <si>
    <t>15.</t>
  </si>
  <si>
    <t>16.</t>
  </si>
  <si>
    <t>17.</t>
  </si>
  <si>
    <t>18.</t>
  </si>
  <si>
    <t>MNC Asset Management (in bio Rp)</t>
  </si>
  <si>
    <t>Year to Date</t>
  </si>
  <si>
    <t>Budget</t>
  </si>
  <si>
    <t>Growth</t>
  </si>
  <si>
    <t>Ach</t>
  </si>
  <si>
    <t>Revenues</t>
  </si>
  <si>
    <t>Operating Expenses</t>
  </si>
  <si>
    <t>Operating Income</t>
  </si>
  <si>
    <t>Net Income</t>
  </si>
  <si>
    <t>EBITDA</t>
  </si>
  <si>
    <t>EBITDA Margin</t>
  </si>
  <si>
    <t>Total Assets</t>
  </si>
  <si>
    <t>Total Liabilities</t>
  </si>
  <si>
    <t>Total Equity</t>
  </si>
  <si>
    <t>yang berakhir pada tanggal</t>
  </si>
  <si>
    <t>(tidak diaudit)</t>
  </si>
  <si>
    <t>121.01.01 - PIUTANG LAIN-LAIN</t>
  </si>
  <si>
    <t>DETAIL BALANCE SHEET &amp; LABA RUGI</t>
  </si>
  <si>
    <t>PERIODE 2016</t>
  </si>
  <si>
    <t>USD (______ 2017 &amp; ______2016)</t>
  </si>
  <si>
    <t>IN $</t>
  </si>
  <si>
    <t>Sewa dibayar dimuka Lainnya</t>
  </si>
  <si>
    <t>TOTAL ASET</t>
  </si>
  <si>
    <t>OCI</t>
  </si>
  <si>
    <t>Ekuitas Lainnya</t>
  </si>
  <si>
    <t>TOTAL LIABILITIES &amp; EKUITAS</t>
  </si>
  <si>
    <t>THR / Bonus</t>
  </si>
  <si>
    <t>Komisi Sales / Insentif</t>
  </si>
  <si>
    <t>Penyusutan Kendaraan</t>
  </si>
  <si>
    <t>Laba (Rugi) Portofolio Unrealized</t>
  </si>
  <si>
    <t>Laba (Rugi) Portofolio Realized</t>
  </si>
  <si>
    <t>111.01.07 - BANK BUMIPUTERA PAYROLL</t>
  </si>
  <si>
    <t>163.02.05 - BIAYA DITANGGUHKAN SEWA CABANG</t>
  </si>
  <si>
    <t>511.01.05 - TUNJANGAN HARI RAYA ( THR )</t>
  </si>
  <si>
    <t>511.01.02 - TUNJANGAN MAKAN</t>
  </si>
  <si>
    <t>541.01.06 - INSTALASI KABEL DATA</t>
  </si>
  <si>
    <t>571.01.01 - PERAWATAN AKTIVA TETAP</t>
  </si>
  <si>
    <t>571.01.08 - ASURANSI LAINNYA</t>
  </si>
  <si>
    <t>612.01.03 - BEBAN BUNGA MTN</t>
  </si>
  <si>
    <t>Total Funds - Group</t>
  </si>
  <si>
    <t>Total Funds - Retail</t>
  </si>
  <si>
    <t>Total Funds - Institusi I</t>
  </si>
  <si>
    <t>Total Funds - Institusi I (Jiwasraya)</t>
  </si>
  <si>
    <t>Total Funds - Institusi II (Mafi-RD)</t>
  </si>
  <si>
    <t>Total Funds - Institusi II (Mafi-Simas)</t>
  </si>
  <si>
    <t>Total Funds - Institusi III</t>
  </si>
  <si>
    <t>Total Funds - Aliancies</t>
  </si>
  <si>
    <t>Total Funds - Online Platform</t>
  </si>
  <si>
    <t>Funds - RDO</t>
  </si>
  <si>
    <t>Funds - HO</t>
  </si>
  <si>
    <t>TOTAL AUM RD</t>
  </si>
  <si>
    <t>KPD MNC Link</t>
  </si>
  <si>
    <t>Total AUM RD + KPD</t>
  </si>
  <si>
    <t>fund flow</t>
  </si>
  <si>
    <t>Total Fee - Group</t>
  </si>
  <si>
    <t>Total Fee - Retail</t>
  </si>
  <si>
    <t>Total Fee - Institusi I</t>
  </si>
  <si>
    <t>Total Fee - Aliancies</t>
  </si>
  <si>
    <t>Fee - Online Platform</t>
  </si>
  <si>
    <t>Fee - RDO</t>
  </si>
  <si>
    <t>Fee - HO</t>
  </si>
  <si>
    <t>TOTAL Fee RD</t>
  </si>
  <si>
    <t>Total Fee RD + KPD</t>
  </si>
  <si>
    <t>Des 15 - Audited</t>
  </si>
  <si>
    <t xml:space="preserve">Budget </t>
  </si>
  <si>
    <t>YTD AGS 16</t>
  </si>
  <si>
    <t>YTD SEP 16</t>
  </si>
  <si>
    <t>ESTIMASI</t>
  </si>
  <si>
    <t>BUDGET</t>
  </si>
  <si>
    <t>2016</t>
  </si>
  <si>
    <t>2017</t>
  </si>
  <si>
    <t>PROFIT AND LOSS STATEMENT</t>
  </si>
  <si>
    <t>OPERATING REVENUE</t>
  </si>
  <si>
    <t>Investment Management Services</t>
  </si>
  <si>
    <t>Total Revenue</t>
  </si>
  <si>
    <t>Operating Expense</t>
  </si>
  <si>
    <t>Salary and Allowances</t>
  </si>
  <si>
    <t>Management Fee</t>
  </si>
  <si>
    <t>Advertisement and Promotion</t>
  </si>
  <si>
    <t>Rent</t>
  </si>
  <si>
    <t>Office Expenses</t>
  </si>
  <si>
    <t>Outsourcing Expense</t>
  </si>
  <si>
    <t>Depreciation of Fixed Assets</t>
  </si>
  <si>
    <t>Entertainment and donation</t>
  </si>
  <si>
    <t>Communication and Information</t>
  </si>
  <si>
    <t>Honorarium Experts</t>
  </si>
  <si>
    <t>Travel and Transporation</t>
  </si>
  <si>
    <t>Amortization</t>
  </si>
  <si>
    <t>Sharing Fee</t>
  </si>
  <si>
    <t>Taxes Expense</t>
  </si>
  <si>
    <t>Maintenance</t>
  </si>
  <si>
    <t>Iuran OJK</t>
  </si>
  <si>
    <t>Others</t>
  </si>
  <si>
    <t>IT Project Cost</t>
  </si>
  <si>
    <t>Total operating expense</t>
  </si>
  <si>
    <t>Income (loss) from operation</t>
  </si>
  <si>
    <t>Other income (loss)</t>
  </si>
  <si>
    <t>Interest income</t>
  </si>
  <si>
    <t>Interest Expenses and Financial Charges</t>
  </si>
  <si>
    <t>Others Income (loss)</t>
  </si>
  <si>
    <t>Changes in Fair Value of M/S - Realized</t>
  </si>
  <si>
    <t>Changes in Fair Value of M/S - Unrealized</t>
  </si>
  <si>
    <t xml:space="preserve">   Gain (Loss) on Foreign Exchange -</t>
  </si>
  <si>
    <t>Total other income (loss)</t>
  </si>
  <si>
    <t>Income (loss) before tax</t>
  </si>
  <si>
    <t>Corporate Income Tax</t>
  </si>
  <si>
    <t>Net Income After Tax</t>
  </si>
  <si>
    <t>BALANCE SHEET</t>
  </si>
  <si>
    <t>ASSETS</t>
  </si>
  <si>
    <t>Cash and Cash Equivalent</t>
  </si>
  <si>
    <t>Account Receivables</t>
  </si>
  <si>
    <t>Other Receivables</t>
  </si>
  <si>
    <t>Securities Portfolio</t>
  </si>
  <si>
    <t>Invesment</t>
  </si>
  <si>
    <t>Advancement and Prepayments</t>
  </si>
  <si>
    <t>Deferred Tax Assets</t>
  </si>
  <si>
    <t>Fixed Assets</t>
  </si>
  <si>
    <t>Aset Tak Berwujud</t>
  </si>
  <si>
    <t>Other Assets</t>
  </si>
  <si>
    <t>Liabilities &amp; Equities</t>
  </si>
  <si>
    <t>Liabilities</t>
  </si>
  <si>
    <t>Customer Payable</t>
  </si>
  <si>
    <t>Other Payable</t>
  </si>
  <si>
    <t>Taxes Payable</t>
  </si>
  <si>
    <t>Accrued Expenses</t>
  </si>
  <si>
    <t>Employee Benefits Obligation</t>
  </si>
  <si>
    <t>Lease Financing</t>
  </si>
  <si>
    <t>Cadangan Pengembangan Usaha</t>
  </si>
  <si>
    <t>Equity</t>
  </si>
  <si>
    <t>Capital Stock</t>
  </si>
  <si>
    <t>Unrealized Gain of AFS Securities</t>
  </si>
  <si>
    <t>Retained Earnings - Prior Year</t>
  </si>
  <si>
    <t>Retained Earnings - Current</t>
  </si>
  <si>
    <t xml:space="preserve">Total Equity </t>
  </si>
  <si>
    <t>Total Liabilities and Equity</t>
  </si>
  <si>
    <t>CASH FLOW</t>
  </si>
  <si>
    <t>CASH FLOW FROM OPERATING ACTIVITIES</t>
  </si>
  <si>
    <t>Invesment Management</t>
  </si>
  <si>
    <t>Sales of financial assets</t>
  </si>
  <si>
    <t>Interest Income</t>
  </si>
  <si>
    <t>Restitusi</t>
  </si>
  <si>
    <t>Loan interest payment</t>
  </si>
  <si>
    <t>Acquisition of financial assets</t>
  </si>
  <si>
    <t>Payment of Taxation</t>
  </si>
  <si>
    <t>Payment of Salaries</t>
  </si>
  <si>
    <t>Payment of Operating Expenses</t>
  </si>
  <si>
    <t>Net Cash Flow from Operating Activities</t>
  </si>
  <si>
    <t>Cash Flow from Investing Activities</t>
  </si>
  <si>
    <t>Purchases of Fixed Assets</t>
  </si>
  <si>
    <t>Sales of Fixed Assets</t>
  </si>
  <si>
    <t>Net Cash Flow from Investing Activities</t>
  </si>
  <si>
    <t>Cash Flow from Financing Activities</t>
  </si>
  <si>
    <t xml:space="preserve">   Paid Up Capital</t>
  </si>
  <si>
    <t>Payment of Dividends</t>
  </si>
  <si>
    <t xml:space="preserve">   Payment of Lease Payable</t>
  </si>
  <si>
    <t>Net Cash Flow from Financing Activities</t>
  </si>
  <si>
    <t>Foreign Exchange</t>
  </si>
  <si>
    <t>Net Cash Flows</t>
  </si>
  <si>
    <t>Cash and Equivalents - Beginning</t>
  </si>
  <si>
    <t>Cash and Equivalents - Ending</t>
  </si>
  <si>
    <t>Dividend Payout Ratio</t>
  </si>
  <si>
    <t>FA Schedule</t>
  </si>
  <si>
    <t>Existing Assets</t>
  </si>
  <si>
    <t>Book Value - Beginning</t>
  </si>
  <si>
    <t>Book Value - Ending</t>
  </si>
  <si>
    <t>New Assets</t>
  </si>
  <si>
    <t>Cost - Beginning</t>
  </si>
  <si>
    <t>Cost - Ending</t>
  </si>
  <si>
    <t>Acc. Depreciation - Beginning</t>
  </si>
  <si>
    <t>Acc. Depreciation - Ending</t>
  </si>
  <si>
    <t>FA Tak Berwujud Schedule</t>
  </si>
  <si>
    <t>Amortise - Beginning</t>
  </si>
  <si>
    <t>Amortise - Ending</t>
  </si>
  <si>
    <t>Economic Life of (New) Asset</t>
  </si>
  <si>
    <t>Interest Rate - Cash and Bank</t>
  </si>
  <si>
    <t>Funds</t>
  </si>
  <si>
    <t>MNC Combination Fund</t>
  </si>
  <si>
    <t>Grow in AUM</t>
  </si>
  <si>
    <t>MNC Equities Fund</t>
  </si>
  <si>
    <t>Other funds (Fixed Income)</t>
  </si>
  <si>
    <t>TOTAL AUM</t>
  </si>
  <si>
    <t>Fees</t>
  </si>
  <si>
    <t>Total Fees</t>
  </si>
  <si>
    <t>Funds - ALL</t>
  </si>
  <si>
    <t>Estimasi Des 14</t>
  </si>
  <si>
    <t>2014 - Budget</t>
  </si>
  <si>
    <t>MNC DANA KOMBINASI</t>
  </si>
  <si>
    <t>MNC DANA KOMBINASI ICON</t>
  </si>
  <si>
    <t>MNC DANA SYARIAH KOMBINASI</t>
  </si>
  <si>
    <t>MNC DANA KOMBINASI KONSUMEN</t>
  </si>
  <si>
    <t>MNC DANA EKUITAS</t>
  </si>
  <si>
    <t>MNC DANA SYARIAH EKUITAS</t>
  </si>
  <si>
    <t>REKSA DANA INDEKS MNC36</t>
  </si>
  <si>
    <t>REKSA DANA MNC DANA SAHAM</t>
  </si>
  <si>
    <t>REKSA DANA MNC DANA SAHAM II</t>
  </si>
  <si>
    <t>MNC DANA SYARIAH</t>
  </si>
  <si>
    <t>MNC DANA LIKUID</t>
  </si>
  <si>
    <t>MNC DANA DOLLAR</t>
  </si>
  <si>
    <t>MNC DANA PENDAPATAN TETAP</t>
  </si>
  <si>
    <t>MNC DANA PENDAPATAN TETAP II</t>
  </si>
  <si>
    <t>REKSA DANA MNC DANA SBN</t>
  </si>
  <si>
    <t>MNC DANA PENDAPATAN TETAP III</t>
  </si>
  <si>
    <t>KPD MNC LINK PASTI</t>
  </si>
  <si>
    <t>KPD MNC LINK AKTIF</t>
  </si>
  <si>
    <t>KPD MNC LINK SERASI</t>
  </si>
  <si>
    <t>MNC DANA LANCAR</t>
  </si>
  <si>
    <t>REKSA DANA SYARIAH MNC DANA SYARIAH BAROKAH</t>
  </si>
  <si>
    <t>TERPROTEKSI MNC DANA TERPROTEKSI</t>
  </si>
  <si>
    <t>MNC DANA TERPROTEKSI II</t>
  </si>
  <si>
    <t>MNC DANA TERPROTEKSI III</t>
  </si>
  <si>
    <t>MNC DANA TERPROTEKSI IV</t>
  </si>
  <si>
    <t>MNC DANA TERPROTEKSI V</t>
  </si>
  <si>
    <t>MNC DANA TERPROTEKSI VI</t>
  </si>
  <si>
    <t>MNC DANA TERPROTEKSI VIII</t>
  </si>
  <si>
    <t>MNC DANA TERPROTEKSI IX</t>
  </si>
  <si>
    <t>MNC DANA TERPROTEKSI X</t>
  </si>
  <si>
    <t>MNC DANA TERPROTEKSI XI</t>
  </si>
  <si>
    <t>MNC DANA TERPROTEKSI XII</t>
  </si>
  <si>
    <t>RD New Product 1</t>
  </si>
  <si>
    <t>RD New Product 2</t>
  </si>
  <si>
    <t>MNC DANA SYARIAH EKUITAS II</t>
  </si>
  <si>
    <t>Total Funds - all</t>
  </si>
  <si>
    <t>Funds - Group</t>
  </si>
  <si>
    <t>Funds - Retail</t>
  </si>
  <si>
    <t>2016 - Budget</t>
  </si>
  <si>
    <t>Funds - Institusi I</t>
  </si>
  <si>
    <t>Funds - Institusi I Jiwasraya</t>
  </si>
  <si>
    <t>Total Funds - Institusi I Jiwasraya</t>
  </si>
  <si>
    <t>Funds - Institusi II</t>
  </si>
  <si>
    <t xml:space="preserve">Total Funds - Institusi II </t>
  </si>
  <si>
    <t>Funds - Institusi II Simas</t>
  </si>
  <si>
    <t>Total Funds - Institusi II Simas</t>
  </si>
  <si>
    <t>Funds - Aliancies</t>
  </si>
  <si>
    <t>Funds - Online Platform</t>
  </si>
  <si>
    <t>Total Funds - RDO</t>
  </si>
  <si>
    <t>Total Funds - HO</t>
  </si>
  <si>
    <t>KPD - V.G.6</t>
  </si>
  <si>
    <t>KPD - MNC Link</t>
  </si>
  <si>
    <t>JBPK</t>
  </si>
  <si>
    <t xml:space="preserve">Fee - All </t>
  </si>
  <si>
    <t>Total Fee - all</t>
  </si>
  <si>
    <t>Fee KPD/ JBPK</t>
  </si>
  <si>
    <t>KPD V.G.6</t>
  </si>
  <si>
    <t xml:space="preserve">KPD MNC Link - </t>
  </si>
  <si>
    <t>KPD MNC Link - 30 M</t>
  </si>
  <si>
    <t>TOTAL KPD</t>
  </si>
  <si>
    <t>Fee - Group</t>
  </si>
  <si>
    <t>Portofolio</t>
  </si>
  <si>
    <t>Fee - Retail</t>
  </si>
  <si>
    <t>Fee - Institusi I</t>
  </si>
  <si>
    <t>CP Sep 15</t>
  </si>
  <si>
    <t xml:space="preserve">CP Des 2015 </t>
  </si>
  <si>
    <t>CP 2016</t>
  </si>
  <si>
    <t>Fee - Institusi I (Jiwasraya)</t>
  </si>
  <si>
    <t>Total Fee - Institusi I (Jiwasraya)</t>
  </si>
  <si>
    <t>Fee - Institusi II</t>
  </si>
  <si>
    <t xml:space="preserve">Total Fee - Institusi II </t>
  </si>
  <si>
    <t>Fee - Institusi II (Simas)</t>
  </si>
  <si>
    <t>Total Fee - Institusi II (Simas)</t>
  </si>
  <si>
    <t>Fee - Alliancies</t>
  </si>
  <si>
    <t>Total Fee - Alliancies</t>
  </si>
  <si>
    <t>Total Fee - Online Platform</t>
  </si>
  <si>
    <t>Total Fee - RDO</t>
  </si>
  <si>
    <t>Total Fee - HO</t>
  </si>
  <si>
    <t xml:space="preserve">     - BMTR                          </t>
  </si>
  <si>
    <t xml:space="preserve">     - FREN                           </t>
  </si>
  <si>
    <t xml:space="preserve">     - IATA                           </t>
  </si>
  <si>
    <t xml:space="preserve">     - MNCN                         </t>
  </si>
  <si>
    <t xml:space="preserve">     - MSKY                       </t>
  </si>
  <si>
    <t xml:space="preserve">     - KPIG                            </t>
  </si>
  <si>
    <t xml:space="preserve">     - BABP                           </t>
  </si>
  <si>
    <t>RD Lancar</t>
  </si>
  <si>
    <t>RD Kombinasi Konsumen</t>
  </si>
  <si>
    <t>TOTAL</t>
  </si>
  <si>
    <t>Perubahan NPW</t>
  </si>
  <si>
    <t>Budget YTD</t>
  </si>
  <si>
    <t>Budget MTD</t>
  </si>
  <si>
    <t>Rugi (Laba)</t>
  </si>
  <si>
    <t>168.02.01 - INVENTORY PROMOSI</t>
  </si>
  <si>
    <t>111.03.09 - PETTY CASH PEKANBARU</t>
  </si>
  <si>
    <t>end</t>
  </si>
  <si>
    <t>162.03.02 - DEPOSIT AIR MINUM</t>
  </si>
  <si>
    <t>411.01.41 - KOMISI MANAGER INVESTASI &amp; REKSADANA MNC DANA TERPROTEKSI XV</t>
  </si>
  <si>
    <t>411.01.42 - KOMISI MANAGER INVESTASI &amp; REKSADANA MNC DANA TERPROTEKSI XVII</t>
  </si>
  <si>
    <t>551.01.02 - SEWA GEDUNG CABANG SURABAYA</t>
  </si>
  <si>
    <t>551.02.01 - SEWA KENDARAAN</t>
  </si>
  <si>
    <t>Bank Bumiputera Payroll</t>
  </si>
  <si>
    <t>121.03.38 - PIUTANG REKSADANA MNC DANA PASAR UANG II</t>
  </si>
  <si>
    <t>411.01.43 - KOMISI MANAGER INVESTASI &amp; REKSADANA MNC DANA PASAR UANG II</t>
  </si>
  <si>
    <t>415.01.01 - DIVIDEN</t>
  </si>
  <si>
    <t>Referal Fee</t>
  </si>
  <si>
    <t>ok</t>
  </si>
  <si>
    <t>Aug 2017</t>
  </si>
  <si>
    <t>Saldo Laba Tahun Lalu</t>
  </si>
  <si>
    <t>Saldo Laba Tahun Berjalan</t>
  </si>
  <si>
    <t>112.01.10 - DEPOSITO DI BANK MNC RUPIAH</t>
  </si>
  <si>
    <t>121.03.39 - PIUTANG REKSADANA MNC DANA TERPROTEKSI XVI</t>
  </si>
  <si>
    <t>411.01.44 - KOMISI MANAGER INVESTASI &amp; REKSADANA MNC DANA TERPROTEKSI XVI</t>
  </si>
  <si>
    <t>Sep 2017</t>
  </si>
  <si>
    <t>121.03.40 - PIUTANG REKSADANA MNC DANA TERPROTEKSI XVIII</t>
  </si>
  <si>
    <t>121.03.41 - PIUTANG REKSADANA MNC DANA PASAR UANG</t>
  </si>
  <si>
    <t>121.03.42 - PIUTANG REKSADANA MNC DANA TERPROTEKSI XIX</t>
  </si>
  <si>
    <t>121.03.43 - PIUTANG REKSADANA MNC SMART EQUITY FUND</t>
  </si>
  <si>
    <t>163.01.17 - ASURANSI KENDARAAN DIBAYAR DIMUKA</t>
  </si>
  <si>
    <t>223.01.08 - HUTANG-MFIN</t>
  </si>
  <si>
    <t>411.01.45 - KOMISI MANAGER INVESTASI &amp; REKSADANA MNC DANA TERPROTEKSI XVIII</t>
  </si>
  <si>
    <t>411.01.46 - KOMISI MANAGER INVESTASI &amp; REKSADANA MNC DANA PASAR UANG</t>
  </si>
  <si>
    <t>411.01.47 - KOMISI MANAGER INVESTASI &amp; REKSADANA MNC DANA TERPROTEKSI XIX</t>
  </si>
  <si>
    <t>411.01.48 - KOMISI MANAGER INVESTASI &amp; REKSADANA MNC SMART EQUITY FUND</t>
  </si>
  <si>
    <t>PT MNC Finance - BMW X 1 Drive 18i</t>
  </si>
  <si>
    <t>USD (537,71 di 2017 &amp; 5.822,20 di 2016)</t>
  </si>
  <si>
    <t>Okt 2017</t>
  </si>
  <si>
    <t>121.03.44 - PIUTANG REKSADANA MNC DANA TERPROTEKSI 21</t>
  </si>
  <si>
    <t>411.01.49 - KOMISI MANAGER INVESTASI &amp; REKSADANA MNC DANA TERPROTEKSI 21</t>
  </si>
  <si>
    <t>121.03.36 - PIUTANG REKSADANA MNC DANA TERPROTEKSI XV</t>
  </si>
  <si>
    <t>121.03.37 - PIUTANG REKSADANA MNC DANA TERPROTEKSI XVII</t>
  </si>
  <si>
    <t>PERIODE 31 DEC 2017 DAN 2016</t>
  </si>
  <si>
    <t>31 DEC 2017 dan 2016</t>
  </si>
  <si>
    <t>YTD DEC 2017</t>
  </si>
  <si>
    <t>PER 31 DEC 2017</t>
  </si>
  <si>
    <t>Nov'2017</t>
  </si>
  <si>
    <t>111.01.08 - BANK BNI KRAMAT</t>
  </si>
  <si>
    <t>111.01.09 - BANK BUKOPIN</t>
  </si>
  <si>
    <t>121.03.45 - REKSA DANA TERPROTEKSI MNC DANA TERPROTEKSI DOLAR SERI 1</t>
  </si>
  <si>
    <t>121.03.46 - REKSA DANA TERPROTEKSI MNC DANA TERPROTEKSI 22</t>
  </si>
  <si>
    <t>121.03.47 - REKSA DANA TERPROTEKSI MNC DANA TERPROTEKSI 23</t>
  </si>
  <si>
    <t>121.03.48 - REKSA DANA TERPROTEKSI MNC DANA TERPROTEKSI 27</t>
  </si>
  <si>
    <t>121.03.49 - REKSA DANA TERPROTEKSI MNC DANA TERPROTEKSI 20</t>
  </si>
  <si>
    <t>121.03.50 - REKSA DANA MNC DANA PENDAPATAN TETAP V</t>
  </si>
  <si>
    <t>411.01.50 - KOMISI MANAGER INVESTASI &amp; REKSADANA TERPROTEKSI MNC DANA TERPROTEKSI DOLAR SERI 1</t>
  </si>
  <si>
    <t>411.01.51 - KOMISI MANAGER INVESTASI &amp; REKSA DANA TERPROTEKSI MNC DANA TERPROTEKSI 22</t>
  </si>
  <si>
    <t>411.01.52 - KOMISI MANAGER INVESTASI &amp; REKSA DANA TERPROTEKSI MNC DANA TERPROTEKSI 23</t>
  </si>
  <si>
    <t>411.01.53 - KOMISI MANAGER INVESTASI &amp; REKSA DANA TERPROTEKSI MNC DANA TERPROTEKSI 27</t>
  </si>
  <si>
    <t>411.01.54 - KOMISI MANAGER INVESTASI &amp; REKSA DANA MNC DANA TERPROTEKSI 20</t>
  </si>
  <si>
    <t>411.01.55 - KOMISI MANAGER INVESTASI &amp; REKSA DANA MNC DANA PENDAPATAN TETAP V</t>
  </si>
  <si>
    <t>511.01.12 - BEBAN IMBALAN KERJA</t>
  </si>
  <si>
    <t>618.01.00 - OCI</t>
  </si>
  <si>
    <t>Bank BNI Kramat</t>
  </si>
  <si>
    <t>Bank Bukopin</t>
  </si>
  <si>
    <t>Beban Kewajiban Imbalan Kerja</t>
  </si>
  <si>
    <t>Pengukuran kembali atas imbalan pasca kerja</t>
  </si>
  <si>
    <t>Total Komprehensive Lainnya</t>
  </si>
  <si>
    <t>111.03.10 - PETTY CASH MEDAN</t>
  </si>
  <si>
    <t>S21Account</t>
  </si>
  <si>
    <t>NewAccount</t>
  </si>
  <si>
    <t>111.01.01</t>
  </si>
  <si>
    <t>101.02.01.003</t>
  </si>
  <si>
    <t>111.01.03</t>
  </si>
  <si>
    <t>101.02.01.005</t>
  </si>
  <si>
    <t>111.01.04</t>
  </si>
  <si>
    <t>101.02.01.006</t>
  </si>
  <si>
    <t>111.01.05</t>
  </si>
  <si>
    <t>101.02.01.004</t>
  </si>
  <si>
    <t>111.01.06</t>
  </si>
  <si>
    <t>101.02.01.001</t>
  </si>
  <si>
    <t>111.01.07</t>
  </si>
  <si>
    <t>101.02.01.002</t>
  </si>
  <si>
    <t>111.01.08</t>
  </si>
  <si>
    <t>101.02.01.008</t>
  </si>
  <si>
    <t>111.02.02</t>
  </si>
  <si>
    <t>101.02.02.002</t>
  </si>
  <si>
    <t>111.02.03</t>
  </si>
  <si>
    <t>101.02.02.001</t>
  </si>
  <si>
    <t>111.03.01</t>
  </si>
  <si>
    <t>101.01.03.000</t>
  </si>
  <si>
    <t>111.03.02</t>
  </si>
  <si>
    <t>101.01.01.000</t>
  </si>
  <si>
    <t>111.03.03</t>
  </si>
  <si>
    <t>101.01.02.000</t>
  </si>
  <si>
    <t>111.03.05</t>
  </si>
  <si>
    <t>111.03.08</t>
  </si>
  <si>
    <t>111.03.09</t>
  </si>
  <si>
    <t>111.04.01</t>
  </si>
  <si>
    <t>101.04.00.000</t>
  </si>
  <si>
    <t>112.01.01</t>
  </si>
  <si>
    <t>112.01.08</t>
  </si>
  <si>
    <t>101.03.02.000</t>
  </si>
  <si>
    <t>112.01.10</t>
  </si>
  <si>
    <t>101.03.01.000</t>
  </si>
  <si>
    <t>121.01.01</t>
  </si>
  <si>
    <t>103.03.00.000</t>
  </si>
  <si>
    <t>121.03.01</t>
  </si>
  <si>
    <t>103.01.01.000</t>
  </si>
  <si>
    <t>121.03.02</t>
  </si>
  <si>
    <t>121.03.03</t>
  </si>
  <si>
    <t>121.03.04</t>
  </si>
  <si>
    <t>121.03.05</t>
  </si>
  <si>
    <t>121.03.06</t>
  </si>
  <si>
    <t>121.03.07</t>
  </si>
  <si>
    <t>121.03.08</t>
  </si>
  <si>
    <t>121.03.09</t>
  </si>
  <si>
    <t>121.03.10</t>
  </si>
  <si>
    <t>121.03.11</t>
  </si>
  <si>
    <t>121.03.13</t>
  </si>
  <si>
    <t>121.03.15</t>
  </si>
  <si>
    <t>121.03.16</t>
  </si>
  <si>
    <t>121.03.17</t>
  </si>
  <si>
    <t>121.03.18</t>
  </si>
  <si>
    <t>121.03.19</t>
  </si>
  <si>
    <t>121.03.20</t>
  </si>
  <si>
    <t>121.03.21</t>
  </si>
  <si>
    <t>121.03.22</t>
  </si>
  <si>
    <t>121.03.23</t>
  </si>
  <si>
    <t>121.03.24</t>
  </si>
  <si>
    <t>121.03.25</t>
  </si>
  <si>
    <t>121.03.26</t>
  </si>
  <si>
    <t>121.03.27</t>
  </si>
  <si>
    <t>121.03.28</t>
  </si>
  <si>
    <t>121.03.29</t>
  </si>
  <si>
    <t>121.03.30</t>
  </si>
  <si>
    <t>121.03.31</t>
  </si>
  <si>
    <t>121.03.32</t>
  </si>
  <si>
    <t>121.03.33</t>
  </si>
  <si>
    <t>121.03.36</t>
  </si>
  <si>
    <t>121.03.37</t>
  </si>
  <si>
    <t>121.03.38</t>
  </si>
  <si>
    <t>121.03.39</t>
  </si>
  <si>
    <t>121.03.40</t>
  </si>
  <si>
    <t>121.03.41</t>
  </si>
  <si>
    <t>121.03.42</t>
  </si>
  <si>
    <t>121.03.43</t>
  </si>
  <si>
    <t>122.01.01</t>
  </si>
  <si>
    <t>102.02.01.000</t>
  </si>
  <si>
    <t>122.01.03</t>
  </si>
  <si>
    <t>122.01.04</t>
  </si>
  <si>
    <t>122.01.05</t>
  </si>
  <si>
    <t>122.01.08</t>
  </si>
  <si>
    <t>122.01.10</t>
  </si>
  <si>
    <t>122.01.11</t>
  </si>
  <si>
    <t>122.03.11</t>
  </si>
  <si>
    <t>102.03.01.000</t>
  </si>
  <si>
    <t>122.03.13</t>
  </si>
  <si>
    <t>122.03.15</t>
  </si>
  <si>
    <t>122.03.16</t>
  </si>
  <si>
    <t>122.03.17</t>
  </si>
  <si>
    <t>122.03.18</t>
  </si>
  <si>
    <t>122.03.19</t>
  </si>
  <si>
    <t>151.01.01</t>
  </si>
  <si>
    <t>108.01.01.002</t>
  </si>
  <si>
    <t>151.01.02</t>
  </si>
  <si>
    <t>108.01.01.003</t>
  </si>
  <si>
    <t>151.01.03</t>
  </si>
  <si>
    <t>151.01.04</t>
  </si>
  <si>
    <t>108.01.01.001</t>
  </si>
  <si>
    <t>151.01.05</t>
  </si>
  <si>
    <t>151.01.06</t>
  </si>
  <si>
    <t>151.01.07</t>
  </si>
  <si>
    <t>151.01.08</t>
  </si>
  <si>
    <t>151.01.09</t>
  </si>
  <si>
    <t>151.01.10</t>
  </si>
  <si>
    <t>151.01.11</t>
  </si>
  <si>
    <t>151.01.13</t>
  </si>
  <si>
    <t>151.01.14</t>
  </si>
  <si>
    <t>151.01.16</t>
  </si>
  <si>
    <t>151.01.17</t>
  </si>
  <si>
    <t>151.01.20</t>
  </si>
  <si>
    <t>151.02.01</t>
  </si>
  <si>
    <t>108.01.02.001</t>
  </si>
  <si>
    <t>153.01.01</t>
  </si>
  <si>
    <t>108.02.01.002</t>
  </si>
  <si>
    <t>153.01.02</t>
  </si>
  <si>
    <t>108.02.01.003</t>
  </si>
  <si>
    <t>153.01.03</t>
  </si>
  <si>
    <t>153.01.04</t>
  </si>
  <si>
    <t>108.02.01.001</t>
  </si>
  <si>
    <t>153.01.05</t>
  </si>
  <si>
    <t>153.01.06</t>
  </si>
  <si>
    <t>153.01.07</t>
  </si>
  <si>
    <t>153.01.08</t>
  </si>
  <si>
    <t>153.01.09</t>
  </si>
  <si>
    <t>153.01.10</t>
  </si>
  <si>
    <t>153.01.11</t>
  </si>
  <si>
    <t>153.01.13</t>
  </si>
  <si>
    <t>153.01.14</t>
  </si>
  <si>
    <t>153.01.16</t>
  </si>
  <si>
    <t>153.01.17</t>
  </si>
  <si>
    <t>153.01.20</t>
  </si>
  <si>
    <t>153.02.01</t>
  </si>
  <si>
    <t>108.02.02.001</t>
  </si>
  <si>
    <t>162.01.02</t>
  </si>
  <si>
    <t>110.01.01.002</t>
  </si>
  <si>
    <t>162.01.04</t>
  </si>
  <si>
    <t>162.01.05</t>
  </si>
  <si>
    <t>162.01.08</t>
  </si>
  <si>
    <t>110.01.01.003</t>
  </si>
  <si>
    <t>162.01.09</t>
  </si>
  <si>
    <t>162.02.01</t>
  </si>
  <si>
    <t>110.01.01.001</t>
  </si>
  <si>
    <t>162.02.02</t>
  </si>
  <si>
    <t>162.02.03</t>
  </si>
  <si>
    <t>162.02.06</t>
  </si>
  <si>
    <t>162.02.07</t>
  </si>
  <si>
    <t>162.02.08</t>
  </si>
  <si>
    <t>162.03.01</t>
  </si>
  <si>
    <t>162.03.02</t>
  </si>
  <si>
    <t>162.05.00</t>
  </si>
  <si>
    <t>110.01.02.001</t>
  </si>
  <si>
    <t>163.01.01</t>
  </si>
  <si>
    <t>106.02.02.000</t>
  </si>
  <si>
    <t>163.01.03</t>
  </si>
  <si>
    <t>106.02.01.000</t>
  </si>
  <si>
    <t>163.01.04</t>
  </si>
  <si>
    <t>163.01.06</t>
  </si>
  <si>
    <t>163.01.07</t>
  </si>
  <si>
    <t>163.01.08</t>
  </si>
  <si>
    <t>163.01.09</t>
  </si>
  <si>
    <t>163.01.12</t>
  </si>
  <si>
    <t>163.01.13</t>
  </si>
  <si>
    <t>163.01.14</t>
  </si>
  <si>
    <t>163.01.15</t>
  </si>
  <si>
    <t>163.01.16</t>
  </si>
  <si>
    <t>106.02.03.000</t>
  </si>
  <si>
    <t>163.01.17</t>
  </si>
  <si>
    <t>163.02.01</t>
  </si>
  <si>
    <t>106.01.01.000</t>
  </si>
  <si>
    <t>163.02.03</t>
  </si>
  <si>
    <t>163.02.05</t>
  </si>
  <si>
    <t>163.02.08</t>
  </si>
  <si>
    <t>163.03.01</t>
  </si>
  <si>
    <t>106.03.02.000</t>
  </si>
  <si>
    <t>163.03.02</t>
  </si>
  <si>
    <t>106.03.01.000</t>
  </si>
  <si>
    <t>163.03.03</t>
  </si>
  <si>
    <t>106.05.00.000</t>
  </si>
  <si>
    <t>163.03.05</t>
  </si>
  <si>
    <t>106.06.00.000</t>
  </si>
  <si>
    <t>164.01.01</t>
  </si>
  <si>
    <t>165.01.01</t>
  </si>
  <si>
    <t>104.02.00.000</t>
  </si>
  <si>
    <t>165.01.02</t>
  </si>
  <si>
    <t>104.03.00.000</t>
  </si>
  <si>
    <t>165.01.03</t>
  </si>
  <si>
    <t>104.01.00.000</t>
  </si>
  <si>
    <t>165.01.04</t>
  </si>
  <si>
    <t>105.00.00.000</t>
  </si>
  <si>
    <t>165.01.05</t>
  </si>
  <si>
    <t>107.00.00.000</t>
  </si>
  <si>
    <t>166.04.01</t>
  </si>
  <si>
    <t>103.02.05.000</t>
  </si>
  <si>
    <t>168.01.01</t>
  </si>
  <si>
    <t>108.03.00.000</t>
  </si>
  <si>
    <t>168.02.01</t>
  </si>
  <si>
    <t>110.01.02.002</t>
  </si>
  <si>
    <t>171.01.01</t>
  </si>
  <si>
    <t>109.01.01.000</t>
  </si>
  <si>
    <t>173.01.01</t>
  </si>
  <si>
    <t>109.02.01.000</t>
  </si>
  <si>
    <t>219.01.01</t>
  </si>
  <si>
    <t>201.01.02.000</t>
  </si>
  <si>
    <t>219.01.02</t>
  </si>
  <si>
    <t>201.01.03.000</t>
  </si>
  <si>
    <t>219.01.04</t>
  </si>
  <si>
    <t>201.01.04.000</t>
  </si>
  <si>
    <t>219.01.05</t>
  </si>
  <si>
    <t>201.01.01.000</t>
  </si>
  <si>
    <t>219.01.07</t>
  </si>
  <si>
    <t>201.05.00.000</t>
  </si>
  <si>
    <t>219.01.08</t>
  </si>
  <si>
    <t>201.01.05.000</t>
  </si>
  <si>
    <t>220.01.03</t>
  </si>
  <si>
    <t>201.02.00.000</t>
  </si>
  <si>
    <t>220.01.06</t>
  </si>
  <si>
    <t>201.04.00.000</t>
  </si>
  <si>
    <t>220.02.03</t>
  </si>
  <si>
    <t>201.03.01.000</t>
  </si>
  <si>
    <t>223.01.06</t>
  </si>
  <si>
    <t>223.01.07</t>
  </si>
  <si>
    <t>223.01.08</t>
  </si>
  <si>
    <t>223.03.01</t>
  </si>
  <si>
    <t>201.03.02.000</t>
  </si>
  <si>
    <t>223.04.01</t>
  </si>
  <si>
    <t>223.06.05</t>
  </si>
  <si>
    <t>311.01.01</t>
  </si>
  <si>
    <t>301.01.00.000</t>
  </si>
  <si>
    <t>311.01.02</t>
  </si>
  <si>
    <t>312.01.04</t>
  </si>
  <si>
    <t>303.01.00.000</t>
  </si>
  <si>
    <t>330.01.01</t>
  </si>
  <si>
    <t>302.01.00.000</t>
  </si>
  <si>
    <t>330.03.01</t>
  </si>
  <si>
    <t>411.01.01</t>
  </si>
  <si>
    <t>401.01.00.000</t>
  </si>
  <si>
    <t>411.01.03</t>
  </si>
  <si>
    <t>411.01.04</t>
  </si>
  <si>
    <t>411.01.05</t>
  </si>
  <si>
    <t>411.01.06</t>
  </si>
  <si>
    <t>411.01.07</t>
  </si>
  <si>
    <t>411.01.08</t>
  </si>
  <si>
    <t>411.01.09</t>
  </si>
  <si>
    <t>411.01.10</t>
  </si>
  <si>
    <t>411.01.11</t>
  </si>
  <si>
    <t>411.01.12</t>
  </si>
  <si>
    <t>411.01.13</t>
  </si>
  <si>
    <t>411.01.14</t>
  </si>
  <si>
    <t>411.01.16</t>
  </si>
  <si>
    <t>411.01.18</t>
  </si>
  <si>
    <t>411.01.19</t>
  </si>
  <si>
    <t>411.01.20</t>
  </si>
  <si>
    <t>411.01.21</t>
  </si>
  <si>
    <t>411.01.23</t>
  </si>
  <si>
    <t>411.01.24</t>
  </si>
  <si>
    <t>411.01.25</t>
  </si>
  <si>
    <t>411.01.26</t>
  </si>
  <si>
    <t>411.01.27</t>
  </si>
  <si>
    <t>411.01.28</t>
  </si>
  <si>
    <t>411.01.29</t>
  </si>
  <si>
    <t>411.01.30</t>
  </si>
  <si>
    <t>411.01.31</t>
  </si>
  <si>
    <t>411.01.32</t>
  </si>
  <si>
    <t>411.01.33</t>
  </si>
  <si>
    <t>411.01.36</t>
  </si>
  <si>
    <t>411.01.37</t>
  </si>
  <si>
    <t>411.01.38</t>
  </si>
  <si>
    <t>411.01.39</t>
  </si>
  <si>
    <t>411.01.40</t>
  </si>
  <si>
    <t>411.01.41</t>
  </si>
  <si>
    <t>411.01.42</t>
  </si>
  <si>
    <t>411.01.43</t>
  </si>
  <si>
    <t>411.01.44</t>
  </si>
  <si>
    <t>411.01.45</t>
  </si>
  <si>
    <t>411.01.46</t>
  </si>
  <si>
    <t>411.01.47</t>
  </si>
  <si>
    <t>411.01.48</t>
  </si>
  <si>
    <t>412.01.01</t>
  </si>
  <si>
    <t>401.02.00.000</t>
  </si>
  <si>
    <t>412.01.02</t>
  </si>
  <si>
    <t>403.00.00.000</t>
  </si>
  <si>
    <t>414.01.01</t>
  </si>
  <si>
    <t>402.01.01.000</t>
  </si>
  <si>
    <t>414.01.02</t>
  </si>
  <si>
    <t>402.01.02.000</t>
  </si>
  <si>
    <t>414.03.01</t>
  </si>
  <si>
    <t>402.02.01.000</t>
  </si>
  <si>
    <t>414.03.02</t>
  </si>
  <si>
    <t>402.02.02.000</t>
  </si>
  <si>
    <t>415.01.01</t>
  </si>
  <si>
    <t>404.00.00.000</t>
  </si>
  <si>
    <t>511.01.01</t>
  </si>
  <si>
    <t>501.01.00.000</t>
  </si>
  <si>
    <t>511.01.02</t>
  </si>
  <si>
    <t>501.02.00.000</t>
  </si>
  <si>
    <t>501.09.00.000</t>
  </si>
  <si>
    <t>511.01.05</t>
  </si>
  <si>
    <t>501.04.00.000</t>
  </si>
  <si>
    <t>511.01.06</t>
  </si>
  <si>
    <t>501.05.00.000</t>
  </si>
  <si>
    <t>511.01.07</t>
  </si>
  <si>
    <t>501.06.00.000</t>
  </si>
  <si>
    <t>511.01.10</t>
  </si>
  <si>
    <t>501.03.00.000</t>
  </si>
  <si>
    <t>511.01.11</t>
  </si>
  <si>
    <t>501.07.00.000</t>
  </si>
  <si>
    <t>501.08.00.000</t>
  </si>
  <si>
    <t>511.01.14</t>
  </si>
  <si>
    <t>501.11.00.000</t>
  </si>
  <si>
    <t>511.01.15</t>
  </si>
  <si>
    <t>511.02.04</t>
  </si>
  <si>
    <t>521.01.01</t>
  </si>
  <si>
    <t>502.02.00.000</t>
  </si>
  <si>
    <t>521.01.02</t>
  </si>
  <si>
    <t>503.05.00.000</t>
  </si>
  <si>
    <t>521.02.02</t>
  </si>
  <si>
    <t>522.01.01</t>
  </si>
  <si>
    <t>504.03.00.000</t>
  </si>
  <si>
    <t>522.01.02</t>
  </si>
  <si>
    <t>522.01.03</t>
  </si>
  <si>
    <t>504.01.00.000</t>
  </si>
  <si>
    <t>522.01.04</t>
  </si>
  <si>
    <t>504.02.00.000</t>
  </si>
  <si>
    <t>522.01.05</t>
  </si>
  <si>
    <t>504.06.00.000</t>
  </si>
  <si>
    <t>522.01.06</t>
  </si>
  <si>
    <t>504.09.00.000</t>
  </si>
  <si>
    <t>522.01.07</t>
  </si>
  <si>
    <t>504.04.00.000</t>
  </si>
  <si>
    <t>522.01.08</t>
  </si>
  <si>
    <t>504.07.00.000</t>
  </si>
  <si>
    <t>522.02.01</t>
  </si>
  <si>
    <t>522.02.02</t>
  </si>
  <si>
    <t>522.02.03</t>
  </si>
  <si>
    <t>522.02.04</t>
  </si>
  <si>
    <t>522.02.05</t>
  </si>
  <si>
    <t>522.02.06</t>
  </si>
  <si>
    <t>522.02.07</t>
  </si>
  <si>
    <t>523.01.01</t>
  </si>
  <si>
    <t>509.00.00.000</t>
  </si>
  <si>
    <t>524.01.01</t>
  </si>
  <si>
    <t>503.02.00.000</t>
  </si>
  <si>
    <t>524.01.02</t>
  </si>
  <si>
    <t>503.01.00.000</t>
  </si>
  <si>
    <t>524.02.01</t>
  </si>
  <si>
    <t>524.02.02</t>
  </si>
  <si>
    <t>525.01.01</t>
  </si>
  <si>
    <t>505.05.00.000</t>
  </si>
  <si>
    <t>526.01.01</t>
  </si>
  <si>
    <t>511.01.03.000</t>
  </si>
  <si>
    <t>526.01.02</t>
  </si>
  <si>
    <t>511.02.03.000</t>
  </si>
  <si>
    <t>526.02.01</t>
  </si>
  <si>
    <t>526.02.02</t>
  </si>
  <si>
    <t>531.01.01</t>
  </si>
  <si>
    <t>507.00.00.000</t>
  </si>
  <si>
    <t>532.01.01</t>
  </si>
  <si>
    <t>541.01.01</t>
  </si>
  <si>
    <t>508.01.00.000</t>
  </si>
  <si>
    <t>541.01.02</t>
  </si>
  <si>
    <t>508.02.00.000</t>
  </si>
  <si>
    <t>541.01.03</t>
  </si>
  <si>
    <t>541.01.04</t>
  </si>
  <si>
    <t>508.03.00.000</t>
  </si>
  <si>
    <t>541.01.05</t>
  </si>
  <si>
    <t>508.05.00.000</t>
  </si>
  <si>
    <t>541.01.06</t>
  </si>
  <si>
    <t>510.04.01.000</t>
  </si>
  <si>
    <t>541.01.08</t>
  </si>
  <si>
    <t>508.04.00.000</t>
  </si>
  <si>
    <t>541.01.09</t>
  </si>
  <si>
    <t>541.01.10</t>
  </si>
  <si>
    <t>510.03.03.000</t>
  </si>
  <si>
    <t>541.02.01</t>
  </si>
  <si>
    <t>541.02.02</t>
  </si>
  <si>
    <t>541.02.03</t>
  </si>
  <si>
    <t>541.02.04</t>
  </si>
  <si>
    <t>551.01.02</t>
  </si>
  <si>
    <t>506.01.00.000</t>
  </si>
  <si>
    <t>551.01.03</t>
  </si>
  <si>
    <t>551.01.08</t>
  </si>
  <si>
    <t>551.01.09</t>
  </si>
  <si>
    <t>551.01.10</t>
  </si>
  <si>
    <t>551.01.11</t>
  </si>
  <si>
    <t>551.02.01</t>
  </si>
  <si>
    <t>506.02.00.000</t>
  </si>
  <si>
    <t>551.02.08</t>
  </si>
  <si>
    <t>552.01.01</t>
  </si>
  <si>
    <t>513.01.02.000</t>
  </si>
  <si>
    <t>552.01.02</t>
  </si>
  <si>
    <t>513.01.03.000</t>
  </si>
  <si>
    <t>552.01.04</t>
  </si>
  <si>
    <t>513.01.01.000</t>
  </si>
  <si>
    <t>552.01.05</t>
  </si>
  <si>
    <t>552.01.06</t>
  </si>
  <si>
    <t>552.01.07</t>
  </si>
  <si>
    <t>552.01.14</t>
  </si>
  <si>
    <t>552.01.16</t>
  </si>
  <si>
    <t>552.01.17</t>
  </si>
  <si>
    <t>552.01.20</t>
  </si>
  <si>
    <t>553.01.01</t>
  </si>
  <si>
    <t>513.02.01.000</t>
  </si>
  <si>
    <t>561.01.01</t>
  </si>
  <si>
    <t>512.01.00.000</t>
  </si>
  <si>
    <t>561.02.01</t>
  </si>
  <si>
    <t>571.01.01</t>
  </si>
  <si>
    <t>510.02.02.000</t>
  </si>
  <si>
    <t>571.01.02</t>
  </si>
  <si>
    <t>510.02.01.000</t>
  </si>
  <si>
    <t>571.01.03</t>
  </si>
  <si>
    <t>510.02.03.000</t>
  </si>
  <si>
    <t>571.01.04</t>
  </si>
  <si>
    <t>510.03.01.000</t>
  </si>
  <si>
    <t>571.01.05</t>
  </si>
  <si>
    <t>510.03.02.000</t>
  </si>
  <si>
    <t>571.01.06</t>
  </si>
  <si>
    <t>510.01.01.000</t>
  </si>
  <si>
    <t>571.01.07</t>
  </si>
  <si>
    <t>571.01.08</t>
  </si>
  <si>
    <t>510.01.02.000</t>
  </si>
  <si>
    <t>571.02.02</t>
  </si>
  <si>
    <t>571.02.03</t>
  </si>
  <si>
    <t>571.02.04</t>
  </si>
  <si>
    <t>571.02.05</t>
  </si>
  <si>
    <t>571.02.07</t>
  </si>
  <si>
    <t>581.01.02</t>
  </si>
  <si>
    <t>514.03.00.000</t>
  </si>
  <si>
    <t>581.01.03</t>
  </si>
  <si>
    <t>514.02.00.000</t>
  </si>
  <si>
    <t>581.01.04</t>
  </si>
  <si>
    <t>514.01.00.000</t>
  </si>
  <si>
    <t>611.01.01</t>
  </si>
  <si>
    <t>601.01.00.000</t>
  </si>
  <si>
    <t>611.01.02</t>
  </si>
  <si>
    <t>601.02.00.000</t>
  </si>
  <si>
    <t>612.01.01</t>
  </si>
  <si>
    <t>602.02.00.000</t>
  </si>
  <si>
    <t>612.01.02</t>
  </si>
  <si>
    <t>602.01.00.000</t>
  </si>
  <si>
    <t>612.01.03</t>
  </si>
  <si>
    <t>602.03.00.000</t>
  </si>
  <si>
    <t>613.01.01</t>
  </si>
  <si>
    <t>601.03.00.000</t>
  </si>
  <si>
    <t>614.01.01</t>
  </si>
  <si>
    <t>601.04.00.000</t>
  </si>
  <si>
    <t>615.01.01</t>
  </si>
  <si>
    <t>602.04.00.000</t>
  </si>
  <si>
    <t>111.01.09</t>
  </si>
  <si>
    <t>111.03.10</t>
  </si>
  <si>
    <t>121.03.44</t>
  </si>
  <si>
    <t>121.03.45</t>
  </si>
  <si>
    <t>121.03.46</t>
  </si>
  <si>
    <t>121.03.47</t>
  </si>
  <si>
    <t>121.03.48</t>
  </si>
  <si>
    <t>121.03.49</t>
  </si>
  <si>
    <t>121.03.50</t>
  </si>
  <si>
    <t>411.01.49</t>
  </si>
  <si>
    <t>411.01.50</t>
  </si>
  <si>
    <t>411.01.51</t>
  </si>
  <si>
    <t>411.01.52</t>
  </si>
  <si>
    <t>411.01.53</t>
  </si>
  <si>
    <t>411.01.54</t>
  </si>
  <si>
    <t>411.01.55</t>
  </si>
  <si>
    <t>511.01.12</t>
  </si>
  <si>
    <t>618.01.00</t>
  </si>
  <si>
    <t>Rugi(Laba)</t>
  </si>
  <si>
    <t>101.02.01.007</t>
  </si>
  <si>
    <t>605.00.00.000</t>
  </si>
  <si>
    <t>*-1</t>
  </si>
  <si>
    <t>x</t>
  </si>
  <si>
    <t>ini diminus</t>
  </si>
  <si>
    <t>ini gimana yak pisain nya</t>
  </si>
  <si>
    <t>TRIAL BALANCE</t>
  </si>
  <si>
    <t xml:space="preserve">DATE FROM : </t>
  </si>
  <si>
    <t xml:space="preserve">DATE TO : </t>
  </si>
  <si>
    <t>ID</t>
  </si>
  <si>
    <t>NAME</t>
  </si>
  <si>
    <t>PREVIOUS BALANCE</t>
  </si>
  <si>
    <t>DEBIT</t>
  </si>
  <si>
    <t>CREDIT</t>
  </si>
  <si>
    <t>CURRENT BALANCE</t>
  </si>
  <si>
    <t>106.07.02.000</t>
  </si>
  <si>
    <t>501.10.00.000</t>
  </si>
  <si>
    <t>Dec</t>
  </si>
  <si>
    <t>ini gmn yak mappingnya</t>
  </si>
  <si>
    <t>pisah</t>
  </si>
  <si>
    <t>201.03.01.001</t>
  </si>
  <si>
    <t>201.03.01.002</t>
  </si>
  <si>
    <t>BMTR</t>
  </si>
  <si>
    <t>MNCN</t>
  </si>
  <si>
    <t>FREN</t>
  </si>
  <si>
    <t>IATA</t>
  </si>
  <si>
    <t>MSKY</t>
  </si>
  <si>
    <t>KPIG</t>
  </si>
  <si>
    <t>BABP</t>
  </si>
  <si>
    <t>ini rumus 2 criteria ya di sebelah kiri</t>
  </si>
  <si>
    <t>cabang</t>
  </si>
  <si>
    <t>pisah mau tambah COA</t>
  </si>
  <si>
    <t>Office</t>
  </si>
  <si>
    <t>Instrument</t>
  </si>
  <si>
    <t>SAM</t>
  </si>
  <si>
    <t>OPS</t>
  </si>
  <si>
    <t>SI HO</t>
  </si>
  <si>
    <t>SI SALES</t>
  </si>
  <si>
    <t>KBS 1</t>
  </si>
  <si>
    <t>KBS 2</t>
  </si>
  <si>
    <t xml:space="preserve">Bogor </t>
  </si>
  <si>
    <t>Bandung</t>
  </si>
  <si>
    <t>Surabaya</t>
  </si>
  <si>
    <t>Pekan Baru</t>
  </si>
  <si>
    <t>Medan</t>
  </si>
  <si>
    <t>Institusi 1</t>
  </si>
  <si>
    <t>Institusi 2</t>
  </si>
  <si>
    <t>BIC</t>
  </si>
  <si>
    <t>Jakarta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</si>
</sst>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3">
    <numFmt numFmtId="5" formatCode="&quot;$&quot;#,##0_);\(&quot;$&quot;#,##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_-;\-* #,##0_-;_-* &quot;-&quot;_-;_-@_-"/>
    <numFmt numFmtId="165" formatCode="_(* #,##0_);_(* \(#,##0\);_(* &quot;-&quot;??_);_(@_)"/>
    <numFmt numFmtId="166" formatCode="_([$Rp-421]* #,##0.00_);_([$Rp-421]* \(#,##0.00\);_([$Rp-421]* &quot;-&quot;??_);_(@_)"/>
    <numFmt numFmtId="167" formatCode="_(* #,##0.000_);_(* \(#,##0.000\);_(* &quot;-&quot;??_);_(@_)"/>
    <numFmt numFmtId="168" formatCode="_(* #,##0.00_);_(* \(#,##0.00\);_(* &quot;-&quot;_);_(@_)"/>
    <numFmt numFmtId="169" formatCode="&quot;Rp       &quot;#,##0_);&quot;(Rp&quot;#,##0\)"/>
    <numFmt numFmtId="170" formatCode="&quot;$&quot;#,##0.0000_);\(&quot;$&quot;#,##0.0000\)"/>
    <numFmt numFmtId="171" formatCode="_(* #,##0,_);_(* \(#,##0,\);_(* &quot;-&quot;_)"/>
    <numFmt numFmtId="172" formatCode=";;;"/>
    <numFmt numFmtId="173" formatCode=";;"/>
    <numFmt numFmtId="174" formatCode="\ \ \ \ \ @"/>
    <numFmt numFmtId="175" formatCode="_(* #,##0_);_(* \(#,##0\);_(* &quot;-&quot;_)"/>
    <numFmt numFmtId="176" formatCode="\ \ \ \ \ \ \ \ \ @"/>
    <numFmt numFmtId="177" formatCode="0&quot;.&quot;000_)"/>
    <numFmt numFmtId="178" formatCode="0\.000_)"/>
    <numFmt numFmtId="179" formatCode="&quot;$&quot;#,##0;\-&quot;$&quot;#,##0"/>
    <numFmt numFmtId="180" formatCode="_(* #,##0_);_(* \(#,##0\);_(* \-_);_(@_)"/>
    <numFmt numFmtId="181" formatCode="_-&quot;£&quot;* #,##0.00_-;\-&quot;£&quot;* #,##0.00_-;_-&quot;£&quot;* &quot;-&quot;??_-;_-@_-"/>
    <numFmt numFmtId="182" formatCode="_(* #,##0.00_);_(* \(#,##0.00\);_(* \-??_);_(@_)"/>
    <numFmt numFmtId="183" formatCode="&quot;Yes&quot;;&quot;Yes&quot;;&quot;No&quot;"/>
    <numFmt numFmtId="184" formatCode="&quot;$&quot;#,##0.00;[Red]\-&quot;$&quot;#,##0.00"/>
    <numFmt numFmtId="185" formatCode="_-&quot;$&quot;* #,##0_-;&quot;-Rp&quot;* #,##0_-;_-&quot;$&quot;* \-_-;_-@_-"/>
    <numFmt numFmtId="186" formatCode="_ * #,##0.00_)&quot;£&quot;_ ;_ * \(#,##0.00\)&quot;£&quot;_ ;_ * &quot;-&quot;??_)&quot;£&quot;_ ;_ @_ "/>
    <numFmt numFmtId="187" formatCode="_(&quot;$&quot;* #,##0_);_(&quot;$&quot;* \(#,##0\);_(&quot;$&quot;* &quot;-&quot;??_);_(@_)"/>
    <numFmt numFmtId="188" formatCode="&quot;Rp    &quot;#,##0_);&quot;(Rp    &quot;#,##0\)"/>
    <numFmt numFmtId="189" formatCode="\$#,##0\ ;&quot;($&quot;#,##0\)"/>
    <numFmt numFmtId="190" formatCode="\$#,##0\ ;\(\$#,##0\)"/>
    <numFmt numFmtId="191" formatCode="mmmm\ dd\,\ \ yyyy"/>
    <numFmt numFmtId="192" formatCode="&quot;P&quot;\ #,##0_);[Red]\(&quot;P&quot;\ #,##0\)"/>
    <numFmt numFmtId="193" formatCode="#,##0.00&quot;£&quot;_);\(#,##0.00&quot;£&quot;\)"/>
    <numFmt numFmtId="194" formatCode="0&quot;.&quot;00000000000"/>
    <numFmt numFmtId="195" formatCode="_-* #,##0\ _$_-;\-* #,##0\ _$_-;_-* &quot;-&quot;\ _$_-;_-@_-"/>
    <numFmt numFmtId="196" formatCode="_-* #,##0.00\ _$_-;\-* #,##0.00\ _$_-;_-* &quot;-&quot;&quot;?&quot;&quot;?&quot;\ _$_-;_-@_-"/>
    <numFmt numFmtId="197" formatCode="#,##0&quot;£&quot;_);\(#,##0&quot;£&quot;\)"/>
    <numFmt numFmtId="198" formatCode="#.##000"/>
    <numFmt numFmtId="199" formatCode="_ * #,##0_)_£_ ;_ * \(#,##0\)_£_ ;_ * &quot;-&quot;_)_£_ ;_ @_ "/>
    <numFmt numFmtId="200" formatCode="#,##0.0_);\(#,##0.0\)"/>
    <numFmt numFmtId="201" formatCode="#,##0.000000_);\(#,##0.000000\)"/>
    <numFmt numFmtId="202" formatCode="0.0%"/>
    <numFmt numFmtId="203" formatCode="General_)"/>
    <numFmt numFmtId="204" formatCode="###0;[Red]\(###0\)"/>
    <numFmt numFmtId="205" formatCode="0.00_)"/>
    <numFmt numFmtId="206" formatCode="0_)"/>
    <numFmt numFmtId="207" formatCode="#,##0&quot;£&quot;_);[Red]\(#,##0&quot;£&quot;\)"/>
    <numFmt numFmtId="208" formatCode="0&quot;.&quot;00_)"/>
    <numFmt numFmtId="209" formatCode="#,##0.000000000000_);\(#,##0.000000000000\)"/>
    <numFmt numFmtId="210" formatCode="0%_);\(0%\)"/>
    <numFmt numFmtId="211" formatCode="0%;\(0%\)"/>
    <numFmt numFmtId="212" formatCode="&quot;    &quot;@"/>
    <numFmt numFmtId="213" formatCode="_ * #,##0_ ;_ * \-#,##0_ ;_ * &quot;-&quot;_ ;_ @_ "/>
    <numFmt numFmtId="214" formatCode="0.00_);[Red]\(0.00\)"/>
    <numFmt numFmtId="215" formatCode="[$-409]mmm\-yy;@"/>
    <numFmt numFmtId="216" formatCode="_(* #,##0.0_);_(* \(#,##0.0\);_(* &quot;-&quot;_);_(@_)"/>
    <numFmt numFmtId="217" formatCode="[$-421]dd\ mmmm\ yyyy;@"/>
    <numFmt numFmtId="218" formatCode="0_);\(0\)"/>
    <numFmt numFmtId="219" formatCode="0.000%"/>
    <numFmt numFmtId="220" formatCode="_(* #,##0.000_);_(* \(#,##0.000\);_(* &quot;-&quot;_);_(@_)"/>
    <numFmt numFmtId="221" formatCode="dd/mmm/yyyy"/>
  </numFmts>
  <fonts count="155">
    <font>
      <sz val="10"/>
      <name val="Arial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Times New Roman"/>
      <family val="1"/>
    </font>
    <font>
      <sz val="16"/>
      <name val="Ozzie Black"/>
    </font>
    <font>
      <sz val="14"/>
      <name val="Ozzie Black"/>
    </font>
    <font>
      <sz val="10"/>
      <name val="Tahoma"/>
      <family val="2"/>
    </font>
    <font>
      <b/>
      <sz val="12"/>
      <name val="Times New Roman"/>
      <family val="1"/>
    </font>
    <font>
      <b/>
      <sz val="10"/>
      <name val="Times New Roman"/>
      <family val="1"/>
    </font>
    <font>
      <sz val="10"/>
      <color theme="1"/>
      <name val="Times New Roman"/>
      <family val="1"/>
    </font>
    <font>
      <b/>
      <sz val="10"/>
      <name val="Arial"/>
      <family val="2"/>
    </font>
    <font>
      <sz val="10"/>
      <color indexed="8"/>
      <name val="Times New Roman"/>
      <family val="1"/>
    </font>
    <font>
      <sz val="8"/>
      <color indexed="8"/>
      <name val="Tahoma"/>
      <family val="2"/>
    </font>
    <font>
      <sz val="8"/>
      <name val="Arial"/>
      <family val="2"/>
    </font>
    <font>
      <b/>
      <sz val="14"/>
      <name val="Garamond"/>
      <family val="1"/>
    </font>
    <font>
      <sz val="10"/>
      <color theme="0"/>
      <name val="Times New Roman"/>
      <family val="1"/>
    </font>
    <font>
      <sz val="10"/>
      <color rgb="FFFFC000"/>
      <name val="Times New Roman"/>
      <family val="1"/>
    </font>
    <font>
      <b/>
      <sz val="16"/>
      <name val="Garamond"/>
      <family val="1"/>
    </font>
    <font>
      <b/>
      <sz val="11"/>
      <name val="Times New Roman"/>
      <family val="1"/>
    </font>
    <font>
      <sz val="8"/>
      <name val="Tahoma"/>
      <family val="2"/>
    </font>
    <font>
      <b/>
      <u/>
      <sz val="10"/>
      <name val="Times New Roman"/>
      <family val="1"/>
    </font>
    <font>
      <sz val="10"/>
      <color theme="0"/>
      <name val="Arial"/>
      <family val="2"/>
    </font>
    <font>
      <sz val="9"/>
      <color indexed="8"/>
      <name val="Book Antiqua"/>
      <family val="1"/>
    </font>
    <font>
      <sz val="8"/>
      <color theme="0"/>
      <name val="Tahoma"/>
      <family val="2"/>
    </font>
    <font>
      <b/>
      <sz val="12"/>
      <name val="Garamond"/>
      <family val="1"/>
    </font>
    <font>
      <sz val="12"/>
      <name val="Garamond"/>
      <family val="1"/>
    </font>
    <font>
      <sz val="10"/>
      <color indexed="8"/>
      <name val="Book Antiqua"/>
      <family val="1"/>
    </font>
    <font>
      <b/>
      <sz val="10"/>
      <name val="Garamond"/>
      <family val="1"/>
    </font>
    <font>
      <sz val="10"/>
      <color rgb="FF0000CC"/>
      <name val="Times New Roman"/>
      <family val="1"/>
    </font>
    <font>
      <sz val="9"/>
      <color rgb="FF0000CC"/>
      <name val="Times New Roman"/>
      <family val="1"/>
    </font>
    <font>
      <sz val="7"/>
      <color indexed="8"/>
      <name val="Tahoma"/>
      <family val="2"/>
    </font>
    <font>
      <sz val="8"/>
      <color indexed="8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color indexed="8"/>
      <name val="Arial Narrow"/>
      <family val="2"/>
      <charset val="1"/>
    </font>
    <font>
      <sz val="12"/>
      <name val="Helv"/>
    </font>
    <font>
      <u/>
      <sz val="11"/>
      <color indexed="20"/>
      <name val="lr oSVbN"/>
      <family val="3"/>
      <charset val="128"/>
    </font>
    <font>
      <u/>
      <sz val="11"/>
      <color indexed="12"/>
      <name val="lr oSVbN"/>
      <family val="3"/>
      <charset val="128"/>
    </font>
    <font>
      <sz val="11"/>
      <name val="Calibri"/>
      <family val="2"/>
    </font>
    <font>
      <sz val="10"/>
      <name val="Geneva"/>
      <family val="2"/>
    </font>
    <font>
      <sz val="8"/>
      <name val="Times New Roman"/>
      <family val="1"/>
    </font>
    <font>
      <sz val="10"/>
      <color indexed="12"/>
      <name val="Helvetica"/>
      <family val="2"/>
    </font>
    <font>
      <sz val="12"/>
      <name val="¹UAAA¼"/>
      <family val="3"/>
    </font>
    <font>
      <sz val="12"/>
      <name val="¹UAAA¼"/>
      <family val="3"/>
      <charset val="129"/>
    </font>
    <font>
      <sz val="10"/>
      <color indexed="8"/>
      <name val="Arial"/>
      <family val="2"/>
    </font>
    <font>
      <sz val="11"/>
      <name val="Tms Rmn"/>
    </font>
    <font>
      <sz val="11"/>
      <name val="Times New Roman"/>
      <family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theme="1"/>
      <name val="Calibri"/>
      <family val="2"/>
      <charset val="1"/>
      <scheme val="minor"/>
    </font>
    <font>
      <sz val="11"/>
      <color rgb="FF000000"/>
      <name val="Calibri"/>
      <family val="2"/>
      <scheme val="minor"/>
    </font>
    <font>
      <sz val="10"/>
      <name val="Comic Sans MS"/>
      <family val="4"/>
    </font>
    <font>
      <sz val="10"/>
      <name val="Helv"/>
    </font>
    <font>
      <sz val="10"/>
      <name val="MS Serif"/>
      <family val="1"/>
    </font>
    <font>
      <sz val="10"/>
      <name val="Courier"/>
      <family val="3"/>
    </font>
    <font>
      <sz val="12"/>
      <name val="Tms Rmn"/>
    </font>
    <font>
      <sz val="10"/>
      <color indexed="16"/>
      <name val="MS Serif"/>
      <family val="1"/>
    </font>
    <font>
      <sz val="1"/>
      <color indexed="8"/>
      <name val="Courier"/>
      <family val="3"/>
    </font>
    <font>
      <i/>
      <sz val="1"/>
      <color indexed="8"/>
      <name val="Courier"/>
      <family val="3"/>
    </font>
    <font>
      <sz val="7"/>
      <name val="Palatino"/>
      <family val="1"/>
    </font>
    <font>
      <sz val="10"/>
      <name val="Footlight MT Light"/>
      <family val="1"/>
    </font>
    <font>
      <sz val="6"/>
      <color indexed="16"/>
      <name val="Palatino"/>
      <family val="1"/>
    </font>
    <font>
      <b/>
      <sz val="12"/>
      <name val="Arial"/>
      <family val="2"/>
    </font>
    <font>
      <b/>
      <sz val="18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8"/>
      <name val="MS Sans Serif"/>
      <family val="2"/>
    </font>
    <font>
      <u/>
      <sz val="10"/>
      <color theme="10"/>
      <name val="Arial"/>
      <family val="2"/>
    </font>
    <font>
      <u/>
      <sz val="9"/>
      <color theme="10"/>
      <name val="Arial"/>
      <family val="2"/>
    </font>
    <font>
      <sz val="8"/>
      <color indexed="12"/>
      <name val="Helv"/>
    </font>
    <font>
      <b/>
      <sz val="14"/>
      <name val="Helv"/>
    </font>
    <font>
      <u/>
      <sz val="6.6"/>
      <color indexed="12"/>
      <name val="Times New Roman"/>
      <family val="1"/>
    </font>
    <font>
      <sz val="12"/>
      <color indexed="9"/>
      <name val="Helv"/>
    </font>
    <font>
      <sz val="10"/>
      <name val="Geneva"/>
    </font>
    <font>
      <sz val="7"/>
      <name val="Small Fonts"/>
      <family val="2"/>
    </font>
    <font>
      <sz val="10"/>
      <name val="Tms Rmn"/>
    </font>
    <font>
      <b/>
      <i/>
      <sz val="16"/>
      <name val="Helv"/>
    </font>
    <font>
      <sz val="14"/>
      <name val="Helv"/>
    </font>
    <font>
      <sz val="10"/>
      <name val="Century Gothic"/>
      <family val="2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sz val="10"/>
      <color indexed="16"/>
      <name val="Helvetica-Black"/>
    </font>
    <font>
      <sz val="8"/>
      <name val="Helv"/>
    </font>
    <font>
      <sz val="10"/>
      <name val="MS Sans Serif"/>
      <family val="2"/>
    </font>
    <font>
      <sz val="10"/>
      <color indexed="14"/>
      <name val="Helvetica"/>
      <family val="2"/>
    </font>
    <font>
      <sz val="8"/>
      <name val="Wingdings"/>
      <charset val="2"/>
    </font>
    <font>
      <b/>
      <i/>
      <sz val="8"/>
      <name val="Arial"/>
      <family val="2"/>
    </font>
    <font>
      <sz val="8"/>
      <name val="MS Sans Serif"/>
      <family val="2"/>
    </font>
    <font>
      <sz val="10"/>
      <name val="Helv"/>
      <family val="2"/>
    </font>
    <font>
      <b/>
      <sz val="12"/>
      <name val="MS Sans Serif"/>
      <family val="2"/>
    </font>
    <font>
      <sz val="12"/>
      <name val="MS Sans Serif"/>
      <family val="2"/>
    </font>
    <font>
      <b/>
      <sz val="9"/>
      <name val="Arial"/>
      <family val="2"/>
    </font>
    <font>
      <b/>
      <sz val="8"/>
      <color indexed="8"/>
      <name val="Helv"/>
    </font>
    <font>
      <b/>
      <sz val="9"/>
      <name val="Palatino"/>
      <family val="1"/>
    </font>
    <font>
      <sz val="9"/>
      <color indexed="21"/>
      <name val="Helvetica-Black"/>
    </font>
    <font>
      <sz val="9"/>
      <name val="Helvetica-Black"/>
    </font>
    <font>
      <b/>
      <sz val="10"/>
      <color indexed="10"/>
      <name val="Arial"/>
      <family val="2"/>
    </font>
    <font>
      <sz val="24"/>
      <color indexed="13"/>
      <name val="Helv"/>
    </font>
    <font>
      <sz val="8"/>
      <name val="Verdana"/>
      <family val="2"/>
    </font>
    <font>
      <b/>
      <sz val="11"/>
      <color indexed="8"/>
      <name val="Calibri"/>
      <family val="2"/>
    </font>
    <font>
      <b/>
      <sz val="10"/>
      <name val="TimesNewRomanPS"/>
      <family val="1"/>
    </font>
    <font>
      <sz val="10"/>
      <name val="Arial"/>
      <family val="2"/>
    </font>
    <font>
      <sz val="10"/>
      <name val="Book Antiqua"/>
      <family val="1"/>
    </font>
    <font>
      <b/>
      <sz val="10"/>
      <name val="Book Antiqua"/>
      <family val="1"/>
    </font>
    <font>
      <u/>
      <sz val="10"/>
      <name val="Book Antiqua"/>
      <family val="1"/>
    </font>
    <font>
      <b/>
      <sz val="10"/>
      <color indexed="8"/>
      <name val="Book Antiqua"/>
      <family val="1"/>
    </font>
    <font>
      <b/>
      <sz val="10"/>
      <color theme="1"/>
      <name val="Book Antiqua"/>
      <family val="1"/>
    </font>
    <font>
      <sz val="10"/>
      <name val="Arial"/>
      <family val="2"/>
    </font>
    <font>
      <sz val="10"/>
      <color theme="1"/>
      <name val="Book Antiqua"/>
      <family val="1"/>
    </font>
    <font>
      <i/>
      <sz val="10"/>
      <color indexed="10"/>
      <name val="Book Antiqua"/>
      <family val="1"/>
    </font>
    <font>
      <sz val="10"/>
      <name val="Arial"/>
      <family val="2"/>
    </font>
    <font>
      <b/>
      <sz val="11"/>
      <name val="Book Antiqua"/>
      <family val="1"/>
    </font>
    <font>
      <sz val="12"/>
      <name val="Book Antiqua"/>
      <family val="1"/>
    </font>
    <font>
      <b/>
      <sz val="22"/>
      <name val="Book Antiqua"/>
      <family val="1"/>
    </font>
    <font>
      <b/>
      <sz val="14"/>
      <name val="Book Antiqua"/>
      <family val="1"/>
    </font>
    <font>
      <b/>
      <sz val="15"/>
      <name val="Book Antiqua"/>
      <family val="1"/>
    </font>
    <font>
      <b/>
      <sz val="12"/>
      <name val="Book Antiqua"/>
      <family val="1"/>
    </font>
    <font>
      <sz val="10"/>
      <color theme="0"/>
      <name val="Book Antiqua"/>
      <family val="1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/>
      <name val="Calibri"/>
      <family val="2"/>
      <charset val="1"/>
      <scheme val="minor"/>
    </font>
    <font>
      <sz val="11"/>
      <name val="Calibri"/>
      <family val="2"/>
      <scheme val="minor"/>
    </font>
    <font>
      <sz val="10"/>
      <color rgb="FFFF0000"/>
      <name val="Book Antiqua"/>
      <family val="1"/>
    </font>
    <font>
      <sz val="9"/>
      <color indexed="81"/>
      <name val="Tahoma"/>
      <family val="2"/>
    </font>
    <font>
      <sz val="11"/>
      <color theme="1"/>
      <name val="Arial"/>
      <family val="2"/>
    </font>
    <font>
      <sz val="11"/>
      <color theme="0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sz val="11"/>
      <color rgb="FFFF0000"/>
      <name val="Arial"/>
      <family val="2"/>
    </font>
    <font>
      <b/>
      <sz val="11"/>
      <color theme="0"/>
      <name val="Arial"/>
      <family val="2"/>
    </font>
    <font>
      <b/>
      <sz val="11"/>
      <name val="Arial"/>
      <family val="2"/>
    </font>
    <font>
      <sz val="11"/>
      <color indexed="8"/>
      <name val="Arial"/>
      <family val="2"/>
    </font>
    <font>
      <b/>
      <sz val="10"/>
      <color theme="0"/>
      <name val="Arial"/>
      <family val="2"/>
    </font>
    <font>
      <b/>
      <sz val="11"/>
      <color rgb="FFFF0000"/>
      <name val="Arial"/>
      <family val="2"/>
    </font>
    <font>
      <sz val="10"/>
      <color rgb="FF0000FF"/>
      <name val="Arial"/>
      <family val="2"/>
    </font>
    <font>
      <sz val="11"/>
      <color rgb="FF0000FF"/>
      <name val="Arial"/>
      <family val="2"/>
    </font>
    <font>
      <sz val="10"/>
      <color theme="1"/>
      <name val="Arial"/>
      <family val="2"/>
    </font>
    <font>
      <b/>
      <sz val="11"/>
      <color rgb="FF00B050"/>
      <name val="Arial"/>
      <family val="2"/>
    </font>
    <font>
      <i/>
      <sz val="11"/>
      <color theme="1"/>
      <name val="Arial"/>
      <family val="2"/>
    </font>
    <font>
      <i/>
      <sz val="10"/>
      <color theme="0"/>
      <name val="Arial"/>
      <family val="2"/>
    </font>
    <font>
      <i/>
      <sz val="11"/>
      <color rgb="FF0070C0"/>
      <name val="Arial"/>
      <family val="2"/>
    </font>
    <font>
      <sz val="11"/>
      <color rgb="FF0070C0"/>
      <name val="Arial"/>
      <family val="2"/>
    </font>
    <font>
      <i/>
      <sz val="11"/>
      <color theme="0"/>
      <name val="Arial"/>
      <family val="2"/>
    </font>
    <font>
      <b/>
      <sz val="10"/>
      <color rgb="FFFF0000"/>
      <name val="Book Antiqua"/>
      <family val="1"/>
    </font>
    <font>
      <sz val="14"/>
      <name val="Calibri"/>
      <family val="2"/>
    </font>
    <font>
      <b/>
      <sz val="11"/>
      <name val="Calibri"/>
      <family val="2"/>
    </font>
    <font>
      <b/>
      <sz val="11"/>
      <color rgb="FFFF0000"/>
      <name val="Calibri"/>
      <family val="2"/>
    </font>
    <font>
      <b/>
      <sz val="11"/>
      <color rgb="FF0000FF"/>
      <name val="Calibri"/>
      <family val="2"/>
    </font>
  </fonts>
  <fills count="6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5"/>
      </patternFill>
    </fill>
    <fill>
      <patternFill patternType="solid">
        <fgColor indexed="13"/>
        <bgColor indexed="34"/>
      </patternFill>
    </fill>
    <fill>
      <patternFill patternType="solid">
        <fgColor indexed="12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darkVertical"/>
    </fill>
    <fill>
      <patternFill patternType="solid">
        <fgColor indexed="9"/>
        <bgColor indexed="9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12"/>
        <bgColor indexed="39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indexed="64"/>
      </left>
      <right style="slantDashDot">
        <color indexed="64"/>
      </right>
      <top style="slantDashDot">
        <color indexed="64"/>
      </top>
      <bottom style="slantDashDot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dotted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1480">
    <xf numFmtId="0" fontId="0" fillId="0" borderId="0"/>
    <xf numFmtId="41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/>
    <xf numFmtId="0" fontId="38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10" borderId="0" applyNumberFormat="0" applyBorder="0" applyAlignment="0" applyProtection="0"/>
    <xf numFmtId="0" fontId="42" fillId="10" borderId="0" applyNumberFormat="0" applyBorder="0" applyAlignment="0" applyProtection="0"/>
    <xf numFmtId="0" fontId="42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42" fillId="10" borderId="0" applyNumberFormat="0" applyBorder="0" applyAlignment="0" applyProtection="0"/>
    <xf numFmtId="0" fontId="42" fillId="14" borderId="0" applyNumberFormat="0" applyBorder="0" applyAlignment="0" applyProtection="0"/>
    <xf numFmtId="0" fontId="42" fillId="14" borderId="0" applyNumberFormat="0" applyBorder="0" applyAlignment="0" applyProtection="0"/>
    <xf numFmtId="0" fontId="42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42" fillId="14" borderId="0" applyNumberFormat="0" applyBorder="0" applyAlignment="0" applyProtection="0"/>
    <xf numFmtId="0" fontId="42" fillId="18" borderId="0" applyNumberFormat="0" applyBorder="0" applyAlignment="0" applyProtection="0"/>
    <xf numFmtId="0" fontId="42" fillId="18" borderId="0" applyNumberFormat="0" applyBorder="0" applyAlignment="0" applyProtection="0"/>
    <xf numFmtId="0" fontId="42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42" fillId="18" borderId="0" applyNumberFormat="0" applyBorder="0" applyAlignment="0" applyProtection="0"/>
    <xf numFmtId="0" fontId="42" fillId="22" borderId="0" applyNumberFormat="0" applyBorder="0" applyAlignment="0" applyProtection="0"/>
    <xf numFmtId="0" fontId="42" fillId="22" borderId="0" applyNumberFormat="0" applyBorder="0" applyAlignment="0" applyProtection="0"/>
    <xf numFmtId="0" fontId="42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42" fillId="22" borderId="0" applyNumberFormat="0" applyBorder="0" applyAlignment="0" applyProtection="0"/>
    <xf numFmtId="0" fontId="42" fillId="26" borderId="0" applyNumberFormat="0" applyBorder="0" applyAlignment="0" applyProtection="0"/>
    <xf numFmtId="0" fontId="42" fillId="26" borderId="0" applyNumberFormat="0" applyBorder="0" applyAlignment="0" applyProtection="0"/>
    <xf numFmtId="0" fontId="42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42" fillId="26" borderId="0" applyNumberFormat="0" applyBorder="0" applyAlignment="0" applyProtection="0"/>
    <xf numFmtId="0" fontId="42" fillId="30" borderId="0" applyNumberFormat="0" applyBorder="0" applyAlignment="0" applyProtection="0"/>
    <xf numFmtId="0" fontId="42" fillId="30" borderId="0" applyNumberFormat="0" applyBorder="0" applyAlignment="0" applyProtection="0"/>
    <xf numFmtId="0" fontId="42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42" fillId="30" borderId="0" applyNumberFormat="0" applyBorder="0" applyAlignment="0" applyProtection="0"/>
    <xf numFmtId="169" fontId="43" fillId="0" borderId="0" applyProtection="0"/>
    <xf numFmtId="0" fontId="42" fillId="11" borderId="0" applyNumberFormat="0" applyBorder="0" applyAlignment="0" applyProtection="0"/>
    <xf numFmtId="0" fontId="42" fillId="11" borderId="0" applyNumberFormat="0" applyBorder="0" applyAlignment="0" applyProtection="0"/>
    <xf numFmtId="0" fontId="42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42" fillId="11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23" borderId="0" applyNumberFormat="0" applyBorder="0" applyAlignment="0" applyProtection="0"/>
    <xf numFmtId="0" fontId="42" fillId="23" borderId="0" applyNumberFormat="0" applyBorder="0" applyAlignment="0" applyProtection="0"/>
    <xf numFmtId="0" fontId="42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42" fillId="23" borderId="0" applyNumberFormat="0" applyBorder="0" applyAlignment="0" applyProtection="0"/>
    <xf numFmtId="0" fontId="42" fillId="27" borderId="0" applyNumberFormat="0" applyBorder="0" applyAlignment="0" applyProtection="0"/>
    <xf numFmtId="0" fontId="42" fillId="27" borderId="0" applyNumberFormat="0" applyBorder="0" applyAlignment="0" applyProtection="0"/>
    <xf numFmtId="0" fontId="42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42" fillId="27" borderId="0" applyNumberFormat="0" applyBorder="0" applyAlignment="0" applyProtection="0"/>
    <xf numFmtId="0" fontId="42" fillId="31" borderId="0" applyNumberFormat="0" applyBorder="0" applyAlignment="0" applyProtection="0"/>
    <xf numFmtId="0" fontId="42" fillId="31" borderId="0" applyNumberFormat="0" applyBorder="0" applyAlignment="0" applyProtection="0"/>
    <xf numFmtId="0" fontId="42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42" fillId="31" borderId="0" applyNumberFormat="0" applyBorder="0" applyAlignment="0" applyProtection="0"/>
    <xf numFmtId="0" fontId="42" fillId="12" borderId="0" applyNumberFormat="0" applyBorder="0" applyAlignment="0" applyProtection="0"/>
    <xf numFmtId="0" fontId="42" fillId="12" borderId="0" applyNumberFormat="0" applyBorder="0" applyAlignment="0" applyProtection="0"/>
    <xf numFmtId="0" fontId="42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42" fillId="12" borderId="0" applyNumberFormat="0" applyBorder="0" applyAlignment="0" applyProtection="0"/>
    <xf numFmtId="0" fontId="42" fillId="16" borderId="0" applyNumberFormat="0" applyBorder="0" applyAlignment="0" applyProtection="0"/>
    <xf numFmtId="0" fontId="42" fillId="16" borderId="0" applyNumberFormat="0" applyBorder="0" applyAlignment="0" applyProtection="0"/>
    <xf numFmtId="0" fontId="42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42" fillId="16" borderId="0" applyNumberFormat="0" applyBorder="0" applyAlignment="0" applyProtection="0"/>
    <xf numFmtId="0" fontId="42" fillId="20" borderId="0" applyNumberFormat="0" applyBorder="0" applyAlignment="0" applyProtection="0"/>
    <xf numFmtId="0" fontId="42" fillId="20" borderId="0" applyNumberFormat="0" applyBorder="0" applyAlignment="0" applyProtection="0"/>
    <xf numFmtId="0" fontId="42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42" fillId="20" borderId="0" applyNumberFormat="0" applyBorder="0" applyAlignment="0" applyProtection="0"/>
    <xf numFmtId="0" fontId="42" fillId="24" borderId="0" applyNumberFormat="0" applyBorder="0" applyAlignment="0" applyProtection="0"/>
    <xf numFmtId="0" fontId="42" fillId="24" borderId="0" applyNumberFormat="0" applyBorder="0" applyAlignment="0" applyProtection="0"/>
    <xf numFmtId="0" fontId="42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42" fillId="24" borderId="0" applyNumberFormat="0" applyBorder="0" applyAlignment="0" applyProtection="0"/>
    <xf numFmtId="0" fontId="42" fillId="28" borderId="0" applyNumberFormat="0" applyBorder="0" applyAlignment="0" applyProtection="0"/>
    <xf numFmtId="0" fontId="42" fillId="28" borderId="0" applyNumberFormat="0" applyBorder="0" applyAlignment="0" applyProtection="0"/>
    <xf numFmtId="0" fontId="42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42" fillId="28" borderId="0" applyNumberFormat="0" applyBorder="0" applyAlignment="0" applyProtection="0"/>
    <xf numFmtId="0" fontId="42" fillId="32" borderId="0" applyNumberFormat="0" applyBorder="0" applyAlignment="0" applyProtection="0"/>
    <xf numFmtId="0" fontId="42" fillId="32" borderId="0" applyNumberFormat="0" applyBorder="0" applyAlignment="0" applyProtection="0"/>
    <xf numFmtId="0" fontId="42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42" fillId="32" borderId="0" applyNumberFormat="0" applyBorder="0" applyAlignment="0" applyProtection="0"/>
    <xf numFmtId="0" fontId="42" fillId="9" borderId="0" applyNumberFormat="0" applyBorder="0" applyAlignment="0" applyProtection="0"/>
    <xf numFmtId="0" fontId="42" fillId="9" borderId="0" applyNumberFormat="0" applyBorder="0" applyAlignment="0" applyProtection="0"/>
    <xf numFmtId="0" fontId="42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42" fillId="9" borderId="0" applyNumberFormat="0" applyBorder="0" applyAlignment="0" applyProtection="0"/>
    <xf numFmtId="0" fontId="42" fillId="13" borderId="0" applyNumberFormat="0" applyBorder="0" applyAlignment="0" applyProtection="0"/>
    <xf numFmtId="0" fontId="42" fillId="13" borderId="0" applyNumberFormat="0" applyBorder="0" applyAlignment="0" applyProtection="0"/>
    <xf numFmtId="0" fontId="42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42" fillId="13" borderId="0" applyNumberFormat="0" applyBorder="0" applyAlignment="0" applyProtection="0"/>
    <xf numFmtId="0" fontId="42" fillId="17" borderId="0" applyNumberFormat="0" applyBorder="0" applyAlignment="0" applyProtection="0"/>
    <xf numFmtId="0" fontId="42" fillId="17" borderId="0" applyNumberFormat="0" applyBorder="0" applyAlignment="0" applyProtection="0"/>
    <xf numFmtId="0" fontId="42" fillId="17" borderId="0" applyNumberFormat="0" applyBorder="0" applyAlignment="0" applyProtection="0"/>
    <xf numFmtId="0" fontId="6" fillId="17" borderId="0" applyNumberFormat="0" applyBorder="0" applyAlignment="0" applyProtection="0"/>
    <xf numFmtId="0" fontId="6" fillId="17" borderId="0" applyNumberFormat="0" applyBorder="0" applyAlignment="0" applyProtection="0"/>
    <xf numFmtId="0" fontId="6" fillId="17" borderId="0" applyNumberFormat="0" applyBorder="0" applyAlignment="0" applyProtection="0"/>
    <xf numFmtId="0" fontId="6" fillId="17" borderId="0" applyNumberFormat="0" applyBorder="0" applyAlignment="0" applyProtection="0"/>
    <xf numFmtId="0" fontId="42" fillId="17" borderId="0" applyNumberFormat="0" applyBorder="0" applyAlignment="0" applyProtection="0"/>
    <xf numFmtId="0" fontId="42" fillId="21" borderId="0" applyNumberFormat="0" applyBorder="0" applyAlignment="0" applyProtection="0"/>
    <xf numFmtId="0" fontId="42" fillId="21" borderId="0" applyNumberFormat="0" applyBorder="0" applyAlignment="0" applyProtection="0"/>
    <xf numFmtId="0" fontId="42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42" fillId="21" borderId="0" applyNumberFormat="0" applyBorder="0" applyAlignment="0" applyProtection="0"/>
    <xf numFmtId="0" fontId="42" fillId="25" borderId="0" applyNumberFormat="0" applyBorder="0" applyAlignment="0" applyProtection="0"/>
    <xf numFmtId="0" fontId="42" fillId="25" borderId="0" applyNumberFormat="0" applyBorder="0" applyAlignment="0" applyProtection="0"/>
    <xf numFmtId="0" fontId="42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42" fillId="25" borderId="0" applyNumberFormat="0" applyBorder="0" applyAlignment="0" applyProtection="0"/>
    <xf numFmtId="0" fontId="42" fillId="29" borderId="0" applyNumberFormat="0" applyBorder="0" applyAlignment="0" applyProtection="0"/>
    <xf numFmtId="0" fontId="42" fillId="29" borderId="0" applyNumberFormat="0" applyBorder="0" applyAlignment="0" applyProtection="0"/>
    <xf numFmtId="0" fontId="42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42" fillId="29" borderId="0" applyNumberFormat="0" applyBorder="0" applyAlignment="0" applyProtection="0"/>
    <xf numFmtId="0" fontId="6" fillId="0" borderId="0" applyFill="0" applyBorder="0" applyAlignment="0" applyProtection="0"/>
    <xf numFmtId="0" fontId="6" fillId="0" borderId="0" applyFill="0" applyBorder="0" applyAlignment="0" applyProtection="0"/>
    <xf numFmtId="0" fontId="44" fillId="0" borderId="0">
      <alignment horizontal="center" wrapText="1"/>
      <protection locked="0"/>
    </xf>
    <xf numFmtId="166" fontId="44" fillId="0" borderId="0">
      <alignment horizontal="center" wrapText="1"/>
      <protection locked="0"/>
    </xf>
    <xf numFmtId="166" fontId="44" fillId="0" borderId="0">
      <alignment horizontal="center" wrapText="1"/>
      <protection locked="0"/>
    </xf>
    <xf numFmtId="166" fontId="44" fillId="0" borderId="0">
      <alignment horizontal="center" wrapText="1"/>
      <protection locked="0"/>
    </xf>
    <xf numFmtId="166" fontId="44" fillId="0" borderId="0">
      <alignment horizontal="center" wrapText="1"/>
      <protection locked="0"/>
    </xf>
    <xf numFmtId="166" fontId="44" fillId="0" borderId="0">
      <alignment horizontal="center" wrapText="1"/>
      <protection locked="0"/>
    </xf>
    <xf numFmtId="166" fontId="44" fillId="0" borderId="0">
      <alignment horizontal="center" wrapText="1"/>
      <protection locked="0"/>
    </xf>
    <xf numFmtId="166" fontId="44" fillId="0" borderId="0">
      <alignment horizontal="center" wrapText="1"/>
      <protection locked="0"/>
    </xf>
    <xf numFmtId="166" fontId="44" fillId="0" borderId="0">
      <alignment horizontal="center" wrapText="1"/>
      <protection locked="0"/>
    </xf>
    <xf numFmtId="166" fontId="44" fillId="0" borderId="0">
      <alignment horizontal="center" wrapText="1"/>
      <protection locked="0"/>
    </xf>
    <xf numFmtId="166" fontId="44" fillId="0" borderId="0">
      <alignment horizontal="center" wrapText="1"/>
      <protection locked="0"/>
    </xf>
    <xf numFmtId="166" fontId="44" fillId="0" borderId="0">
      <alignment horizontal="center" wrapText="1"/>
      <protection locked="0"/>
    </xf>
    <xf numFmtId="166" fontId="44" fillId="0" borderId="0">
      <alignment horizontal="center" wrapText="1"/>
      <protection locked="0"/>
    </xf>
    <xf numFmtId="166" fontId="44" fillId="0" borderId="0">
      <alignment horizontal="center" wrapText="1"/>
      <protection locked="0"/>
    </xf>
    <xf numFmtId="166" fontId="44" fillId="0" borderId="0">
      <alignment horizontal="center" wrapText="1"/>
      <protection locked="0"/>
    </xf>
    <xf numFmtId="166" fontId="44" fillId="0" borderId="0">
      <alignment horizontal="center" wrapText="1"/>
      <protection locked="0"/>
    </xf>
    <xf numFmtId="166" fontId="44" fillId="0" borderId="0">
      <alignment horizontal="center" wrapText="1"/>
      <protection locked="0"/>
    </xf>
    <xf numFmtId="166" fontId="44" fillId="0" borderId="0">
      <alignment horizontal="center" wrapText="1"/>
      <protection locked="0"/>
    </xf>
    <xf numFmtId="166" fontId="44" fillId="0" borderId="0">
      <alignment horizontal="center" wrapText="1"/>
      <protection locked="0"/>
    </xf>
    <xf numFmtId="166" fontId="44" fillId="0" borderId="0">
      <alignment horizontal="center" wrapText="1"/>
      <protection locked="0"/>
    </xf>
    <xf numFmtId="166" fontId="44" fillId="0" borderId="0">
      <alignment horizontal="center" wrapText="1"/>
      <protection locked="0"/>
    </xf>
    <xf numFmtId="0" fontId="6" fillId="0" borderId="0" applyFill="0" applyBorder="0" applyAlignment="0" applyProtection="0"/>
    <xf numFmtId="0" fontId="6" fillId="0" borderId="0" applyFill="0" applyBorder="0" applyAlignment="0" applyProtection="0"/>
    <xf numFmtId="0" fontId="6" fillId="0" borderId="26" applyNumberFormat="0" applyFont="0"/>
    <xf numFmtId="0" fontId="42" fillId="3" borderId="0" applyNumberFormat="0" applyBorder="0" applyAlignment="0" applyProtection="0"/>
    <xf numFmtId="0" fontId="42" fillId="3" borderId="0" applyNumberFormat="0" applyBorder="0" applyAlignment="0" applyProtection="0"/>
    <xf numFmtId="0" fontId="42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42" fillId="3" borderId="0" applyNumberFormat="0" applyBorder="0" applyAlignment="0" applyProtection="0"/>
    <xf numFmtId="37" fontId="45" fillId="0" borderId="0" applyNumberFormat="0" applyFill="0" applyBorder="0" applyAlignment="0" applyProtection="0"/>
    <xf numFmtId="37" fontId="45" fillId="0" borderId="0" applyNumberFormat="0" applyFill="0" applyBorder="0" applyAlignment="0" applyProtection="0"/>
    <xf numFmtId="37" fontId="45" fillId="0" borderId="0" applyNumberFormat="0" applyFill="0" applyBorder="0" applyAlignment="0" applyProtection="0"/>
    <xf numFmtId="37" fontId="45" fillId="0" borderId="0" applyNumberFormat="0" applyFill="0" applyBorder="0" applyAlignment="0" applyProtection="0"/>
    <xf numFmtId="37" fontId="45" fillId="0" borderId="0" applyNumberFormat="0" applyFill="0" applyBorder="0" applyAlignment="0" applyProtection="0"/>
    <xf numFmtId="37" fontId="45" fillId="0" borderId="0" applyNumberFormat="0" applyFill="0" applyBorder="0" applyAlignment="0" applyProtection="0"/>
    <xf numFmtId="37" fontId="45" fillId="0" borderId="0" applyNumberFormat="0" applyFill="0" applyBorder="0" applyAlignment="0" applyProtection="0"/>
    <xf numFmtId="37" fontId="45" fillId="0" borderId="0" applyNumberFormat="0" applyFill="0" applyBorder="0" applyAlignment="0" applyProtection="0"/>
    <xf numFmtId="37" fontId="45" fillId="0" borderId="0" applyNumberFormat="0" applyFill="0" applyBorder="0" applyAlignment="0" applyProtection="0"/>
    <xf numFmtId="37" fontId="45" fillId="0" borderId="0" applyNumberFormat="0" applyFill="0" applyBorder="0" applyAlignment="0" applyProtection="0"/>
    <xf numFmtId="37" fontId="45" fillId="0" borderId="0" applyNumberFormat="0" applyFill="0" applyBorder="0" applyAlignment="0" applyProtection="0"/>
    <xf numFmtId="37" fontId="45" fillId="0" borderId="0" applyNumberFormat="0" applyFill="0" applyBorder="0" applyAlignment="0" applyProtection="0"/>
    <xf numFmtId="37" fontId="45" fillId="0" borderId="0" applyNumberFormat="0" applyFill="0" applyBorder="0" applyAlignment="0" applyProtection="0"/>
    <xf numFmtId="37" fontId="45" fillId="0" borderId="0" applyNumberFormat="0" applyFill="0" applyBorder="0" applyAlignment="0" applyProtection="0"/>
    <xf numFmtId="37" fontId="45" fillId="0" borderId="0" applyNumberFormat="0" applyFill="0" applyBorder="0" applyAlignment="0" applyProtection="0"/>
    <xf numFmtId="37" fontId="45" fillId="0" borderId="0" applyNumberFormat="0" applyFill="0" applyBorder="0" applyAlignment="0" applyProtection="0"/>
    <xf numFmtId="37" fontId="45" fillId="0" borderId="0" applyNumberFormat="0" applyFill="0" applyBorder="0" applyAlignment="0" applyProtection="0"/>
    <xf numFmtId="37" fontId="45" fillId="0" borderId="0" applyNumberFormat="0" applyFill="0" applyBorder="0" applyAlignment="0" applyProtection="0"/>
    <xf numFmtId="37" fontId="45" fillId="0" borderId="0" applyNumberFormat="0" applyFill="0" applyBorder="0" applyAlignment="0" applyProtection="0"/>
    <xf numFmtId="37" fontId="45" fillId="0" borderId="0" applyNumberFormat="0" applyFill="0" applyBorder="0" applyAlignment="0" applyProtection="0"/>
    <xf numFmtId="37" fontId="45" fillId="0" borderId="0" applyNumberFormat="0" applyFill="0" applyBorder="0" applyAlignment="0" applyProtection="0"/>
    <xf numFmtId="0" fontId="46" fillId="0" borderId="0"/>
    <xf numFmtId="0" fontId="47" fillId="0" borderId="0"/>
    <xf numFmtId="0" fontId="48" fillId="0" borderId="0" applyFill="0" applyBorder="0" applyAlignment="0"/>
    <xf numFmtId="170" fontId="6" fillId="0" borderId="0" applyFill="0" applyBorder="0" applyAlignment="0"/>
    <xf numFmtId="170" fontId="6" fillId="0" borderId="0" applyFill="0" applyBorder="0" applyAlignment="0"/>
    <xf numFmtId="170" fontId="6" fillId="0" borderId="0" applyFill="0" applyBorder="0" applyAlignment="0"/>
    <xf numFmtId="170" fontId="6" fillId="0" borderId="0" applyFill="0" applyBorder="0" applyAlignment="0"/>
    <xf numFmtId="170" fontId="6" fillId="0" borderId="0" applyFill="0" applyBorder="0" applyAlignment="0"/>
    <xf numFmtId="170" fontId="6" fillId="0" borderId="0" applyFill="0" applyBorder="0" applyAlignment="0"/>
    <xf numFmtId="170" fontId="6" fillId="0" borderId="0" applyFill="0" applyBorder="0" applyAlignment="0"/>
    <xf numFmtId="170" fontId="6" fillId="0" borderId="0" applyFill="0" applyBorder="0" applyAlignment="0"/>
    <xf numFmtId="170" fontId="6" fillId="0" borderId="0" applyFill="0" applyBorder="0" applyAlignment="0"/>
    <xf numFmtId="170" fontId="6" fillId="0" borderId="0" applyFill="0" applyBorder="0" applyAlignment="0"/>
    <xf numFmtId="170" fontId="6" fillId="0" borderId="0" applyFill="0" applyBorder="0" applyAlignment="0"/>
    <xf numFmtId="170" fontId="6" fillId="0" borderId="0" applyFill="0" applyBorder="0" applyAlignment="0"/>
    <xf numFmtId="170" fontId="6" fillId="0" borderId="0" applyFill="0" applyBorder="0" applyAlignment="0"/>
    <xf numFmtId="170" fontId="6" fillId="0" borderId="0" applyFill="0" applyBorder="0" applyAlignment="0"/>
    <xf numFmtId="170" fontId="6" fillId="0" borderId="0" applyFill="0" applyBorder="0" applyAlignment="0"/>
    <xf numFmtId="170" fontId="6" fillId="0" borderId="0" applyFill="0" applyBorder="0" applyAlignment="0"/>
    <xf numFmtId="170" fontId="6" fillId="0" borderId="0" applyFill="0" applyBorder="0" applyAlignment="0"/>
    <xf numFmtId="170" fontId="6" fillId="0" borderId="0" applyFill="0" applyBorder="0" applyAlignment="0"/>
    <xf numFmtId="170" fontId="6" fillId="0" borderId="0" applyFill="0" applyBorder="0" applyAlignment="0"/>
    <xf numFmtId="170" fontId="6" fillId="0" borderId="0" applyFill="0" applyBorder="0" applyAlignment="0"/>
    <xf numFmtId="171" fontId="39" fillId="0" borderId="0" applyFill="0" applyBorder="0" applyAlignment="0"/>
    <xf numFmtId="172" fontId="39" fillId="0" borderId="0" applyFill="0" applyBorder="0" applyAlignment="0"/>
    <xf numFmtId="173" fontId="39" fillId="0" borderId="0" applyFill="0" applyBorder="0" applyAlignment="0"/>
    <xf numFmtId="174" fontId="39" fillId="0" borderId="0" applyFill="0" applyBorder="0" applyAlignment="0"/>
    <xf numFmtId="175" fontId="39" fillId="0" borderId="0" applyFill="0" applyBorder="0" applyAlignment="0"/>
    <xf numFmtId="176" fontId="39" fillId="0" borderId="0" applyFill="0" applyBorder="0" applyAlignment="0"/>
    <xf numFmtId="171" fontId="39" fillId="0" borderId="0" applyFill="0" applyBorder="0" applyAlignment="0"/>
    <xf numFmtId="0" fontId="42" fillId="6" borderId="4" applyNumberFormat="0" applyAlignment="0" applyProtection="0"/>
    <xf numFmtId="0" fontId="42" fillId="6" borderId="4" applyNumberFormat="0" applyAlignment="0" applyProtection="0"/>
    <xf numFmtId="0" fontId="42" fillId="6" borderId="4" applyNumberFormat="0" applyAlignment="0" applyProtection="0"/>
    <xf numFmtId="0" fontId="6" fillId="6" borderId="4" applyNumberFormat="0" applyAlignment="0" applyProtection="0"/>
    <xf numFmtId="0" fontId="6" fillId="6" borderId="4" applyNumberFormat="0" applyAlignment="0" applyProtection="0"/>
    <xf numFmtId="0" fontId="6" fillId="6" borderId="4" applyNumberFormat="0" applyAlignment="0" applyProtection="0"/>
    <xf numFmtId="0" fontId="6" fillId="6" borderId="4" applyNumberFormat="0" applyAlignment="0" applyProtection="0"/>
    <xf numFmtId="0" fontId="42" fillId="6" borderId="4" applyNumberFormat="0" applyAlignment="0" applyProtection="0"/>
    <xf numFmtId="0" fontId="42" fillId="7" borderId="7" applyNumberFormat="0" applyAlignment="0" applyProtection="0"/>
    <xf numFmtId="0" fontId="42" fillId="7" borderId="7" applyNumberFormat="0" applyAlignment="0" applyProtection="0"/>
    <xf numFmtId="0" fontId="42" fillId="7" borderId="7" applyNumberFormat="0" applyAlignment="0" applyProtection="0"/>
    <xf numFmtId="0" fontId="6" fillId="7" borderId="7" applyNumberFormat="0" applyAlignment="0" applyProtection="0"/>
    <xf numFmtId="0" fontId="6" fillId="7" borderId="7" applyNumberFormat="0" applyAlignment="0" applyProtection="0"/>
    <xf numFmtId="0" fontId="6" fillId="7" borderId="7" applyNumberFormat="0" applyAlignment="0" applyProtection="0"/>
    <xf numFmtId="0" fontId="6" fillId="7" borderId="7" applyNumberFormat="0" applyAlignment="0" applyProtection="0"/>
    <xf numFmtId="0" fontId="42" fillId="7" borderId="7" applyNumberFormat="0" applyAlignment="0" applyProtection="0"/>
    <xf numFmtId="177" fontId="49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7" fontId="49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7" fontId="49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7" fontId="49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7" fontId="49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7" fontId="49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7" fontId="49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7" fontId="49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178" fontId="50" fillId="0" borderId="0"/>
    <xf numFmtId="37" fontId="39" fillId="0" borderId="0"/>
    <xf numFmtId="37" fontId="39" fillId="0" borderId="0"/>
    <xf numFmtId="37" fontId="39" fillId="0" borderId="0"/>
    <xf numFmtId="37" fontId="39" fillId="0" borderId="0"/>
    <xf numFmtId="37" fontId="39" fillId="0" borderId="0"/>
    <xf numFmtId="37" fontId="39" fillId="0" borderId="0"/>
    <xf numFmtId="37" fontId="39" fillId="0" borderId="0"/>
    <xf numFmtId="37" fontId="39" fillId="0" borderId="0"/>
    <xf numFmtId="41" fontId="7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34" fillId="0" borderId="0" applyFont="0" applyFill="0" applyBorder="0" applyAlignment="0" applyProtection="0"/>
    <xf numFmtId="179" fontId="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168" fontId="6" fillId="0" borderId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168" fontId="6" fillId="0" borderId="0" applyFill="0" applyBorder="0" applyAlignment="0" applyProtection="0"/>
    <xf numFmtId="43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" fillId="0" borderId="0" applyFont="0" applyFill="0" applyBorder="0" applyAlignment="0" applyProtection="0"/>
    <xf numFmtId="180" fontId="6" fillId="0" borderId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55" fillId="0" borderId="0" applyFont="0" applyFill="0" applyBorder="0" applyAlignment="0" applyProtection="0"/>
    <xf numFmtId="41" fontId="55" fillId="0" borderId="0" applyFont="0" applyFill="0" applyBorder="0" applyAlignment="0" applyProtection="0"/>
    <xf numFmtId="41" fontId="5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55" fillId="0" borderId="0" applyFont="0" applyFill="0" applyBorder="0" applyAlignment="0" applyProtection="0"/>
    <xf numFmtId="41" fontId="55" fillId="0" borderId="0" applyFont="0" applyFill="0" applyBorder="0" applyAlignment="0" applyProtection="0"/>
    <xf numFmtId="41" fontId="55" fillId="0" borderId="0" applyFont="0" applyFill="0" applyBorder="0" applyAlignment="0" applyProtection="0"/>
    <xf numFmtId="41" fontId="55" fillId="0" borderId="0" applyFont="0" applyFill="0" applyBorder="0" applyAlignment="0" applyProtection="0"/>
    <xf numFmtId="41" fontId="55" fillId="0" borderId="0" applyFont="0" applyFill="0" applyBorder="0" applyAlignment="0" applyProtection="0"/>
    <xf numFmtId="41" fontId="55" fillId="0" borderId="0" applyFont="0" applyFill="0" applyBorder="0" applyAlignment="0" applyProtection="0"/>
    <xf numFmtId="41" fontId="55" fillId="0" borderId="0" applyFont="0" applyFill="0" applyBorder="0" applyAlignment="0" applyProtection="0"/>
    <xf numFmtId="41" fontId="55" fillId="0" borderId="0" applyFont="0" applyFill="0" applyBorder="0" applyAlignment="0" applyProtection="0"/>
    <xf numFmtId="41" fontId="55" fillId="0" borderId="0" applyFont="0" applyFill="0" applyBorder="0" applyAlignment="0" applyProtection="0"/>
    <xf numFmtId="41" fontId="5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55" fillId="0" borderId="0" applyFont="0" applyFill="0" applyBorder="0" applyAlignment="0" applyProtection="0"/>
    <xf numFmtId="41" fontId="55" fillId="0" borderId="0" applyFont="0" applyFill="0" applyBorder="0" applyAlignment="0" applyProtection="0"/>
    <xf numFmtId="41" fontId="55" fillId="0" borderId="0" applyFont="0" applyFill="0" applyBorder="0" applyAlignment="0" applyProtection="0"/>
    <xf numFmtId="41" fontId="55" fillId="0" borderId="0" applyFont="0" applyFill="0" applyBorder="0" applyAlignment="0" applyProtection="0"/>
    <xf numFmtId="41" fontId="55" fillId="0" borderId="0" applyFont="0" applyFill="0" applyBorder="0" applyAlignment="0" applyProtection="0"/>
    <xf numFmtId="41" fontId="55" fillId="0" borderId="0" applyFont="0" applyFill="0" applyBorder="0" applyAlignment="0" applyProtection="0"/>
    <xf numFmtId="41" fontId="5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5" fillId="0" borderId="0" applyFont="0" applyFill="0" applyBorder="0" applyAlignment="0" applyProtection="0"/>
    <xf numFmtId="41" fontId="55" fillId="0" borderId="0" applyFont="0" applyFill="0" applyBorder="0" applyAlignment="0" applyProtection="0"/>
    <xf numFmtId="41" fontId="55" fillId="0" borderId="0" applyFont="0" applyFill="0" applyBorder="0" applyAlignment="0" applyProtection="0"/>
    <xf numFmtId="41" fontId="55" fillId="0" borderId="0" applyFont="0" applyFill="0" applyBorder="0" applyAlignment="0" applyProtection="0"/>
    <xf numFmtId="41" fontId="55" fillId="0" borderId="0" applyFont="0" applyFill="0" applyBorder="0" applyAlignment="0" applyProtection="0"/>
    <xf numFmtId="41" fontId="55" fillId="0" borderId="0" applyFont="0" applyFill="0" applyBorder="0" applyAlignment="0" applyProtection="0"/>
    <xf numFmtId="41" fontId="55" fillId="0" borderId="0" applyFont="0" applyFill="0" applyBorder="0" applyAlignment="0" applyProtection="0"/>
    <xf numFmtId="41" fontId="55" fillId="0" borderId="0" applyFont="0" applyFill="0" applyBorder="0" applyAlignment="0" applyProtection="0"/>
    <xf numFmtId="41" fontId="55" fillId="0" borderId="0" applyFont="0" applyFill="0" applyBorder="0" applyAlignment="0" applyProtection="0"/>
    <xf numFmtId="41" fontId="55" fillId="0" borderId="0" applyFont="0" applyFill="0" applyBorder="0" applyAlignment="0" applyProtection="0"/>
    <xf numFmtId="41" fontId="55" fillId="0" borderId="0" applyFont="0" applyFill="0" applyBorder="0" applyAlignment="0" applyProtection="0"/>
    <xf numFmtId="41" fontId="55" fillId="0" borderId="0" applyFont="0" applyFill="0" applyBorder="0" applyAlignment="0" applyProtection="0"/>
    <xf numFmtId="41" fontId="55" fillId="0" borderId="0" applyFont="0" applyFill="0" applyBorder="0" applyAlignment="0" applyProtection="0"/>
    <xf numFmtId="41" fontId="55" fillId="0" borderId="0" applyFont="0" applyFill="0" applyBorder="0" applyAlignment="0" applyProtection="0"/>
    <xf numFmtId="41" fontId="55" fillId="0" borderId="0" applyFont="0" applyFill="0" applyBorder="0" applyAlignment="0" applyProtection="0"/>
    <xf numFmtId="41" fontId="55" fillId="0" borderId="0" applyFont="0" applyFill="0" applyBorder="0" applyAlignment="0" applyProtection="0"/>
    <xf numFmtId="41" fontId="55" fillId="0" borderId="0" applyFont="0" applyFill="0" applyBorder="0" applyAlignment="0" applyProtection="0"/>
    <xf numFmtId="41" fontId="55" fillId="0" borderId="0" applyFont="0" applyFill="0" applyBorder="0" applyAlignment="0" applyProtection="0"/>
    <xf numFmtId="41" fontId="55" fillId="0" borderId="0" applyFont="0" applyFill="0" applyBorder="0" applyAlignment="0" applyProtection="0"/>
    <xf numFmtId="41" fontId="55" fillId="0" borderId="0" applyFont="0" applyFill="0" applyBorder="0" applyAlignment="0" applyProtection="0"/>
    <xf numFmtId="175" fontId="39" fillId="0" borderId="0" applyFont="0" applyFill="0" applyBorder="0" applyAlignment="0" applyProtection="0"/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182" fontId="6" fillId="0" borderId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2" fontId="6" fillId="0" borderId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2" fontId="6" fillId="0" borderId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2" fontId="6" fillId="0" borderId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2" fontId="6" fillId="0" borderId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2" fontId="6" fillId="0" borderId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2" fontId="6" fillId="0" borderId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2" fontId="6" fillId="0" borderId="0" applyFill="0" applyBorder="0" applyAlignment="0" applyProtection="0"/>
    <xf numFmtId="43" fontId="48" fillId="0" borderId="0" applyFont="0" applyFill="0" applyBorder="0" applyAlignment="0" applyProtection="0">
      <alignment vertical="top"/>
    </xf>
    <xf numFmtId="43" fontId="48" fillId="0" borderId="0" applyFont="0" applyFill="0" applyBorder="0" applyAlignment="0" applyProtection="0">
      <alignment vertical="top"/>
    </xf>
    <xf numFmtId="43" fontId="48" fillId="0" borderId="0" applyFont="0" applyFill="0" applyBorder="0" applyAlignment="0" applyProtection="0">
      <alignment vertical="top"/>
    </xf>
    <xf numFmtId="43" fontId="48" fillId="0" borderId="0" applyFont="0" applyFill="0" applyBorder="0" applyAlignment="0" applyProtection="0">
      <alignment vertical="top"/>
    </xf>
    <xf numFmtId="43" fontId="48" fillId="0" borderId="0" applyFont="0" applyFill="0" applyBorder="0" applyAlignment="0" applyProtection="0">
      <alignment vertical="top"/>
    </xf>
    <xf numFmtId="43" fontId="48" fillId="0" borderId="0" applyFont="0" applyFill="0" applyBorder="0" applyAlignment="0" applyProtection="0">
      <alignment vertical="top"/>
    </xf>
    <xf numFmtId="43" fontId="48" fillId="0" borderId="0" applyFont="0" applyFill="0" applyBorder="0" applyAlignment="0" applyProtection="0">
      <alignment vertical="top"/>
    </xf>
    <xf numFmtId="43" fontId="48" fillId="0" borderId="0" applyFont="0" applyFill="0" applyBorder="0" applyAlignment="0" applyProtection="0">
      <alignment vertical="top"/>
    </xf>
    <xf numFmtId="43" fontId="48" fillId="0" borderId="0" applyFont="0" applyFill="0" applyBorder="0" applyAlignment="0" applyProtection="0">
      <alignment vertical="top"/>
    </xf>
    <xf numFmtId="43" fontId="48" fillId="0" borderId="0" applyFont="0" applyFill="0" applyBorder="0" applyAlignment="0" applyProtection="0">
      <alignment vertical="top"/>
    </xf>
    <xf numFmtId="43" fontId="48" fillId="0" borderId="0" applyFont="0" applyFill="0" applyBorder="0" applyAlignment="0" applyProtection="0">
      <alignment vertical="top"/>
    </xf>
    <xf numFmtId="43" fontId="48" fillId="0" borderId="0" applyFont="0" applyFill="0" applyBorder="0" applyAlignment="0" applyProtection="0">
      <alignment vertical="top"/>
    </xf>
    <xf numFmtId="43" fontId="48" fillId="0" borderId="0" applyFont="0" applyFill="0" applyBorder="0" applyAlignment="0" applyProtection="0">
      <alignment vertical="top"/>
    </xf>
    <xf numFmtId="43" fontId="48" fillId="0" borderId="0" applyFont="0" applyFill="0" applyBorder="0" applyAlignment="0" applyProtection="0">
      <alignment vertical="top"/>
    </xf>
    <xf numFmtId="43" fontId="48" fillId="0" borderId="0" applyFont="0" applyFill="0" applyBorder="0" applyAlignment="0" applyProtection="0">
      <alignment vertical="top"/>
    </xf>
    <xf numFmtId="43" fontId="48" fillId="0" borderId="0" applyFont="0" applyFill="0" applyBorder="0" applyAlignment="0" applyProtection="0">
      <alignment vertical="top"/>
    </xf>
    <xf numFmtId="43" fontId="48" fillId="0" borderId="0" applyFont="0" applyFill="0" applyBorder="0" applyAlignment="0" applyProtection="0">
      <alignment vertical="top"/>
    </xf>
    <xf numFmtId="43" fontId="48" fillId="0" borderId="0" applyFont="0" applyFill="0" applyBorder="0" applyAlignment="0" applyProtection="0">
      <alignment vertical="top"/>
    </xf>
    <xf numFmtId="43" fontId="48" fillId="0" borderId="0" applyFont="0" applyFill="0" applyBorder="0" applyAlignment="0" applyProtection="0">
      <alignment vertical="top"/>
    </xf>
    <xf numFmtId="43" fontId="48" fillId="0" borderId="0" applyFont="0" applyFill="0" applyBorder="0" applyAlignment="0" applyProtection="0">
      <alignment vertical="top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2" fontId="6" fillId="0" borderId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182" fontId="6" fillId="0" borderId="0" applyFill="0" applyBorder="0" applyAlignment="0" applyProtection="0"/>
    <xf numFmtId="182" fontId="6" fillId="0" borderId="0" applyFill="0" applyBorder="0" applyAlignment="0" applyProtection="0"/>
    <xf numFmtId="182" fontId="6" fillId="0" borderId="0" applyFill="0" applyBorder="0" applyAlignment="0" applyProtection="0"/>
    <xf numFmtId="182" fontId="6" fillId="0" borderId="0" applyFill="0" applyBorder="0" applyAlignment="0" applyProtection="0"/>
    <xf numFmtId="182" fontId="6" fillId="0" borderId="0" applyFill="0" applyBorder="0" applyAlignment="0" applyProtection="0"/>
    <xf numFmtId="182" fontId="6" fillId="0" borderId="0" applyFill="0" applyBorder="0" applyAlignment="0" applyProtection="0"/>
    <xf numFmtId="182" fontId="6" fillId="0" borderId="0" applyFill="0" applyBorder="0" applyAlignment="0" applyProtection="0"/>
    <xf numFmtId="182" fontId="6" fillId="0" borderId="0" applyFill="0" applyBorder="0" applyAlignment="0" applyProtection="0"/>
    <xf numFmtId="182" fontId="6" fillId="0" borderId="0" applyFill="0" applyBorder="0" applyAlignment="0" applyProtection="0"/>
    <xf numFmtId="4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2" fontId="6" fillId="0" borderId="0" applyFill="0" applyBorder="0" applyAlignment="0" applyProtection="0"/>
    <xf numFmtId="182" fontId="6" fillId="0" borderId="0" applyFill="0" applyBorder="0" applyAlignment="0" applyProtection="0"/>
    <xf numFmtId="182" fontId="6" fillId="0" borderId="0" applyFill="0" applyBorder="0" applyAlignment="0" applyProtection="0"/>
    <xf numFmtId="182" fontId="6" fillId="0" borderId="0" applyFill="0" applyBorder="0" applyAlignment="0" applyProtection="0"/>
    <xf numFmtId="182" fontId="6" fillId="0" borderId="0" applyFill="0" applyBorder="0" applyAlignment="0" applyProtection="0"/>
    <xf numFmtId="182" fontId="6" fillId="0" borderId="0" applyFill="0" applyBorder="0" applyAlignment="0" applyProtection="0"/>
    <xf numFmtId="182" fontId="6" fillId="0" borderId="0" applyFill="0" applyBorder="0" applyAlignment="0" applyProtection="0"/>
    <xf numFmtId="182" fontId="6" fillId="0" borderId="0" applyFill="0" applyBorder="0" applyAlignment="0" applyProtection="0"/>
    <xf numFmtId="182" fontId="6" fillId="0" borderId="0" applyFill="0" applyBorder="0" applyAlignment="0" applyProtection="0"/>
    <xf numFmtId="182" fontId="6" fillId="0" borderId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5" fillId="0" borderId="0" applyFont="0" applyFill="0" applyBorder="0" applyAlignment="0" applyProtection="0"/>
    <xf numFmtId="184" fontId="5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4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2" fontId="6" fillId="0" borderId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3" fontId="6" fillId="0" borderId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0" fontId="56" fillId="0" borderId="0"/>
    <xf numFmtId="0" fontId="57" fillId="0" borderId="0" applyNumberFormat="0" applyAlignment="0">
      <alignment horizontal="left"/>
    </xf>
    <xf numFmtId="166" fontId="57" fillId="0" borderId="0" applyNumberFormat="0" applyAlignment="0">
      <alignment horizontal="left"/>
    </xf>
    <xf numFmtId="166" fontId="57" fillId="0" borderId="0" applyNumberFormat="0" applyAlignment="0">
      <alignment horizontal="left"/>
    </xf>
    <xf numFmtId="166" fontId="57" fillId="0" borderId="0" applyNumberFormat="0" applyAlignment="0">
      <alignment horizontal="left"/>
    </xf>
    <xf numFmtId="166" fontId="57" fillId="0" borderId="0" applyNumberFormat="0" applyAlignment="0">
      <alignment horizontal="left"/>
    </xf>
    <xf numFmtId="166" fontId="57" fillId="0" borderId="0" applyNumberFormat="0" applyAlignment="0">
      <alignment horizontal="left"/>
    </xf>
    <xf numFmtId="166" fontId="57" fillId="0" borderId="0" applyNumberFormat="0" applyAlignment="0">
      <alignment horizontal="left"/>
    </xf>
    <xf numFmtId="166" fontId="57" fillId="0" borderId="0" applyNumberFormat="0" applyAlignment="0">
      <alignment horizontal="left"/>
    </xf>
    <xf numFmtId="166" fontId="57" fillId="0" borderId="0" applyNumberFormat="0" applyAlignment="0">
      <alignment horizontal="left"/>
    </xf>
    <xf numFmtId="166" fontId="57" fillId="0" borderId="0" applyNumberFormat="0" applyAlignment="0">
      <alignment horizontal="left"/>
    </xf>
    <xf numFmtId="166" fontId="57" fillId="0" borderId="0" applyNumberFormat="0" applyAlignment="0">
      <alignment horizontal="left"/>
    </xf>
    <xf numFmtId="166" fontId="57" fillId="0" borderId="0" applyNumberFormat="0" applyAlignment="0">
      <alignment horizontal="left"/>
    </xf>
    <xf numFmtId="166" fontId="57" fillId="0" borderId="0" applyNumberFormat="0" applyAlignment="0">
      <alignment horizontal="left"/>
    </xf>
    <xf numFmtId="166" fontId="57" fillId="0" borderId="0" applyNumberFormat="0" applyAlignment="0">
      <alignment horizontal="left"/>
    </xf>
    <xf numFmtId="166" fontId="57" fillId="0" borderId="0" applyNumberFormat="0" applyAlignment="0">
      <alignment horizontal="left"/>
    </xf>
    <xf numFmtId="166" fontId="57" fillId="0" borderId="0" applyNumberFormat="0" applyAlignment="0">
      <alignment horizontal="left"/>
    </xf>
    <xf numFmtId="166" fontId="57" fillId="0" borderId="0" applyNumberFormat="0" applyAlignment="0">
      <alignment horizontal="left"/>
    </xf>
    <xf numFmtId="166" fontId="57" fillId="0" borderId="0" applyNumberFormat="0" applyAlignment="0">
      <alignment horizontal="left"/>
    </xf>
    <xf numFmtId="166" fontId="57" fillId="0" borderId="0" applyNumberFormat="0" applyAlignment="0">
      <alignment horizontal="left"/>
    </xf>
    <xf numFmtId="166" fontId="57" fillId="0" borderId="0" applyNumberFormat="0" applyAlignment="0">
      <alignment horizontal="left"/>
    </xf>
    <xf numFmtId="166" fontId="57" fillId="0" borderId="0" applyNumberFormat="0" applyAlignment="0">
      <alignment horizontal="left"/>
    </xf>
    <xf numFmtId="166" fontId="58" fillId="0" borderId="0" applyNumberFormat="0" applyAlignment="0"/>
    <xf numFmtId="184" fontId="59" fillId="0" borderId="27"/>
    <xf numFmtId="184" fontId="59" fillId="0" borderId="27"/>
    <xf numFmtId="185" fontId="12" fillId="0" borderId="0" applyBorder="0"/>
    <xf numFmtId="171" fontId="39" fillId="0" borderId="0" applyFont="0" applyFill="0" applyBorder="0" applyAlignment="0" applyProtection="0"/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44" fontId="6" fillId="0" borderId="0" applyFont="0" applyFill="0" applyBorder="0" applyAlignment="0" applyProtection="0"/>
    <xf numFmtId="188" fontId="43" fillId="0" borderId="0">
      <protection locked="0"/>
    </xf>
    <xf numFmtId="189" fontId="6" fillId="0" borderId="0" applyFill="0" applyBorder="0" applyAlignment="0" applyProtection="0"/>
    <xf numFmtId="190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0" fontId="39" fillId="0" borderId="0"/>
    <xf numFmtId="14" fontId="17" fillId="0" borderId="0"/>
    <xf numFmtId="0" fontId="39" fillId="0" borderId="28"/>
    <xf numFmtId="1" fontId="39" fillId="0" borderId="0"/>
    <xf numFmtId="191" fontId="14" fillId="0" borderId="0" applyFill="0" applyBorder="0" applyProtection="0">
      <alignment horizontal="centerContinuous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4" fontId="48" fillId="0" borderId="0" applyFill="0" applyBorder="0" applyAlignment="0"/>
    <xf numFmtId="194" fontId="6" fillId="0" borderId="0">
      <protection locked="0"/>
    </xf>
    <xf numFmtId="195" fontId="6" fillId="0" borderId="0" applyFont="0" applyFill="0" applyBorder="0" applyAlignment="0" applyProtection="0"/>
    <xf numFmtId="196" fontId="6" fillId="0" borderId="0" applyFont="0" applyFill="0" applyBorder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75" fontId="39" fillId="0" borderId="0" applyFill="0" applyBorder="0" applyAlignment="0"/>
    <xf numFmtId="171" fontId="39" fillId="0" borderId="0" applyFill="0" applyBorder="0" applyAlignment="0"/>
    <xf numFmtId="175" fontId="39" fillId="0" borderId="0" applyFill="0" applyBorder="0" applyAlignment="0"/>
    <xf numFmtId="176" fontId="39" fillId="0" borderId="0" applyFill="0" applyBorder="0" applyAlignment="0"/>
    <xf numFmtId="171" fontId="39" fillId="0" borderId="0" applyFill="0" applyBorder="0" applyAlignment="0"/>
    <xf numFmtId="0" fontId="60" fillId="0" borderId="0" applyNumberFormat="0" applyAlignment="0">
      <alignment horizontal="left"/>
    </xf>
    <xf numFmtId="166" fontId="60" fillId="0" borderId="0" applyNumberFormat="0" applyAlignment="0">
      <alignment horizontal="left"/>
    </xf>
    <xf numFmtId="166" fontId="60" fillId="0" borderId="0" applyNumberFormat="0" applyAlignment="0">
      <alignment horizontal="left"/>
    </xf>
    <xf numFmtId="166" fontId="60" fillId="0" borderId="0" applyNumberFormat="0" applyAlignment="0">
      <alignment horizontal="left"/>
    </xf>
    <xf numFmtId="166" fontId="60" fillId="0" borderId="0" applyNumberFormat="0" applyAlignment="0">
      <alignment horizontal="left"/>
    </xf>
    <xf numFmtId="166" fontId="60" fillId="0" borderId="0" applyNumberFormat="0" applyAlignment="0">
      <alignment horizontal="left"/>
    </xf>
    <xf numFmtId="166" fontId="60" fillId="0" borderId="0" applyNumberFormat="0" applyAlignment="0">
      <alignment horizontal="left"/>
    </xf>
    <xf numFmtId="166" fontId="60" fillId="0" borderId="0" applyNumberFormat="0" applyAlignment="0">
      <alignment horizontal="left"/>
    </xf>
    <xf numFmtId="166" fontId="60" fillId="0" borderId="0" applyNumberFormat="0" applyAlignment="0">
      <alignment horizontal="left"/>
    </xf>
    <xf numFmtId="166" fontId="60" fillId="0" borderId="0" applyNumberFormat="0" applyAlignment="0">
      <alignment horizontal="left"/>
    </xf>
    <xf numFmtId="166" fontId="60" fillId="0" borderId="0" applyNumberFormat="0" applyAlignment="0">
      <alignment horizontal="left"/>
    </xf>
    <xf numFmtId="166" fontId="60" fillId="0" borderId="0" applyNumberFormat="0" applyAlignment="0">
      <alignment horizontal="left"/>
    </xf>
    <xf numFmtId="166" fontId="60" fillId="0" borderId="0" applyNumberFormat="0" applyAlignment="0">
      <alignment horizontal="left"/>
    </xf>
    <xf numFmtId="166" fontId="60" fillId="0" borderId="0" applyNumberFormat="0" applyAlignment="0">
      <alignment horizontal="left"/>
    </xf>
    <xf numFmtId="166" fontId="60" fillId="0" borderId="0" applyNumberFormat="0" applyAlignment="0">
      <alignment horizontal="left"/>
    </xf>
    <xf numFmtId="166" fontId="60" fillId="0" borderId="0" applyNumberFormat="0" applyAlignment="0">
      <alignment horizontal="left"/>
    </xf>
    <xf numFmtId="166" fontId="60" fillId="0" borderId="0" applyNumberFormat="0" applyAlignment="0">
      <alignment horizontal="left"/>
    </xf>
    <xf numFmtId="166" fontId="60" fillId="0" borderId="0" applyNumberFormat="0" applyAlignment="0">
      <alignment horizontal="left"/>
    </xf>
    <xf numFmtId="166" fontId="60" fillId="0" borderId="0" applyNumberFormat="0" applyAlignment="0">
      <alignment horizontal="left"/>
    </xf>
    <xf numFmtId="166" fontId="60" fillId="0" borderId="0" applyNumberFormat="0" applyAlignment="0">
      <alignment horizontal="left"/>
    </xf>
    <xf numFmtId="166" fontId="60" fillId="0" borderId="0" applyNumberFormat="0" applyAlignment="0">
      <alignment horizontal="left"/>
    </xf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198" fontId="61" fillId="0" borderId="0">
      <protection locked="0"/>
    </xf>
    <xf numFmtId="198" fontId="61" fillId="0" borderId="0">
      <protection locked="0"/>
    </xf>
    <xf numFmtId="198" fontId="62" fillId="0" borderId="0">
      <protection locked="0"/>
    </xf>
    <xf numFmtId="198" fontId="61" fillId="0" borderId="0">
      <protection locked="0"/>
    </xf>
    <xf numFmtId="198" fontId="61" fillId="0" borderId="0">
      <protection locked="0"/>
    </xf>
    <xf numFmtId="198" fontId="61" fillId="0" borderId="0">
      <protection locked="0"/>
    </xf>
    <xf numFmtId="198" fontId="62" fillId="0" borderId="0">
      <protection locked="0"/>
    </xf>
    <xf numFmtId="2" fontId="6" fillId="0" borderId="0" applyFill="0" applyBorder="0" applyAlignment="0" applyProtection="0"/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0" fontId="63" fillId="0" borderId="0" applyFill="0" applyBorder="0" applyProtection="0">
      <alignment horizontal="left"/>
    </xf>
    <xf numFmtId="0" fontId="64" fillId="0" borderId="0"/>
    <xf numFmtId="0" fontId="42" fillId="2" borderId="0" applyNumberFormat="0" applyBorder="0" applyAlignment="0" applyProtection="0"/>
    <xf numFmtId="0" fontId="42" fillId="2" borderId="0" applyNumberFormat="0" applyBorder="0" applyAlignment="0" applyProtection="0"/>
    <xf numFmtId="0" fontId="42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42" fillId="2" borderId="0" applyNumberFormat="0" applyBorder="0" applyAlignment="0" applyProtection="0"/>
    <xf numFmtId="38" fontId="17" fillId="37" borderId="0" applyNumberFormat="0" applyBorder="0" applyAlignment="0" applyProtection="0"/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0" fontId="65" fillId="0" borderId="0" applyProtection="0">
      <alignment horizontal="right"/>
    </xf>
    <xf numFmtId="0" fontId="56" fillId="0" borderId="0"/>
    <xf numFmtId="166" fontId="66" fillId="0" borderId="30" applyNumberFormat="0" applyAlignment="0" applyProtection="0">
      <alignment horizontal="left" vertical="center"/>
    </xf>
    <xf numFmtId="166" fontId="66" fillId="0" borderId="30" applyNumberFormat="0" applyAlignment="0" applyProtection="0">
      <alignment horizontal="left" vertical="center"/>
    </xf>
    <xf numFmtId="166" fontId="66" fillId="0" borderId="30" applyNumberFormat="0" applyAlignment="0" applyProtection="0">
      <alignment horizontal="left" vertical="center"/>
    </xf>
    <xf numFmtId="166" fontId="66" fillId="0" borderId="30" applyNumberFormat="0" applyAlignment="0" applyProtection="0">
      <alignment horizontal="left" vertical="center"/>
    </xf>
    <xf numFmtId="166" fontId="66" fillId="0" borderId="30" applyNumberFormat="0" applyAlignment="0" applyProtection="0">
      <alignment horizontal="left" vertical="center"/>
    </xf>
    <xf numFmtId="166" fontId="66" fillId="0" borderId="30" applyNumberFormat="0" applyAlignment="0" applyProtection="0">
      <alignment horizontal="left" vertical="center"/>
    </xf>
    <xf numFmtId="166" fontId="66" fillId="0" borderId="30" applyNumberFormat="0" applyAlignment="0" applyProtection="0">
      <alignment horizontal="left" vertical="center"/>
    </xf>
    <xf numFmtId="166" fontId="66" fillId="0" borderId="30" applyNumberFormat="0" applyAlignment="0" applyProtection="0">
      <alignment horizontal="left" vertical="center"/>
    </xf>
    <xf numFmtId="166" fontId="66" fillId="0" borderId="30" applyNumberFormat="0" applyAlignment="0" applyProtection="0">
      <alignment horizontal="left" vertical="center"/>
    </xf>
    <xf numFmtId="166" fontId="66" fillId="0" borderId="30" applyNumberFormat="0" applyAlignment="0" applyProtection="0">
      <alignment horizontal="left" vertical="center"/>
    </xf>
    <xf numFmtId="166" fontId="66" fillId="0" borderId="30" applyNumberFormat="0" applyAlignment="0" applyProtection="0">
      <alignment horizontal="left" vertical="center"/>
    </xf>
    <xf numFmtId="166" fontId="66" fillId="0" borderId="30" applyNumberFormat="0" applyAlignment="0" applyProtection="0">
      <alignment horizontal="left" vertical="center"/>
    </xf>
    <xf numFmtId="166" fontId="66" fillId="0" borderId="30" applyNumberFormat="0" applyAlignment="0" applyProtection="0">
      <alignment horizontal="left" vertical="center"/>
    </xf>
    <xf numFmtId="166" fontId="66" fillId="0" borderId="30" applyNumberFormat="0" applyAlignment="0" applyProtection="0">
      <alignment horizontal="left" vertical="center"/>
    </xf>
    <xf numFmtId="166" fontId="66" fillId="0" borderId="30" applyNumberFormat="0" applyAlignment="0" applyProtection="0">
      <alignment horizontal="left" vertical="center"/>
    </xf>
    <xf numFmtId="166" fontId="66" fillId="0" borderId="30" applyNumberFormat="0" applyAlignment="0" applyProtection="0">
      <alignment horizontal="left" vertical="center"/>
    </xf>
    <xf numFmtId="166" fontId="66" fillId="0" borderId="30" applyNumberFormat="0" applyAlignment="0" applyProtection="0">
      <alignment horizontal="left" vertical="center"/>
    </xf>
    <xf numFmtId="166" fontId="66" fillId="0" borderId="30" applyNumberFormat="0" applyAlignment="0" applyProtection="0">
      <alignment horizontal="left" vertical="center"/>
    </xf>
    <xf numFmtId="166" fontId="66" fillId="0" borderId="30" applyNumberFormat="0" applyAlignment="0" applyProtection="0">
      <alignment horizontal="left" vertical="center"/>
    </xf>
    <xf numFmtId="166" fontId="66" fillId="0" borderId="30" applyNumberFormat="0" applyAlignment="0" applyProtection="0">
      <alignment horizontal="left" vertical="center"/>
    </xf>
    <xf numFmtId="0" fontId="66" fillId="0" borderId="0"/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4" fontId="14" fillId="38" borderId="31">
      <alignment horizontal="center" vertical="center" wrapText="1"/>
    </xf>
    <xf numFmtId="0" fontId="67" fillId="0" borderId="0" applyNumberFormat="0" applyFill="0" applyBorder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68" fillId="0" borderId="32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8" fillId="0" borderId="32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8" fillId="0" borderId="32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8" fillId="0" borderId="32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8" fillId="0" borderId="32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69" fillId="0" borderId="33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9" fillId="0" borderId="33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9" fillId="0" borderId="33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9" fillId="0" borderId="33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9" fillId="0" borderId="33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3" applyNumberFormat="0" applyFill="0" applyAlignment="0" applyProtection="0"/>
    <xf numFmtId="0" fontId="42" fillId="0" borderId="3" applyNumberFormat="0" applyFill="0" applyAlignment="0" applyProtection="0"/>
    <xf numFmtId="0" fontId="42" fillId="0" borderId="3" applyNumberFormat="0" applyFill="0" applyAlignment="0" applyProtection="0"/>
    <xf numFmtId="0" fontId="6" fillId="0" borderId="3" applyNumberFormat="0" applyFill="0" applyAlignment="0" applyProtection="0"/>
    <xf numFmtId="0" fontId="6" fillId="0" borderId="3" applyNumberFormat="0" applyFill="0" applyAlignment="0" applyProtection="0"/>
    <xf numFmtId="0" fontId="6" fillId="0" borderId="3" applyNumberFormat="0" applyFill="0" applyAlignment="0" applyProtection="0"/>
    <xf numFmtId="0" fontId="6" fillId="0" borderId="3" applyNumberFormat="0" applyFill="0" applyAlignment="0" applyProtection="0"/>
    <xf numFmtId="0" fontId="42" fillId="0" borderId="3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192" fontId="6" fillId="0" borderId="0">
      <protection locked="0"/>
    </xf>
    <xf numFmtId="192" fontId="6" fillId="0" borderId="0">
      <protection locked="0"/>
    </xf>
    <xf numFmtId="0" fontId="70" fillId="0" borderId="31">
      <alignment horizontal="center"/>
    </xf>
    <xf numFmtId="0" fontId="70" fillId="0" borderId="0">
      <alignment horizontal="center"/>
    </xf>
    <xf numFmtId="0" fontId="71" fillId="0" borderId="0" applyNumberFormat="0" applyFill="0" applyBorder="0" applyAlignment="0" applyProtection="0">
      <alignment vertical="top"/>
      <protection locked="0"/>
    </xf>
    <xf numFmtId="0" fontId="72" fillId="0" borderId="0" applyNumberFormat="0" applyFill="0" applyBorder="0" applyAlignment="0" applyProtection="0">
      <alignment vertical="top"/>
      <protection locked="0"/>
    </xf>
    <xf numFmtId="10" fontId="17" fillId="39" borderId="27" applyNumberFormat="0" applyBorder="0" applyAlignment="0" applyProtection="0"/>
    <xf numFmtId="10" fontId="17" fillId="39" borderId="27" applyNumberFormat="0" applyBorder="0" applyAlignment="0" applyProtection="0"/>
    <xf numFmtId="0" fontId="42" fillId="5" borderId="4" applyNumberFormat="0" applyAlignment="0" applyProtection="0"/>
    <xf numFmtId="0" fontId="42" fillId="5" borderId="4" applyNumberFormat="0" applyAlignment="0" applyProtection="0"/>
    <xf numFmtId="0" fontId="42" fillId="5" borderId="4" applyNumberFormat="0" applyAlignment="0" applyProtection="0"/>
    <xf numFmtId="0" fontId="6" fillId="5" borderId="4" applyNumberFormat="0" applyAlignment="0" applyProtection="0"/>
    <xf numFmtId="0" fontId="6" fillId="5" borderId="4" applyNumberFormat="0" applyAlignment="0" applyProtection="0"/>
    <xf numFmtId="0" fontId="6" fillId="5" borderId="4" applyNumberFormat="0" applyAlignment="0" applyProtection="0"/>
    <xf numFmtId="0" fontId="6" fillId="5" borderId="4" applyNumberFormat="0" applyAlignment="0" applyProtection="0"/>
    <xf numFmtId="0" fontId="42" fillId="5" borderId="4" applyNumberFormat="0" applyAlignment="0" applyProtection="0"/>
    <xf numFmtId="200" fontId="39" fillId="4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2" fontId="73" fillId="0" borderId="0"/>
    <xf numFmtId="0" fontId="74" fillId="41" borderId="28"/>
    <xf numFmtId="0" fontId="75" fillId="0" borderId="0" applyNumberFormat="0" applyFill="0" applyBorder="0" applyAlignment="0" applyProtection="0">
      <alignment vertical="top"/>
      <protection locked="0"/>
    </xf>
    <xf numFmtId="175" fontId="39" fillId="0" borderId="0" applyFill="0" applyBorder="0" applyAlignment="0"/>
    <xf numFmtId="171" fontId="39" fillId="0" borderId="0" applyFill="0" applyBorder="0" applyAlignment="0"/>
    <xf numFmtId="175" fontId="39" fillId="0" borderId="0" applyFill="0" applyBorder="0" applyAlignment="0"/>
    <xf numFmtId="176" fontId="39" fillId="0" borderId="0" applyFill="0" applyBorder="0" applyAlignment="0"/>
    <xf numFmtId="171" fontId="39" fillId="0" borderId="0" applyFill="0" applyBorder="0" applyAlignment="0"/>
    <xf numFmtId="0" fontId="42" fillId="0" borderId="6" applyNumberFormat="0" applyFill="0" applyAlignment="0" applyProtection="0"/>
    <xf numFmtId="0" fontId="42" fillId="0" borderId="6" applyNumberFormat="0" applyFill="0" applyAlignment="0" applyProtection="0"/>
    <xf numFmtId="0" fontId="42" fillId="0" borderId="6" applyNumberFormat="0" applyFill="0" applyAlignment="0" applyProtection="0"/>
    <xf numFmtId="0" fontId="6" fillId="0" borderId="6" applyNumberFormat="0" applyFill="0" applyAlignment="0" applyProtection="0"/>
    <xf numFmtId="0" fontId="6" fillId="0" borderId="6" applyNumberFormat="0" applyFill="0" applyAlignment="0" applyProtection="0"/>
    <xf numFmtId="0" fontId="6" fillId="0" borderId="6" applyNumberFormat="0" applyFill="0" applyAlignment="0" applyProtection="0"/>
    <xf numFmtId="0" fontId="6" fillId="0" borderId="6" applyNumberFormat="0" applyFill="0" applyAlignment="0" applyProtection="0"/>
    <xf numFmtId="0" fontId="42" fillId="0" borderId="6" applyNumberFormat="0" applyFill="0" applyAlignment="0" applyProtection="0"/>
    <xf numFmtId="200" fontId="76" fillId="42" borderId="0"/>
    <xf numFmtId="203" fontId="77" fillId="0" borderId="0" applyFont="0" applyFill="0" applyBorder="0" applyAlignment="0" applyProtection="0"/>
    <xf numFmtId="204" fontId="77" fillId="0" borderId="0" applyFont="0" applyFill="0" applyBorder="0" applyAlignment="0" applyProtection="0"/>
    <xf numFmtId="205" fontId="77" fillId="0" borderId="0" applyFont="0" applyFill="0" applyBorder="0" applyAlignment="0" applyProtection="0"/>
    <xf numFmtId="206" fontId="77" fillId="0" borderId="0" applyFont="0" applyFill="0" applyBorder="0" applyAlignment="0" applyProtection="0"/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42" fillId="4" borderId="0" applyNumberFormat="0" applyBorder="0" applyAlignment="0" applyProtection="0"/>
    <xf numFmtId="37" fontId="78" fillId="0" borderId="0"/>
    <xf numFmtId="203" fontId="39" fillId="0" borderId="0"/>
    <xf numFmtId="203" fontId="79" fillId="0" borderId="0"/>
    <xf numFmtId="203" fontId="79" fillId="0" borderId="0"/>
    <xf numFmtId="203" fontId="59" fillId="0" borderId="0"/>
    <xf numFmtId="203" fontId="59" fillId="0" borderId="0"/>
    <xf numFmtId="203" fontId="59" fillId="0" borderId="0"/>
    <xf numFmtId="203" fontId="59" fillId="0" borderId="0"/>
    <xf numFmtId="203" fontId="59" fillId="0" borderId="0"/>
    <xf numFmtId="208" fontId="80" fillId="0" borderId="0"/>
    <xf numFmtId="205" fontId="80" fillId="0" borderId="0"/>
    <xf numFmtId="205" fontId="80" fillId="0" borderId="0"/>
    <xf numFmtId="205" fontId="80" fillId="0" borderId="0"/>
    <xf numFmtId="205" fontId="80" fillId="0" borderId="0"/>
    <xf numFmtId="205" fontId="80" fillId="0" borderId="0"/>
    <xf numFmtId="205" fontId="80" fillId="0" borderId="0"/>
    <xf numFmtId="205" fontId="80" fillId="0" borderId="0"/>
    <xf numFmtId="205" fontId="80" fillId="0" borderId="0"/>
    <xf numFmtId="205" fontId="80" fillId="0" borderId="0"/>
    <xf numFmtId="205" fontId="80" fillId="0" borderId="0"/>
    <xf numFmtId="205" fontId="80" fillId="0" borderId="0"/>
    <xf numFmtId="205" fontId="80" fillId="0" borderId="0"/>
    <xf numFmtId="205" fontId="80" fillId="0" borderId="0"/>
    <xf numFmtId="205" fontId="80" fillId="0" borderId="0"/>
    <xf numFmtId="205" fontId="80" fillId="0" borderId="0"/>
    <xf numFmtId="205" fontId="80" fillId="0" borderId="0"/>
    <xf numFmtId="205" fontId="80" fillId="0" borderId="0"/>
    <xf numFmtId="205" fontId="80" fillId="0" borderId="0"/>
    <xf numFmtId="205" fontId="80" fillId="0" borderId="0"/>
    <xf numFmtId="205" fontId="8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44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0" fontId="48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0" fontId="5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1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/>
    <xf numFmtId="0" fontId="5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1" fillId="0" borderId="0"/>
    <xf numFmtId="0" fontId="48" fillId="0" borderId="0">
      <alignment vertical="top"/>
    </xf>
    <xf numFmtId="0" fontId="48" fillId="0" borderId="0">
      <alignment vertical="top"/>
    </xf>
    <xf numFmtId="0" fontId="48" fillId="0" borderId="0">
      <alignment vertical="top"/>
    </xf>
    <xf numFmtId="0" fontId="48" fillId="0" borderId="0">
      <alignment vertical="top"/>
    </xf>
    <xf numFmtId="0" fontId="48" fillId="0" borderId="0">
      <alignment vertical="top"/>
    </xf>
    <xf numFmtId="0" fontId="48" fillId="0" borderId="0">
      <alignment vertical="top"/>
    </xf>
    <xf numFmtId="0" fontId="48" fillId="0" borderId="0">
      <alignment vertical="top"/>
    </xf>
    <xf numFmtId="0" fontId="48" fillId="0" borderId="0">
      <alignment vertical="top"/>
    </xf>
    <xf numFmtId="0" fontId="48" fillId="0" borderId="0">
      <alignment vertical="top"/>
    </xf>
    <xf numFmtId="0" fontId="48" fillId="0" borderId="0">
      <alignment vertical="top"/>
    </xf>
    <xf numFmtId="0" fontId="48" fillId="0" borderId="0">
      <alignment vertical="top"/>
    </xf>
    <xf numFmtId="0" fontId="48" fillId="0" borderId="0">
      <alignment vertical="top"/>
    </xf>
    <xf numFmtId="0" fontId="48" fillId="0" borderId="0">
      <alignment vertical="top"/>
    </xf>
    <xf numFmtId="0" fontId="48" fillId="0" borderId="0">
      <alignment vertical="top"/>
    </xf>
    <xf numFmtId="0" fontId="48" fillId="0" borderId="0">
      <alignment vertical="top"/>
    </xf>
    <xf numFmtId="0" fontId="48" fillId="0" borderId="0">
      <alignment vertical="top"/>
    </xf>
    <xf numFmtId="0" fontId="48" fillId="0" borderId="0">
      <alignment vertical="top"/>
    </xf>
    <xf numFmtId="0" fontId="48" fillId="0" borderId="0">
      <alignment vertical="top"/>
    </xf>
    <xf numFmtId="0" fontId="48" fillId="0" borderId="0">
      <alignment vertical="top"/>
    </xf>
    <xf numFmtId="0" fontId="48" fillId="0" borderId="0">
      <alignment vertical="top"/>
    </xf>
    <xf numFmtId="0" fontId="5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53" fillId="0" borderId="0"/>
    <xf numFmtId="0" fontId="5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6" fillId="0" borderId="0"/>
    <xf numFmtId="0" fontId="5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3" fillId="0" borderId="0"/>
    <xf numFmtId="0" fontId="6" fillId="0" borderId="0"/>
    <xf numFmtId="166" fontId="48" fillId="0" borderId="0"/>
    <xf numFmtId="0" fontId="5" fillId="0" borderId="0"/>
    <xf numFmtId="0" fontId="6" fillId="0" borderId="0"/>
    <xf numFmtId="0" fontId="6" fillId="0" borderId="0"/>
    <xf numFmtId="0" fontId="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6" fillId="0" borderId="0"/>
    <xf numFmtId="0" fontId="6" fillId="0" borderId="0"/>
    <xf numFmtId="0" fontId="51" fillId="0" borderId="0"/>
    <xf numFmtId="0" fontId="6" fillId="0" borderId="0"/>
    <xf numFmtId="0" fontId="51" fillId="0" borderId="0"/>
    <xf numFmtId="0" fontId="6" fillId="0" borderId="0"/>
    <xf numFmtId="0" fontId="51" fillId="0" borderId="0"/>
    <xf numFmtId="0" fontId="6" fillId="0" borderId="0"/>
    <xf numFmtId="0" fontId="51" fillId="0" borderId="0"/>
    <xf numFmtId="0" fontId="6" fillId="0" borderId="0"/>
    <xf numFmtId="0" fontId="4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6" fillId="0" borderId="0"/>
    <xf numFmtId="202" fontId="6" fillId="0" borderId="0"/>
    <xf numFmtId="202" fontId="6" fillId="0" borderId="0"/>
    <xf numFmtId="202" fontId="6" fillId="0" borderId="0"/>
    <xf numFmtId="202" fontId="6" fillId="0" borderId="0"/>
    <xf numFmtId="202" fontId="6" fillId="0" borderId="0"/>
    <xf numFmtId="202" fontId="6" fillId="0" borderId="0"/>
    <xf numFmtId="202" fontId="6" fillId="0" borderId="0"/>
    <xf numFmtId="202" fontId="6" fillId="0" borderId="0"/>
    <xf numFmtId="202" fontId="6" fillId="0" borderId="0"/>
    <xf numFmtId="202" fontId="6" fillId="0" borderId="0"/>
    <xf numFmtId="202" fontId="6" fillId="0" borderId="0"/>
    <xf numFmtId="202" fontId="6" fillId="0" borderId="0"/>
    <xf numFmtId="202" fontId="6" fillId="0" borderId="0"/>
    <xf numFmtId="202" fontId="6" fillId="0" borderId="0"/>
    <xf numFmtId="202" fontId="6" fillId="0" borderId="0"/>
    <xf numFmtId="202" fontId="6" fillId="0" borderId="0"/>
    <xf numFmtId="202" fontId="6" fillId="0" borderId="0"/>
    <xf numFmtId="202" fontId="6" fillId="0" borderId="0"/>
    <xf numFmtId="202" fontId="6" fillId="0" borderId="0"/>
    <xf numFmtId="202" fontId="6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6" fillId="0" borderId="0"/>
    <xf numFmtId="0" fontId="48" fillId="0" borderId="0"/>
    <xf numFmtId="0" fontId="6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8" fontId="6" fillId="0" borderId="0"/>
    <xf numFmtId="0" fontId="51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4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6" fontId="6" fillId="0" borderId="0"/>
    <xf numFmtId="0" fontId="53" fillId="0" borderId="0"/>
    <xf numFmtId="0" fontId="53" fillId="0" borderId="0"/>
    <xf numFmtId="0" fontId="53" fillId="0" borderId="0"/>
    <xf numFmtId="0" fontId="6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1" fillId="0" borderId="0"/>
    <xf numFmtId="0" fontId="48" fillId="0" borderId="0"/>
    <xf numFmtId="0" fontId="48" fillId="0" borderId="0"/>
    <xf numFmtId="0" fontId="5" fillId="0" borderId="0"/>
    <xf numFmtId="0" fontId="48" fillId="0" borderId="0"/>
    <xf numFmtId="0" fontId="48" fillId="0" borderId="0"/>
    <xf numFmtId="0" fontId="6" fillId="0" borderId="0"/>
    <xf numFmtId="0" fontId="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6" fillId="0" borderId="0"/>
    <xf numFmtId="166" fontId="48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5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54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5" fillId="0" borderId="0"/>
    <xf numFmtId="0" fontId="55" fillId="0" borderId="0"/>
    <xf numFmtId="0" fontId="6" fillId="0" borderId="0"/>
    <xf numFmtId="0" fontId="51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48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5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5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38" fontId="6" fillId="0" borderId="0" applyBorder="0" applyAlignment="0"/>
    <xf numFmtId="40" fontId="6" fillId="0" borderId="0" applyFill="0" applyBorder="0" applyAlignment="0" applyProtection="0"/>
    <xf numFmtId="38" fontId="6" fillId="0" borderId="0" applyFill="0" applyBorder="0" applyAlignment="0" applyProtection="0"/>
    <xf numFmtId="0" fontId="82" fillId="0" borderId="0"/>
    <xf numFmtId="0" fontId="6" fillId="6" borderId="5" applyNumberFormat="0" applyAlignment="0" applyProtection="0"/>
    <xf numFmtId="0" fontId="42" fillId="6" borderId="5" applyNumberFormat="0" applyAlignment="0" applyProtection="0"/>
    <xf numFmtId="40" fontId="83" fillId="44" borderId="0">
      <alignment horizontal="right"/>
    </xf>
    <xf numFmtId="0" fontId="84" fillId="44" borderId="0">
      <alignment horizontal="right"/>
    </xf>
    <xf numFmtId="0" fontId="85" fillId="44" borderId="35"/>
    <xf numFmtId="0" fontId="85" fillId="0" borderId="0" applyBorder="0">
      <alignment horizontal="centerContinuous"/>
    </xf>
    <xf numFmtId="0" fontId="86" fillId="0" borderId="0" applyBorder="0">
      <alignment horizontal="centerContinuous"/>
    </xf>
    <xf numFmtId="1" fontId="87" fillId="0" borderId="0" applyProtection="0">
      <alignment horizontal="right" vertical="center"/>
    </xf>
    <xf numFmtId="14" fontId="44" fillId="0" borderId="0">
      <alignment horizontal="center" wrapText="1"/>
      <protection locked="0"/>
    </xf>
    <xf numFmtId="210" fontId="6" fillId="0" borderId="0" applyFill="0" applyBorder="0" applyAlignment="0" applyProtection="0"/>
    <xf numFmtId="210" fontId="6" fillId="0" borderId="0" applyFont="0" applyFill="0" applyBorder="0" applyAlignment="0" applyProtection="0"/>
    <xf numFmtId="210" fontId="6" fillId="0" borderId="0" applyFont="0" applyFill="0" applyBorder="0" applyAlignment="0" applyProtection="0"/>
    <xf numFmtId="210" fontId="6" fillId="0" borderId="0" applyFont="0" applyFill="0" applyBorder="0" applyAlignment="0" applyProtection="0"/>
    <xf numFmtId="210" fontId="6" fillId="0" borderId="0" applyFont="0" applyFill="0" applyBorder="0" applyAlignment="0" applyProtection="0"/>
    <xf numFmtId="210" fontId="6" fillId="0" borderId="0" applyFont="0" applyFill="0" applyBorder="0" applyAlignment="0" applyProtection="0"/>
    <xf numFmtId="210" fontId="6" fillId="0" borderId="0" applyFont="0" applyFill="0" applyBorder="0" applyAlignment="0" applyProtection="0"/>
    <xf numFmtId="210" fontId="6" fillId="0" borderId="0" applyFont="0" applyFill="0" applyBorder="0" applyAlignment="0" applyProtection="0"/>
    <xf numFmtId="210" fontId="6" fillId="0" borderId="0" applyFont="0" applyFill="0" applyBorder="0" applyAlignment="0" applyProtection="0"/>
    <xf numFmtId="210" fontId="6" fillId="0" borderId="0" applyFont="0" applyFill="0" applyBorder="0" applyAlignment="0" applyProtection="0"/>
    <xf numFmtId="210" fontId="6" fillId="0" borderId="0" applyFont="0" applyFill="0" applyBorder="0" applyAlignment="0" applyProtection="0"/>
    <xf numFmtId="210" fontId="6" fillId="0" borderId="0" applyFont="0" applyFill="0" applyBorder="0" applyAlignment="0" applyProtection="0"/>
    <xf numFmtId="210" fontId="6" fillId="0" borderId="0" applyFont="0" applyFill="0" applyBorder="0" applyAlignment="0" applyProtection="0"/>
    <xf numFmtId="210" fontId="6" fillId="0" borderId="0" applyFont="0" applyFill="0" applyBorder="0" applyAlignment="0" applyProtection="0"/>
    <xf numFmtId="210" fontId="6" fillId="0" borderId="0" applyFont="0" applyFill="0" applyBorder="0" applyAlignment="0" applyProtection="0"/>
    <xf numFmtId="210" fontId="6" fillId="0" borderId="0" applyFont="0" applyFill="0" applyBorder="0" applyAlignment="0" applyProtection="0"/>
    <xf numFmtId="210" fontId="6" fillId="0" borderId="0" applyFont="0" applyFill="0" applyBorder="0" applyAlignment="0" applyProtection="0"/>
    <xf numFmtId="210" fontId="6" fillId="0" borderId="0" applyFont="0" applyFill="0" applyBorder="0" applyAlignment="0" applyProtection="0"/>
    <xf numFmtId="210" fontId="6" fillId="0" borderId="0" applyFont="0" applyFill="0" applyBorder="0" applyAlignment="0" applyProtection="0"/>
    <xf numFmtId="210" fontId="6" fillId="0" borderId="0" applyFont="0" applyFill="0" applyBorder="0" applyAlignment="0" applyProtection="0"/>
    <xf numFmtId="210" fontId="6" fillId="0" borderId="0" applyFont="0" applyFill="0" applyBorder="0" applyAlignment="0" applyProtection="0"/>
    <xf numFmtId="174" fontId="39" fillId="0" borderId="0" applyFont="0" applyFill="0" applyBorder="0" applyAlignment="0" applyProtection="0"/>
    <xf numFmtId="211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51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51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51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51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51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5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5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5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5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5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5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5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5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5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5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5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5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5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5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5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5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5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5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5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5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202" fontId="88" fillId="0" borderId="0"/>
    <xf numFmtId="0" fontId="6" fillId="0" borderId="0" applyNumberFormat="0" applyFont="0" applyFill="0" applyBorder="0" applyAlignment="0" applyProtection="0"/>
    <xf numFmtId="9" fontId="89" fillId="0" borderId="36" applyNumberFormat="0" applyBorder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37" fontId="90" fillId="0" borderId="0" applyNumberFormat="0" applyFill="0" applyBorder="0" applyAlignment="0" applyProtection="0"/>
    <xf numFmtId="0" fontId="6" fillId="0" borderId="0" applyNumberFormat="0" applyFont="0" applyFill="0" applyBorder="0" applyAlignment="0" applyProtection="0"/>
    <xf numFmtId="37" fontId="90" fillId="0" borderId="0" applyNumberFormat="0" applyFill="0" applyBorder="0" applyAlignment="0" applyProtection="0"/>
    <xf numFmtId="0" fontId="6" fillId="0" borderId="0" applyNumberFormat="0" applyFont="0" applyFill="0" applyBorder="0" applyAlignment="0" applyProtection="0"/>
    <xf numFmtId="37" fontId="90" fillId="0" borderId="0" applyNumberFormat="0" applyFill="0" applyBorder="0" applyAlignment="0" applyProtection="0"/>
    <xf numFmtId="0" fontId="6" fillId="0" borderId="0" applyNumberFormat="0" applyFont="0" applyFill="0" applyBorder="0" applyAlignment="0" applyProtection="0"/>
    <xf numFmtId="37" fontId="90" fillId="0" borderId="0" applyNumberFormat="0" applyFill="0" applyBorder="0" applyAlignment="0" applyProtection="0"/>
    <xf numFmtId="0" fontId="6" fillId="0" borderId="0" applyNumberFormat="0" applyFont="0" applyFill="0" applyBorder="0" applyAlignment="0" applyProtection="0"/>
    <xf numFmtId="37" fontId="90" fillId="0" borderId="0" applyNumberFormat="0" applyFill="0" applyBorder="0" applyAlignment="0" applyProtection="0"/>
    <xf numFmtId="0" fontId="6" fillId="0" borderId="0" applyNumberFormat="0" applyFont="0" applyFill="0" applyBorder="0" applyAlignment="0" applyProtection="0"/>
    <xf numFmtId="37" fontId="90" fillId="0" borderId="0" applyNumberFormat="0" applyFill="0" applyBorder="0" applyAlignment="0" applyProtection="0"/>
    <xf numFmtId="0" fontId="6" fillId="0" borderId="0" applyNumberFormat="0" applyFont="0" applyFill="0" applyBorder="0" applyAlignment="0" applyProtection="0"/>
    <xf numFmtId="37" fontId="90" fillId="0" borderId="0" applyNumberFormat="0" applyFill="0" applyBorder="0" applyAlignment="0" applyProtection="0"/>
    <xf numFmtId="0" fontId="6" fillId="0" borderId="0" applyNumberFormat="0" applyFont="0" applyFill="0" applyBorder="0" applyAlignment="0" applyProtection="0"/>
    <xf numFmtId="37" fontId="90" fillId="0" borderId="0" applyNumberFormat="0" applyFill="0" applyBorder="0" applyAlignment="0" applyProtection="0"/>
    <xf numFmtId="0" fontId="6" fillId="0" borderId="0" applyNumberFormat="0" applyFont="0" applyFill="0" applyBorder="0" applyAlignment="0" applyProtection="0"/>
    <xf numFmtId="37" fontId="90" fillId="0" borderId="0" applyNumberFormat="0" applyFill="0" applyBorder="0" applyAlignment="0" applyProtection="0"/>
    <xf numFmtId="0" fontId="6" fillId="0" borderId="0" applyNumberFormat="0" applyFont="0" applyFill="0" applyBorder="0" applyAlignment="0" applyProtection="0"/>
    <xf numFmtId="37" fontId="90" fillId="0" borderId="0" applyNumberFormat="0" applyFill="0" applyBorder="0" applyAlignment="0" applyProtection="0"/>
    <xf numFmtId="0" fontId="6" fillId="0" borderId="0" applyNumberFormat="0" applyFont="0" applyFill="0" applyBorder="0" applyAlignment="0" applyProtection="0"/>
    <xf numFmtId="37" fontId="90" fillId="0" borderId="0" applyNumberFormat="0" applyFill="0" applyBorder="0" applyAlignment="0" applyProtection="0"/>
    <xf numFmtId="0" fontId="6" fillId="0" borderId="0" applyNumberFormat="0" applyFont="0" applyFill="0" applyBorder="0" applyAlignment="0" applyProtection="0"/>
    <xf numFmtId="37" fontId="90" fillId="0" borderId="0" applyNumberFormat="0" applyFill="0" applyBorder="0" applyAlignment="0" applyProtection="0"/>
    <xf numFmtId="0" fontId="6" fillId="0" borderId="0" applyNumberFormat="0" applyFont="0" applyFill="0" applyBorder="0" applyAlignment="0" applyProtection="0"/>
    <xf numFmtId="37" fontId="90" fillId="0" borderId="0" applyNumberFormat="0" applyFill="0" applyBorder="0" applyAlignment="0" applyProtection="0"/>
    <xf numFmtId="37" fontId="90" fillId="0" borderId="0" applyNumberFormat="0" applyFill="0" applyBorder="0" applyAlignment="0" applyProtection="0"/>
    <xf numFmtId="0" fontId="6" fillId="0" borderId="0" applyNumberFormat="0" applyFont="0" applyFill="0" applyBorder="0" applyAlignment="0" applyProtection="0"/>
    <xf numFmtId="37" fontId="90" fillId="0" borderId="0" applyNumberFormat="0" applyFill="0" applyBorder="0" applyAlignment="0" applyProtection="0"/>
    <xf numFmtId="0" fontId="6" fillId="0" borderId="0" applyNumberFormat="0" applyFont="0" applyFill="0" applyBorder="0" applyAlignment="0" applyProtection="0"/>
    <xf numFmtId="37" fontId="90" fillId="0" borderId="0" applyNumberFormat="0" applyFill="0" applyBorder="0" applyAlignment="0" applyProtection="0"/>
    <xf numFmtId="0" fontId="6" fillId="0" borderId="0" applyNumberFormat="0" applyFont="0" applyFill="0" applyBorder="0" applyAlignment="0" applyProtection="0"/>
    <xf numFmtId="37" fontId="90" fillId="0" borderId="0" applyNumberFormat="0" applyFill="0" applyBorder="0" applyAlignment="0" applyProtection="0"/>
    <xf numFmtId="0" fontId="6" fillId="0" borderId="0" applyNumberFormat="0" applyFont="0" applyFill="0" applyBorder="0" applyAlignment="0" applyProtection="0"/>
    <xf numFmtId="37" fontId="90" fillId="0" borderId="0" applyNumberFormat="0" applyFill="0" applyBorder="0" applyAlignment="0" applyProtection="0"/>
    <xf numFmtId="0" fontId="6" fillId="0" borderId="0" applyNumberFormat="0" applyFont="0" applyFill="0" applyBorder="0" applyAlignment="0" applyProtection="0"/>
    <xf numFmtId="37" fontId="90" fillId="0" borderId="0" applyNumberFormat="0" applyFill="0" applyBorder="0" applyAlignment="0" applyProtection="0"/>
    <xf numFmtId="0" fontId="6" fillId="0" borderId="0" applyNumberFormat="0" applyFont="0" applyFill="0" applyBorder="0" applyAlignment="0" applyProtection="0"/>
    <xf numFmtId="37" fontId="90" fillId="0" borderId="0" applyNumberFormat="0" applyFill="0" applyBorder="0" applyAlignment="0" applyProtection="0"/>
    <xf numFmtId="0" fontId="6" fillId="0" borderId="0" applyNumberFormat="0" applyFont="0" applyFill="0" applyBorder="0" applyAlignment="0" applyProtection="0"/>
    <xf numFmtId="37" fontId="90" fillId="0" borderId="0" applyNumberFormat="0" applyFill="0" applyBorder="0" applyAlignment="0" applyProtection="0"/>
    <xf numFmtId="0" fontId="6" fillId="0" borderId="0" applyNumberFormat="0" applyFont="0" applyFill="0" applyBorder="0" applyAlignment="0" applyProtection="0"/>
    <xf numFmtId="175" fontId="39" fillId="0" borderId="0" applyFill="0" applyBorder="0" applyAlignment="0"/>
    <xf numFmtId="0" fontId="6" fillId="0" borderId="0" applyNumberFormat="0" applyFont="0" applyFill="0" applyBorder="0" applyAlignment="0" applyProtection="0"/>
    <xf numFmtId="171" fontId="39" fillId="0" borderId="0" applyFill="0" applyBorder="0" applyAlignment="0"/>
    <xf numFmtId="0" fontId="6" fillId="0" borderId="0" applyNumberFormat="0" applyFont="0" applyFill="0" applyBorder="0" applyAlignment="0" applyProtection="0"/>
    <xf numFmtId="175" fontId="39" fillId="0" borderId="0" applyFill="0" applyBorder="0" applyAlignment="0"/>
    <xf numFmtId="0" fontId="6" fillId="0" borderId="0" applyNumberFormat="0" applyFont="0" applyFill="0" applyBorder="0" applyAlignment="0" applyProtection="0"/>
    <xf numFmtId="176" fontId="39" fillId="0" borderId="0" applyFill="0" applyBorder="0" applyAlignment="0"/>
    <xf numFmtId="0" fontId="6" fillId="0" borderId="0" applyNumberFormat="0" applyFont="0" applyFill="0" applyBorder="0" applyAlignment="0" applyProtection="0"/>
    <xf numFmtId="171" fontId="39" fillId="0" borderId="0" applyFill="0" applyBorder="0" applyAlignment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5" fontId="79" fillId="0" borderId="0"/>
    <xf numFmtId="0" fontId="6" fillId="0" borderId="0" applyNumberFormat="0" applyFont="0" applyFill="0" applyBorder="0" applyAlignment="0" applyProtection="0"/>
    <xf numFmtId="5" fontId="79" fillId="0" borderId="0"/>
    <xf numFmtId="0" fontId="6" fillId="0" borderId="0" applyNumberFormat="0" applyFont="0" applyFill="0" applyBorder="0" applyAlignment="0" applyProtection="0"/>
    <xf numFmtId="5" fontId="79" fillId="0" borderId="0"/>
    <xf numFmtId="0" fontId="6" fillId="0" borderId="0" applyNumberFormat="0" applyFont="0" applyFill="0" applyBorder="0" applyAlignment="0" applyProtection="0"/>
    <xf numFmtId="5" fontId="79" fillId="0" borderId="0"/>
    <xf numFmtId="0" fontId="6" fillId="0" borderId="0" applyNumberFormat="0" applyFont="0" applyFill="0" applyBorder="0" applyAlignment="0" applyProtection="0"/>
    <xf numFmtId="5" fontId="79" fillId="0" borderId="0"/>
    <xf numFmtId="0" fontId="6" fillId="0" borderId="0" applyNumberFormat="0" applyFont="0" applyFill="0" applyBorder="0" applyAlignment="0" applyProtection="0"/>
    <xf numFmtId="5" fontId="79" fillId="0" borderId="0"/>
    <xf numFmtId="0" fontId="6" fillId="0" borderId="0" applyNumberFormat="0" applyFont="0" applyFill="0" applyBorder="0" applyAlignment="0" applyProtection="0"/>
    <xf numFmtId="5" fontId="79" fillId="0" borderId="0"/>
    <xf numFmtId="0" fontId="6" fillId="0" borderId="0" applyNumberFormat="0" applyFont="0" applyFill="0" applyBorder="0" applyAlignment="0" applyProtection="0"/>
    <xf numFmtId="5" fontId="79" fillId="0" borderId="0"/>
    <xf numFmtId="0" fontId="6" fillId="0" borderId="0" applyNumberFormat="0" applyFont="0" applyFill="0" applyBorder="0" applyAlignment="0" applyProtection="0"/>
    <xf numFmtId="5" fontId="79" fillId="0" borderId="0"/>
    <xf numFmtId="0" fontId="6" fillId="0" borderId="0" applyNumberFormat="0" applyFont="0" applyFill="0" applyBorder="0" applyAlignment="0" applyProtection="0"/>
    <xf numFmtId="5" fontId="79" fillId="0" borderId="0"/>
    <xf numFmtId="0" fontId="6" fillId="0" borderId="0" applyNumberFormat="0" applyFont="0" applyFill="0" applyBorder="0" applyAlignment="0" applyProtection="0"/>
    <xf numFmtId="5" fontId="79" fillId="0" borderId="0"/>
    <xf numFmtId="0" fontId="6" fillId="0" borderId="0" applyNumberFormat="0" applyFont="0" applyFill="0" applyBorder="0" applyAlignment="0" applyProtection="0"/>
    <xf numFmtId="5" fontId="79" fillId="0" borderId="0"/>
    <xf numFmtId="0" fontId="6" fillId="0" borderId="0" applyNumberFormat="0" applyFont="0" applyFill="0" applyBorder="0" applyAlignment="0" applyProtection="0"/>
    <xf numFmtId="5" fontId="79" fillId="0" borderId="0"/>
    <xf numFmtId="179" fontId="79" fillId="0" borderId="0"/>
    <xf numFmtId="0" fontId="6" fillId="0" borderId="0" applyNumberFormat="0" applyFont="0" applyFill="0" applyBorder="0" applyAlignment="0" applyProtection="0"/>
    <xf numFmtId="5" fontId="79" fillId="0" borderId="0"/>
    <xf numFmtId="0" fontId="6" fillId="0" borderId="0" applyNumberFormat="0" applyFont="0" applyFill="0" applyBorder="0" applyAlignment="0" applyProtection="0"/>
    <xf numFmtId="5" fontId="79" fillId="0" borderId="0"/>
    <xf numFmtId="0" fontId="6" fillId="0" borderId="0" applyNumberFormat="0" applyFont="0" applyFill="0" applyBorder="0" applyAlignment="0" applyProtection="0"/>
    <xf numFmtId="5" fontId="79" fillId="0" borderId="0"/>
    <xf numFmtId="0" fontId="6" fillId="0" borderId="0" applyNumberFormat="0" applyFont="0" applyFill="0" applyBorder="0" applyAlignment="0" applyProtection="0"/>
    <xf numFmtId="5" fontId="79" fillId="0" borderId="0"/>
    <xf numFmtId="0" fontId="6" fillId="0" borderId="0" applyNumberFormat="0" applyFont="0" applyFill="0" applyBorder="0" applyAlignment="0" applyProtection="0"/>
    <xf numFmtId="5" fontId="79" fillId="0" borderId="0"/>
    <xf numFmtId="0" fontId="6" fillId="0" borderId="0" applyNumberFormat="0" applyFont="0" applyFill="0" applyBorder="0" applyAlignment="0" applyProtection="0"/>
    <xf numFmtId="5" fontId="79" fillId="0" borderId="0"/>
    <xf numFmtId="0" fontId="6" fillId="0" borderId="0" applyNumberFormat="0" applyFont="0" applyFill="0" applyBorder="0" applyAlignment="0" applyProtection="0"/>
    <xf numFmtId="5" fontId="79" fillId="0" borderId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166" fontId="89" fillId="0" borderId="0" applyNumberFormat="0" applyFont="0" applyFill="0" applyBorder="0" applyAlignment="0" applyProtection="0">
      <alignment horizontal="left"/>
    </xf>
    <xf numFmtId="0" fontId="6" fillId="0" borderId="0" applyNumberFormat="0" applyFont="0" applyFill="0" applyBorder="0" applyAlignment="0" applyProtection="0"/>
    <xf numFmtId="39" fontId="17" fillId="37" borderId="0" applyFill="0"/>
    <xf numFmtId="0" fontId="6" fillId="0" borderId="0" applyNumberFormat="0" applyFont="0" applyFill="0" applyBorder="0" applyAlignment="0" applyProtection="0"/>
    <xf numFmtId="0" fontId="17" fillId="0" borderId="0">
      <alignment horizontal="right"/>
    </xf>
    <xf numFmtId="0" fontId="6" fillId="0" borderId="0" applyNumberFormat="0" applyFont="0" applyFill="0" applyBorder="0" applyAlignment="0" applyProtection="0"/>
    <xf numFmtId="0" fontId="91" fillId="45" borderId="0" applyNumberFormat="0" applyFont="0" applyBorder="0" applyAlignment="0">
      <alignment horizontal="center"/>
    </xf>
    <xf numFmtId="0" fontId="6" fillId="0" borderId="0" applyNumberFormat="0" applyFont="0" applyFill="0" applyBorder="0" applyAlignment="0" applyProtection="0"/>
    <xf numFmtId="0" fontId="39" fillId="0" borderId="0"/>
    <xf numFmtId="0" fontId="6" fillId="0" borderId="0" applyNumberFormat="0" applyFont="0" applyFill="0" applyBorder="0" applyAlignment="0" applyProtection="0"/>
    <xf numFmtId="14" fontId="88" fillId="0" borderId="0" applyNumberFormat="0" applyFill="0" applyBorder="0" applyAlignment="0" applyProtection="0">
      <alignment horizontal="left"/>
    </xf>
    <xf numFmtId="0" fontId="6" fillId="0" borderId="0" applyNumberFormat="0" applyFont="0" applyFill="0" applyBorder="0" applyAlignment="0" applyProtection="0"/>
    <xf numFmtId="42" fontId="6" fillId="0" borderId="0"/>
    <xf numFmtId="0" fontId="6" fillId="0" borderId="0" applyNumberFormat="0" applyFont="0" applyFill="0" applyBorder="0" applyAlignment="0" applyProtection="0"/>
    <xf numFmtId="0" fontId="92" fillId="0" borderId="37"/>
    <xf numFmtId="0" fontId="6" fillId="0" borderId="0" applyNumberFormat="0" applyFont="0" applyFill="0" applyBorder="0" applyAlignment="0" applyProtection="0"/>
    <xf numFmtId="0" fontId="91" fillId="1" borderId="38" applyNumberFormat="0" applyFont="0" applyAlignment="0">
      <alignment horizontal="center"/>
    </xf>
    <xf numFmtId="0" fontId="6" fillId="0" borderId="0" applyNumberFormat="0" applyFont="0" applyFill="0" applyBorder="0" applyAlignment="0" applyProtection="0"/>
    <xf numFmtId="0" fontId="93" fillId="0" borderId="0" applyNumberFormat="0" applyFill="0" applyBorder="0" applyAlignment="0">
      <alignment horizontal="center"/>
    </xf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94" fillId="0" borderId="0"/>
    <xf numFmtId="0" fontId="6" fillId="0" borderId="0" applyNumberFormat="0" applyFont="0" applyFill="0" applyBorder="0" applyAlignment="0" applyProtection="0"/>
    <xf numFmtId="0" fontId="94" fillId="0" borderId="0"/>
    <xf numFmtId="0" fontId="6" fillId="0" borderId="0" applyNumberFormat="0" applyFont="0" applyFill="0" applyBorder="0" applyAlignment="0" applyProtection="0"/>
    <xf numFmtId="0" fontId="94" fillId="0" borderId="0"/>
    <xf numFmtId="0" fontId="6" fillId="0" borderId="0" applyNumberFormat="0" applyFont="0" applyFill="0" applyBorder="0" applyAlignment="0" applyProtection="0"/>
    <xf numFmtId="0" fontId="94" fillId="0" borderId="0"/>
    <xf numFmtId="0" fontId="6" fillId="0" borderId="0" applyNumberFormat="0" applyFont="0" applyFill="0" applyBorder="0" applyAlignment="0" applyProtection="0"/>
    <xf numFmtId="0" fontId="94" fillId="0" borderId="0"/>
    <xf numFmtId="0" fontId="6" fillId="0" borderId="0" applyNumberFormat="0" applyFont="0" applyFill="0" applyBorder="0" applyAlignment="0" applyProtection="0"/>
    <xf numFmtId="0" fontId="94" fillId="0" borderId="0"/>
    <xf numFmtId="0" fontId="6" fillId="0" borderId="0" applyNumberFormat="0" applyFont="0" applyFill="0" applyBorder="0" applyAlignment="0" applyProtection="0"/>
    <xf numFmtId="0" fontId="94" fillId="0" borderId="0"/>
    <xf numFmtId="0" fontId="6" fillId="0" borderId="0" applyNumberFormat="0" applyFont="0" applyFill="0" applyBorder="0" applyAlignment="0" applyProtection="0"/>
    <xf numFmtId="0" fontId="94" fillId="0" borderId="0"/>
    <xf numFmtId="0" fontId="6" fillId="0" borderId="0" applyNumberFormat="0" applyFont="0" applyFill="0" applyBorder="0" applyAlignment="0" applyProtection="0"/>
    <xf numFmtId="0" fontId="94" fillId="0" borderId="0"/>
    <xf numFmtId="0" fontId="6" fillId="0" borderId="0" applyNumberFormat="0" applyFont="0" applyFill="0" applyBorder="0" applyAlignment="0" applyProtection="0"/>
    <xf numFmtId="0" fontId="94" fillId="0" borderId="0"/>
    <xf numFmtId="0" fontId="6" fillId="0" borderId="0" applyNumberFormat="0" applyFont="0" applyFill="0" applyBorder="0" applyAlignment="0" applyProtection="0"/>
    <xf numFmtId="0" fontId="94" fillId="0" borderId="0"/>
    <xf numFmtId="0" fontId="6" fillId="0" borderId="0" applyNumberFormat="0" applyFont="0" applyFill="0" applyBorder="0" applyAlignment="0" applyProtection="0"/>
    <xf numFmtId="0" fontId="94" fillId="0" borderId="0"/>
    <xf numFmtId="0" fontId="6" fillId="0" borderId="0" applyNumberFormat="0" applyFont="0" applyFill="0" applyBorder="0" applyAlignment="0" applyProtection="0"/>
    <xf numFmtId="0" fontId="94" fillId="0" borderId="0"/>
    <xf numFmtId="0" fontId="6" fillId="0" borderId="0"/>
    <xf numFmtId="0" fontId="6" fillId="0" borderId="0" applyNumberFormat="0" applyFont="0" applyFill="0" applyBorder="0" applyAlignment="0" applyProtection="0"/>
    <xf numFmtId="0" fontId="94" fillId="0" borderId="0"/>
    <xf numFmtId="0" fontId="6" fillId="0" borderId="0" applyNumberFormat="0" applyFont="0" applyFill="0" applyBorder="0" applyAlignment="0" applyProtection="0"/>
    <xf numFmtId="0" fontId="94" fillId="0" borderId="0"/>
    <xf numFmtId="0" fontId="6" fillId="0" borderId="0" applyNumberFormat="0" applyFont="0" applyFill="0" applyBorder="0" applyAlignment="0" applyProtection="0"/>
    <xf numFmtId="0" fontId="94" fillId="0" borderId="0"/>
    <xf numFmtId="0" fontId="6" fillId="0" borderId="0" applyNumberFormat="0" applyFont="0" applyFill="0" applyBorder="0" applyAlignment="0" applyProtection="0"/>
    <xf numFmtId="0" fontId="94" fillId="0" borderId="0"/>
    <xf numFmtId="0" fontId="6" fillId="0" borderId="0" applyNumberFormat="0" applyFont="0" applyFill="0" applyBorder="0" applyAlignment="0" applyProtection="0"/>
    <xf numFmtId="0" fontId="94" fillId="0" borderId="0"/>
    <xf numFmtId="0" fontId="6" fillId="0" borderId="0" applyNumberFormat="0" applyFont="0" applyFill="0" applyBorder="0" applyAlignment="0" applyProtection="0"/>
    <xf numFmtId="0" fontId="94" fillId="0" borderId="0"/>
    <xf numFmtId="0" fontId="6" fillId="0" borderId="0" applyNumberFormat="0" applyFont="0" applyFill="0" applyBorder="0" applyAlignment="0" applyProtection="0"/>
    <xf numFmtId="0" fontId="94" fillId="0" borderId="0"/>
    <xf numFmtId="0" fontId="95" fillId="0" borderId="39">
      <alignment horizontal="center"/>
    </xf>
    <xf numFmtId="0" fontId="6" fillId="0" borderId="0" applyNumberFormat="0" applyFont="0" applyFill="0" applyBorder="0" applyAlignment="0" applyProtection="0"/>
    <xf numFmtId="0" fontId="95" fillId="0" borderId="0">
      <alignment horizontal="center" vertical="center"/>
    </xf>
    <xf numFmtId="0" fontId="6" fillId="0" borderId="0" applyNumberFormat="0" applyFont="0" applyFill="0" applyBorder="0" applyAlignment="0" applyProtection="0"/>
    <xf numFmtId="0" fontId="96" fillId="46" borderId="0" applyNumberFormat="0" applyFill="0">
      <alignment horizontal="left" vertical="center"/>
    </xf>
    <xf numFmtId="0" fontId="6" fillId="0" borderId="0" applyNumberFormat="0" applyFont="0" applyFill="0" applyBorder="0" applyAlignment="0" applyProtection="0"/>
    <xf numFmtId="0" fontId="97" fillId="0" borderId="40"/>
    <xf numFmtId="0" fontId="6" fillId="0" borderId="0" applyNumberFormat="0" applyFont="0" applyFill="0" applyBorder="0" applyAlignment="0" applyProtection="0"/>
    <xf numFmtId="40" fontId="98" fillId="0" borderId="0" applyBorder="0">
      <alignment horizontal="right"/>
    </xf>
    <xf numFmtId="0" fontId="6" fillId="0" borderId="0" applyNumberFormat="0" applyFont="0" applyFill="0" applyBorder="0" applyAlignment="0" applyProtection="0"/>
    <xf numFmtId="0" fontId="39" fillId="0" borderId="28"/>
    <xf numFmtId="0" fontId="6" fillId="0" borderId="0" applyNumberFormat="0" applyFont="0" applyFill="0" applyBorder="0" applyAlignment="0" applyProtection="0"/>
    <xf numFmtId="0" fontId="99" fillId="0" borderId="0" applyBorder="0" applyProtection="0">
      <alignment vertical="center"/>
    </xf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0" fontId="100" fillId="47" borderId="0" applyBorder="0" applyProtection="0">
      <alignment horizontal="centerContinuous" vertical="center"/>
    </xf>
    <xf numFmtId="0" fontId="6" fillId="0" borderId="0" applyNumberFormat="0" applyFont="0" applyFill="0" applyBorder="0" applyAlignment="0" applyProtection="0"/>
    <xf numFmtId="0" fontId="100" fillId="48" borderId="12" applyBorder="0" applyProtection="0">
      <alignment horizontal="centerContinuous" vertical="center"/>
    </xf>
    <xf numFmtId="0" fontId="6" fillId="0" borderId="0" applyNumberFormat="0" applyFont="0" applyFill="0" applyBorder="0" applyAlignment="0" applyProtection="0"/>
    <xf numFmtId="0" fontId="101" fillId="0" borderId="0" applyFill="0" applyBorder="0" applyProtection="0">
      <alignment horizontal="left"/>
    </xf>
    <xf numFmtId="0" fontId="6" fillId="0" borderId="0" applyNumberFormat="0" applyFont="0" applyFill="0" applyBorder="0" applyAlignment="0" applyProtection="0"/>
    <xf numFmtId="0" fontId="63" fillId="0" borderId="41" applyFill="0" applyBorder="0" applyProtection="0">
      <alignment horizontal="left" vertical="top"/>
    </xf>
    <xf numFmtId="0" fontId="6" fillId="0" borderId="0" applyNumberFormat="0" applyFont="0" applyFill="0" applyBorder="0" applyAlignment="0" applyProtection="0"/>
    <xf numFmtId="49" fontId="48" fillId="0" borderId="0" applyFill="0" applyBorder="0" applyAlignment="0"/>
    <xf numFmtId="0" fontId="6" fillId="0" borderId="0" applyNumberFormat="0" applyFont="0" applyFill="0" applyBorder="0" applyAlignment="0" applyProtection="0"/>
    <xf numFmtId="212" fontId="39" fillId="0" borderId="0" applyFill="0" applyBorder="0" applyAlignment="0"/>
    <xf numFmtId="0" fontId="6" fillId="0" borderId="0" applyNumberFormat="0" applyFont="0" applyFill="0" applyBorder="0" applyAlignment="0" applyProtection="0"/>
    <xf numFmtId="210" fontId="39" fillId="0" borderId="0" applyFill="0" applyBorder="0" applyAlignment="0"/>
    <xf numFmtId="0" fontId="6" fillId="0" borderId="0" applyNumberFormat="0" applyFont="0" applyFill="0" applyBorder="0" applyAlignment="0" applyProtection="0"/>
    <xf numFmtId="41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213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213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41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41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102" fillId="0" borderId="0" applyFill="0" applyBorder="0" applyProtection="0">
      <alignment horizontal="left" vertical="top"/>
    </xf>
    <xf numFmtId="0" fontId="6" fillId="0" borderId="0" applyNumberFormat="0" applyFont="0" applyFill="0" applyBorder="0" applyAlignment="0" applyProtection="0"/>
    <xf numFmtId="40" fontId="22" fillId="0" borderId="0"/>
    <xf numFmtId="0" fontId="6" fillId="0" borderId="0" applyNumberFormat="0" applyFont="0" applyFill="0" applyBorder="0" applyAlignment="0" applyProtection="0"/>
    <xf numFmtId="0" fontId="103" fillId="49" borderId="0"/>
    <xf numFmtId="0" fontId="6" fillId="0" borderId="0" applyNumberFormat="0" applyFon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ont="0" applyFill="0" applyBorder="0" applyAlignment="0" applyProtection="0"/>
    <xf numFmtId="0" fontId="42" fillId="0" borderId="0" applyNumberFormat="0" applyFill="0" applyBorder="0" applyAlignment="0" applyProtection="0"/>
    <xf numFmtId="0" fontId="6" fillId="0" borderId="0" applyNumberFormat="0" applyFont="0" applyFill="0" applyBorder="0" applyAlignment="0" applyProtection="0"/>
    <xf numFmtId="214" fontId="104" fillId="0" borderId="0"/>
    <xf numFmtId="0" fontId="6" fillId="0" borderId="0" applyNumberFormat="0" applyFont="0" applyFill="0" applyBorder="0" applyAlignment="0" applyProtection="0"/>
    <xf numFmtId="49" fontId="104" fillId="0" borderId="0">
      <alignment horizontal="left"/>
    </xf>
    <xf numFmtId="0" fontId="6" fillId="0" borderId="0" applyNumberFormat="0" applyFont="0" applyFill="0" applyBorder="0" applyAlignment="0" applyProtection="0"/>
    <xf numFmtId="0" fontId="105" fillId="0" borderId="42" applyNumberFormat="0" applyFill="0" applyAlignment="0" applyProtection="0"/>
    <xf numFmtId="0" fontId="6" fillId="0" borderId="0" applyNumberFormat="0" applyFont="0" applyFill="0" applyBorder="0" applyAlignment="0" applyProtection="0"/>
    <xf numFmtId="0" fontId="105" fillId="0" borderId="42" applyNumberFormat="0" applyFill="0" applyAlignment="0" applyProtection="0"/>
    <xf numFmtId="0" fontId="6" fillId="0" borderId="0" applyNumberFormat="0" applyFont="0" applyFill="0" applyBorder="0" applyAlignment="0" applyProtection="0"/>
    <xf numFmtId="0" fontId="105" fillId="0" borderId="42" applyNumberFormat="0" applyFill="0" applyAlignment="0" applyProtection="0"/>
    <xf numFmtId="0" fontId="6" fillId="0" borderId="0" applyNumberFormat="0" applyFont="0" applyFill="0" applyBorder="0" applyAlignment="0" applyProtection="0"/>
    <xf numFmtId="0" fontId="105" fillId="0" borderId="42" applyNumberFormat="0" applyFill="0" applyAlignment="0" applyProtection="0"/>
    <xf numFmtId="0" fontId="6" fillId="0" borderId="0" applyNumberFormat="0" applyFont="0" applyFill="0" applyBorder="0" applyAlignment="0" applyProtection="0"/>
    <xf numFmtId="0" fontId="105" fillId="0" borderId="42" applyNumberFormat="0" applyFill="0" applyAlignment="0" applyProtection="0"/>
    <xf numFmtId="0" fontId="6" fillId="0" borderId="0" applyNumberFormat="0" applyFont="0" applyFill="0" applyBorder="0" applyAlignment="0" applyProtection="0"/>
    <xf numFmtId="0" fontId="105" fillId="0" borderId="42" applyNumberFormat="0" applyFill="0" applyAlignment="0" applyProtection="0"/>
    <xf numFmtId="0" fontId="6" fillId="0" borderId="0" applyNumberFormat="0" applyFont="0" applyFill="0" applyBorder="0" applyAlignment="0" applyProtection="0"/>
    <xf numFmtId="0" fontId="105" fillId="0" borderId="42" applyNumberFormat="0" applyFill="0" applyAlignment="0" applyProtection="0"/>
    <xf numFmtId="0" fontId="6" fillId="0" borderId="0" applyNumberFormat="0" applyFont="0" applyFill="0" applyBorder="0" applyAlignment="0" applyProtection="0"/>
    <xf numFmtId="0" fontId="105" fillId="0" borderId="42" applyNumberFormat="0" applyFill="0" applyAlignment="0" applyProtection="0"/>
    <xf numFmtId="0" fontId="6" fillId="0" borderId="0" applyNumberFormat="0" applyFont="0" applyFill="0" applyBorder="0" applyAlignment="0" applyProtection="0"/>
    <xf numFmtId="0" fontId="105" fillId="0" borderId="42" applyNumberFormat="0" applyFill="0" applyAlignment="0" applyProtection="0"/>
    <xf numFmtId="0" fontId="6" fillId="0" borderId="0" applyNumberFormat="0" applyFont="0" applyFill="0" applyBorder="0" applyAlignment="0" applyProtection="0"/>
    <xf numFmtId="0" fontId="105" fillId="0" borderId="42" applyNumberFormat="0" applyFill="0" applyAlignment="0" applyProtection="0"/>
    <xf numFmtId="0" fontId="6" fillId="0" borderId="0" applyNumberFormat="0" applyFont="0" applyFill="0" applyBorder="0" applyAlignment="0" applyProtection="0"/>
    <xf numFmtId="0" fontId="6" fillId="0" borderId="9" applyNumberFormat="0" applyFont="0" applyFill="0" applyAlignment="0" applyProtection="0"/>
    <xf numFmtId="0" fontId="6" fillId="0" borderId="9" applyNumberForma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ill="0" applyAlignment="0" applyProtection="0"/>
    <xf numFmtId="0" fontId="105" fillId="0" borderId="42" applyNumberForma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ill="0" applyAlignment="0" applyProtection="0"/>
    <xf numFmtId="0" fontId="6" fillId="0" borderId="0" applyNumberFormat="0" applyFont="0" applyFill="0" applyBorder="0" applyAlignment="0" applyProtection="0"/>
    <xf numFmtId="0" fontId="105" fillId="0" borderId="42" applyNumberFormat="0" applyFill="0" applyAlignment="0" applyProtection="0"/>
    <xf numFmtId="0" fontId="6" fillId="0" borderId="0" applyNumberFormat="0" applyFont="0" applyFill="0" applyBorder="0" applyAlignment="0" applyProtection="0"/>
    <xf numFmtId="0" fontId="105" fillId="0" borderId="42" applyNumberFormat="0" applyFill="0" applyAlignment="0" applyProtection="0"/>
    <xf numFmtId="0" fontId="6" fillId="0" borderId="0" applyNumberFormat="0" applyFont="0" applyFill="0" applyBorder="0" applyAlignment="0" applyProtection="0"/>
    <xf numFmtId="0" fontId="105" fillId="0" borderId="42" applyNumberFormat="0" applyFill="0" applyAlignment="0" applyProtection="0"/>
    <xf numFmtId="0" fontId="6" fillId="0" borderId="0" applyNumberFormat="0" applyFont="0" applyFill="0" applyBorder="0" applyAlignment="0" applyProtection="0"/>
    <xf numFmtId="0" fontId="105" fillId="0" borderId="42" applyNumberFormat="0" applyFill="0" applyAlignment="0" applyProtection="0"/>
    <xf numFmtId="0" fontId="6" fillId="0" borderId="0" applyNumberFormat="0" applyFont="0" applyFill="0" applyBorder="0" applyAlignment="0" applyProtection="0"/>
    <xf numFmtId="0" fontId="105" fillId="0" borderId="42" applyNumberFormat="0" applyFill="0" applyAlignment="0" applyProtection="0"/>
    <xf numFmtId="0" fontId="6" fillId="0" borderId="0" applyNumberFormat="0" applyFont="0" applyFill="0" applyBorder="0" applyAlignment="0" applyProtection="0"/>
    <xf numFmtId="0" fontId="105" fillId="0" borderId="42" applyNumberFormat="0" applyFill="0" applyAlignment="0" applyProtection="0"/>
    <xf numFmtId="0" fontId="6" fillId="0" borderId="0" applyNumberFormat="0" applyFont="0" applyFill="0" applyBorder="0" applyAlignment="0" applyProtection="0"/>
    <xf numFmtId="0" fontId="105" fillId="0" borderId="42" applyNumberFormat="0" applyFill="0" applyAlignment="0" applyProtection="0"/>
    <xf numFmtId="0" fontId="6" fillId="0" borderId="0" applyNumberFormat="0" applyFont="0" applyFill="0" applyBorder="0" applyAlignment="0" applyProtection="0"/>
    <xf numFmtId="0" fontId="105" fillId="0" borderId="42" applyNumberFormat="0" applyFill="0" applyAlignment="0" applyProtection="0"/>
    <xf numFmtId="0" fontId="6" fillId="0" borderId="0" applyNumberFormat="0" applyFont="0" applyFill="0" applyBorder="0" applyAlignment="0" applyProtection="0"/>
    <xf numFmtId="0" fontId="105" fillId="0" borderId="42" applyNumberFormat="0" applyFill="0" applyAlignment="0" applyProtection="0"/>
    <xf numFmtId="0" fontId="6" fillId="0" borderId="0" applyNumberFormat="0" applyFont="0" applyFill="0" applyBorder="0" applyAlignment="0" applyProtection="0"/>
    <xf numFmtId="0" fontId="105" fillId="0" borderId="42" applyNumberFormat="0" applyFill="0" applyAlignment="0" applyProtection="0"/>
    <xf numFmtId="0" fontId="6" fillId="0" borderId="0" applyNumberFormat="0" applyFont="0" applyFill="0" applyBorder="0" applyAlignment="0" applyProtection="0"/>
    <xf numFmtId="0" fontId="6" fillId="0" borderId="9" applyNumberFormat="0" applyFont="0" applyFill="0" applyAlignment="0" applyProtection="0"/>
    <xf numFmtId="0" fontId="42" fillId="0" borderId="9" applyNumberFormat="0" applyFill="0" applyAlignment="0" applyProtection="0"/>
    <xf numFmtId="0" fontId="6" fillId="0" borderId="9" applyNumberFormat="0" applyFont="0" applyFill="0" applyAlignment="0" applyProtection="0"/>
    <xf numFmtId="0" fontId="42" fillId="0" borderId="9" applyNumberFormat="0" applyFill="0" applyAlignment="0" applyProtection="0"/>
    <xf numFmtId="0" fontId="6" fillId="0" borderId="9" applyNumberFormat="0" applyFont="0" applyFill="0" applyAlignment="0" applyProtection="0"/>
    <xf numFmtId="0" fontId="42" fillId="0" borderId="9" applyNumberFormat="0" applyFill="0" applyAlignment="0" applyProtection="0"/>
    <xf numFmtId="0" fontId="6" fillId="0" borderId="9" applyNumberFormat="0" applyFont="0" applyFill="0" applyAlignment="0" applyProtection="0"/>
    <xf numFmtId="0" fontId="42" fillId="0" borderId="9" applyNumberFormat="0" applyFill="0" applyAlignment="0" applyProtection="0"/>
    <xf numFmtId="0" fontId="6" fillId="0" borderId="9" applyNumberFormat="0" applyFont="0" applyFill="0" applyAlignment="0" applyProtection="0"/>
    <xf numFmtId="0" fontId="42" fillId="0" borderId="9" applyNumberFormat="0" applyFill="0" applyAlignment="0" applyProtection="0"/>
    <xf numFmtId="0" fontId="6" fillId="0" borderId="9" applyNumberFormat="0" applyFont="0" applyFill="0" applyAlignment="0" applyProtection="0"/>
    <xf numFmtId="0" fontId="42" fillId="0" borderId="9" applyNumberFormat="0" applyFill="0" applyAlignment="0" applyProtection="0"/>
    <xf numFmtId="0" fontId="6" fillId="0" borderId="9" applyNumberFormat="0" applyFont="0" applyFill="0" applyAlignment="0" applyProtection="0"/>
    <xf numFmtId="0" fontId="42" fillId="0" borderId="9" applyNumberFormat="0" applyFill="0" applyAlignment="0" applyProtection="0"/>
    <xf numFmtId="0" fontId="6" fillId="0" borderId="9" applyNumberFormat="0" applyFont="0" applyFill="0" applyAlignment="0" applyProtection="0"/>
    <xf numFmtId="0" fontId="42" fillId="0" borderId="9" applyNumberFormat="0" applyFill="0" applyAlignment="0" applyProtection="0"/>
    <xf numFmtId="0" fontId="6" fillId="0" borderId="9" applyNumberFormat="0" applyFont="0" applyFill="0" applyAlignment="0" applyProtection="0"/>
    <xf numFmtId="0" fontId="42" fillId="0" borderId="9" applyNumberFormat="0" applyFill="0" applyAlignment="0" applyProtection="0"/>
    <xf numFmtId="0" fontId="6" fillId="0" borderId="9" applyNumberFormat="0" applyFont="0" applyFill="0" applyAlignment="0" applyProtection="0"/>
    <xf numFmtId="0" fontId="42" fillId="0" borderId="9" applyNumberFormat="0" applyFill="0" applyAlignment="0" applyProtection="0"/>
    <xf numFmtId="0" fontId="6" fillId="0" borderId="9" applyNumberFormat="0" applyFont="0" applyFill="0" applyAlignment="0" applyProtection="0"/>
    <xf numFmtId="0" fontId="42" fillId="0" borderId="9" applyNumberFormat="0" applyFill="0" applyAlignment="0" applyProtection="0"/>
    <xf numFmtId="0" fontId="6" fillId="0" borderId="9" applyNumberFormat="0" applyFont="0" applyFill="0" applyAlignment="0" applyProtection="0"/>
    <xf numFmtId="0" fontId="42" fillId="0" borderId="9" applyNumberFormat="0" applyFill="0" applyAlignment="0" applyProtection="0"/>
    <xf numFmtId="0" fontId="6" fillId="0" borderId="9" applyNumberFormat="0" applyFont="0" applyFill="0" applyAlignment="0" applyProtection="0"/>
    <xf numFmtId="0" fontId="42" fillId="0" borderId="9" applyNumberFormat="0" applyFill="0" applyAlignment="0" applyProtection="0"/>
    <xf numFmtId="0" fontId="105" fillId="0" borderId="42" applyNumberFormat="0" applyFill="0" applyAlignment="0" applyProtection="0"/>
    <xf numFmtId="0" fontId="6" fillId="0" borderId="9" applyNumberFormat="0" applyFont="0" applyFill="0" applyAlignment="0" applyProtection="0"/>
    <xf numFmtId="0" fontId="42" fillId="0" borderId="9" applyNumberFormat="0" applyFill="0" applyAlignment="0" applyProtection="0"/>
    <xf numFmtId="0" fontId="6" fillId="0" borderId="9" applyNumberFormat="0" applyFont="0" applyFill="0" applyAlignment="0" applyProtection="0"/>
    <xf numFmtId="0" fontId="42" fillId="0" borderId="9" applyNumberFormat="0" applyFill="0" applyAlignment="0" applyProtection="0"/>
    <xf numFmtId="0" fontId="6" fillId="0" borderId="9" applyNumberFormat="0" applyFont="0" applyFill="0" applyAlignment="0" applyProtection="0"/>
    <xf numFmtId="0" fontId="42" fillId="0" borderId="9" applyNumberFormat="0" applyFill="0" applyAlignment="0" applyProtection="0"/>
    <xf numFmtId="0" fontId="6" fillId="0" borderId="9" applyNumberFormat="0" applyFont="0" applyFill="0" applyAlignment="0" applyProtection="0"/>
    <xf numFmtId="0" fontId="42" fillId="0" borderId="9" applyNumberFormat="0" applyFill="0" applyAlignment="0" applyProtection="0"/>
    <xf numFmtId="0" fontId="6" fillId="0" borderId="9" applyNumberFormat="0" applyFont="0" applyFill="0" applyAlignment="0" applyProtection="0"/>
    <xf numFmtId="0" fontId="42" fillId="0" borderId="9" applyNumberFormat="0" applyFill="0" applyAlignment="0" applyProtection="0"/>
    <xf numFmtId="0" fontId="6" fillId="0" borderId="9" applyNumberFormat="0" applyFont="0" applyFill="0" applyAlignment="0" applyProtection="0"/>
    <xf numFmtId="0" fontId="42" fillId="0" borderId="9" applyNumberFormat="0" applyFill="0" applyAlignment="0" applyProtection="0"/>
    <xf numFmtId="0" fontId="6" fillId="0" borderId="9" applyNumberFormat="0" applyFont="0" applyFill="0" applyAlignment="0" applyProtection="0"/>
    <xf numFmtId="0" fontId="42" fillId="0" borderId="9" applyNumberFormat="0" applyFill="0" applyAlignment="0" applyProtection="0"/>
    <xf numFmtId="0" fontId="6" fillId="0" borderId="0" applyNumberFormat="0" applyFont="0" applyFill="0" applyBorder="0" applyAlignment="0" applyProtection="0"/>
    <xf numFmtId="0" fontId="105" fillId="0" borderId="42" applyNumberFormat="0" applyFill="0" applyAlignment="0" applyProtection="0"/>
    <xf numFmtId="0" fontId="6" fillId="0" borderId="0" applyNumberFormat="0" applyFont="0" applyFill="0" applyBorder="0" applyAlignment="0" applyProtection="0"/>
    <xf numFmtId="0" fontId="105" fillId="0" borderId="42" applyNumberFormat="0" applyFill="0" applyAlignment="0" applyProtection="0"/>
    <xf numFmtId="0" fontId="6" fillId="0" borderId="0" applyNumberFormat="0" applyFont="0" applyFill="0" applyBorder="0" applyAlignment="0" applyProtection="0"/>
    <xf numFmtId="0" fontId="105" fillId="0" borderId="42" applyNumberFormat="0" applyFill="0" applyAlignment="0" applyProtection="0"/>
    <xf numFmtId="0" fontId="6" fillId="0" borderId="0" applyNumberFormat="0" applyFont="0" applyFill="0" applyBorder="0" applyAlignment="0" applyProtection="0"/>
    <xf numFmtId="0" fontId="105" fillId="0" borderId="42" applyNumberFormat="0" applyFill="0" applyAlignment="0" applyProtection="0"/>
    <xf numFmtId="0" fontId="6" fillId="0" borderId="0" applyNumberFormat="0" applyFont="0" applyFill="0" applyBorder="0" applyAlignment="0" applyProtection="0"/>
    <xf numFmtId="0" fontId="105" fillId="0" borderId="42" applyNumberFormat="0" applyFill="0" applyAlignment="0" applyProtection="0"/>
    <xf numFmtId="0" fontId="6" fillId="0" borderId="0" applyNumberFormat="0" applyFont="0" applyFill="0" applyBorder="0" applyAlignment="0" applyProtection="0"/>
    <xf numFmtId="0" fontId="105" fillId="0" borderId="42" applyNumberFormat="0" applyFill="0" applyAlignment="0" applyProtection="0"/>
    <xf numFmtId="0" fontId="6" fillId="0" borderId="0" applyNumberFormat="0" applyFont="0" applyFill="0" applyBorder="0" applyAlignment="0" applyProtection="0"/>
    <xf numFmtId="0" fontId="105" fillId="0" borderId="42" applyNumberFormat="0" applyFill="0" applyAlignment="0" applyProtection="0"/>
    <xf numFmtId="0" fontId="6" fillId="0" borderId="0" applyNumberFormat="0" applyFont="0" applyFill="0" applyBorder="0" applyAlignment="0" applyProtection="0"/>
    <xf numFmtId="0" fontId="105" fillId="0" borderId="42" applyNumberFormat="0" applyFill="0" applyAlignment="0" applyProtection="0"/>
    <xf numFmtId="0" fontId="6" fillId="0" borderId="0" applyNumberFormat="0" applyFont="0" applyFill="0" applyBorder="0" applyAlignment="0" applyProtection="0"/>
    <xf numFmtId="0" fontId="105" fillId="0" borderId="42" applyNumberFormat="0" applyFill="0" applyAlignment="0" applyProtection="0"/>
    <xf numFmtId="0" fontId="6" fillId="0" borderId="0" applyNumberFormat="0" applyFont="0" applyFill="0" applyBorder="0" applyAlignment="0" applyProtection="0"/>
    <xf numFmtId="0" fontId="105" fillId="0" borderId="42" applyNumberFormat="0" applyFill="0" applyAlignment="0" applyProtection="0"/>
    <xf numFmtId="0" fontId="6" fillId="0" borderId="0" applyNumberFormat="0" applyFont="0" applyFill="0" applyBorder="0" applyAlignment="0" applyProtection="0"/>
    <xf numFmtId="0" fontId="105" fillId="0" borderId="42" applyNumberFormat="0" applyFill="0" applyAlignment="0" applyProtection="0"/>
    <xf numFmtId="0" fontId="6" fillId="0" borderId="0" applyNumberFormat="0" applyFont="0" applyFill="0" applyBorder="0" applyAlignment="0" applyProtection="0"/>
    <xf numFmtId="0" fontId="105" fillId="0" borderId="42" applyNumberFormat="0" applyFill="0" applyAlignment="0" applyProtection="0"/>
    <xf numFmtId="0" fontId="6" fillId="0" borderId="0" applyNumberFormat="0" applyFont="0" applyFill="0" applyBorder="0" applyAlignment="0" applyProtection="0"/>
    <xf numFmtId="0" fontId="105" fillId="0" borderId="42" applyNumberFormat="0" applyFill="0" applyAlignment="0" applyProtection="0"/>
    <xf numFmtId="0" fontId="6" fillId="0" borderId="0" applyNumberFormat="0" applyFont="0" applyFill="0" applyBorder="0" applyAlignment="0" applyProtection="0"/>
    <xf numFmtId="0" fontId="105" fillId="0" borderId="42" applyNumberFormat="0" applyFill="0" applyAlignment="0" applyProtection="0"/>
    <xf numFmtId="0" fontId="6" fillId="0" borderId="0" applyNumberFormat="0" applyFont="0" applyFill="0" applyBorder="0" applyAlignment="0" applyProtection="0"/>
    <xf numFmtId="0" fontId="74" fillId="0" borderId="43"/>
    <xf numFmtId="0" fontId="6" fillId="0" borderId="0" applyNumberFormat="0" applyFont="0" applyFill="0" applyBorder="0" applyAlignment="0" applyProtection="0"/>
    <xf numFmtId="0" fontId="74" fillId="0" borderId="28"/>
    <xf numFmtId="0" fontId="6" fillId="0" borderId="0" applyNumberFormat="0" applyFont="0" applyFill="0" applyBorder="0" applyAlignment="0" applyProtection="0"/>
    <xf numFmtId="0" fontId="106" fillId="0" borderId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ont="0" applyFill="0" applyBorder="0" applyAlignment="0" applyProtection="0"/>
    <xf numFmtId="0" fontId="42" fillId="0" borderId="0" applyNumberForma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43" fontId="107" fillId="0" borderId="0" applyFont="0" applyFill="0" applyBorder="0" applyAlignment="0" applyProtection="0"/>
    <xf numFmtId="9" fontId="113" fillId="0" borderId="0" applyFont="0" applyFill="0" applyBorder="0" applyAlignment="0" applyProtection="0"/>
    <xf numFmtId="166" fontId="116" fillId="0" borderId="0"/>
    <xf numFmtId="0" fontId="6" fillId="0" borderId="0" applyNumberForma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10" borderId="0" applyNumberFormat="0" applyBorder="0" applyAlignment="0" applyProtection="0"/>
    <xf numFmtId="0" fontId="42" fillId="10" borderId="0" applyNumberFormat="0" applyBorder="0" applyAlignment="0" applyProtection="0"/>
    <xf numFmtId="0" fontId="42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42" fillId="10" borderId="0" applyNumberFormat="0" applyBorder="0" applyAlignment="0" applyProtection="0"/>
    <xf numFmtId="0" fontId="42" fillId="14" borderId="0" applyNumberFormat="0" applyBorder="0" applyAlignment="0" applyProtection="0"/>
    <xf numFmtId="0" fontId="42" fillId="14" borderId="0" applyNumberFormat="0" applyBorder="0" applyAlignment="0" applyProtection="0"/>
    <xf numFmtId="0" fontId="42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42" fillId="14" borderId="0" applyNumberFormat="0" applyBorder="0" applyAlignment="0" applyProtection="0"/>
    <xf numFmtId="0" fontId="42" fillId="18" borderId="0" applyNumberFormat="0" applyBorder="0" applyAlignment="0" applyProtection="0"/>
    <xf numFmtId="0" fontId="42" fillId="18" borderId="0" applyNumberFormat="0" applyBorder="0" applyAlignment="0" applyProtection="0"/>
    <xf numFmtId="0" fontId="42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42" fillId="18" borderId="0" applyNumberFormat="0" applyBorder="0" applyAlignment="0" applyProtection="0"/>
    <xf numFmtId="0" fontId="42" fillId="22" borderId="0" applyNumberFormat="0" applyBorder="0" applyAlignment="0" applyProtection="0"/>
    <xf numFmtId="0" fontId="42" fillId="22" borderId="0" applyNumberFormat="0" applyBorder="0" applyAlignment="0" applyProtection="0"/>
    <xf numFmtId="0" fontId="42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42" fillId="22" borderId="0" applyNumberFormat="0" applyBorder="0" applyAlignment="0" applyProtection="0"/>
    <xf numFmtId="0" fontId="42" fillId="26" borderId="0" applyNumberFormat="0" applyBorder="0" applyAlignment="0" applyProtection="0"/>
    <xf numFmtId="0" fontId="42" fillId="26" borderId="0" applyNumberFormat="0" applyBorder="0" applyAlignment="0" applyProtection="0"/>
    <xf numFmtId="0" fontId="42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42" fillId="26" borderId="0" applyNumberFormat="0" applyBorder="0" applyAlignment="0" applyProtection="0"/>
    <xf numFmtId="0" fontId="42" fillId="30" borderId="0" applyNumberFormat="0" applyBorder="0" applyAlignment="0" applyProtection="0"/>
    <xf numFmtId="0" fontId="42" fillId="30" borderId="0" applyNumberFormat="0" applyBorder="0" applyAlignment="0" applyProtection="0"/>
    <xf numFmtId="0" fontId="42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42" fillId="30" borderId="0" applyNumberFormat="0" applyBorder="0" applyAlignment="0" applyProtection="0"/>
    <xf numFmtId="0" fontId="42" fillId="11" borderId="0" applyNumberFormat="0" applyBorder="0" applyAlignment="0" applyProtection="0"/>
    <xf numFmtId="0" fontId="42" fillId="11" borderId="0" applyNumberFormat="0" applyBorder="0" applyAlignment="0" applyProtection="0"/>
    <xf numFmtId="0" fontId="42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42" fillId="11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23" borderId="0" applyNumberFormat="0" applyBorder="0" applyAlignment="0" applyProtection="0"/>
    <xf numFmtId="0" fontId="42" fillId="23" borderId="0" applyNumberFormat="0" applyBorder="0" applyAlignment="0" applyProtection="0"/>
    <xf numFmtId="0" fontId="42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42" fillId="23" borderId="0" applyNumberFormat="0" applyBorder="0" applyAlignment="0" applyProtection="0"/>
    <xf numFmtId="0" fontId="42" fillId="27" borderId="0" applyNumberFormat="0" applyBorder="0" applyAlignment="0" applyProtection="0"/>
    <xf numFmtId="0" fontId="42" fillId="27" borderId="0" applyNumberFormat="0" applyBorder="0" applyAlignment="0" applyProtection="0"/>
    <xf numFmtId="0" fontId="42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42" fillId="27" borderId="0" applyNumberFormat="0" applyBorder="0" applyAlignment="0" applyProtection="0"/>
    <xf numFmtId="0" fontId="42" fillId="31" borderId="0" applyNumberFormat="0" applyBorder="0" applyAlignment="0" applyProtection="0"/>
    <xf numFmtId="0" fontId="42" fillId="31" borderId="0" applyNumberFormat="0" applyBorder="0" applyAlignment="0" applyProtection="0"/>
    <xf numFmtId="0" fontId="42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42" fillId="31" borderId="0" applyNumberFormat="0" applyBorder="0" applyAlignment="0" applyProtection="0"/>
    <xf numFmtId="0" fontId="42" fillId="12" borderId="0" applyNumberFormat="0" applyBorder="0" applyAlignment="0" applyProtection="0"/>
    <xf numFmtId="0" fontId="42" fillId="12" borderId="0" applyNumberFormat="0" applyBorder="0" applyAlignment="0" applyProtection="0"/>
    <xf numFmtId="0" fontId="42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42" fillId="12" borderId="0" applyNumberFormat="0" applyBorder="0" applyAlignment="0" applyProtection="0"/>
    <xf numFmtId="0" fontId="42" fillId="16" borderId="0" applyNumberFormat="0" applyBorder="0" applyAlignment="0" applyProtection="0"/>
    <xf numFmtId="0" fontId="42" fillId="16" borderId="0" applyNumberFormat="0" applyBorder="0" applyAlignment="0" applyProtection="0"/>
    <xf numFmtId="0" fontId="42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42" fillId="16" borderId="0" applyNumberFormat="0" applyBorder="0" applyAlignment="0" applyProtection="0"/>
    <xf numFmtId="0" fontId="42" fillId="20" borderId="0" applyNumberFormat="0" applyBorder="0" applyAlignment="0" applyProtection="0"/>
    <xf numFmtId="0" fontId="42" fillId="20" borderId="0" applyNumberFormat="0" applyBorder="0" applyAlignment="0" applyProtection="0"/>
    <xf numFmtId="0" fontId="42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42" fillId="20" borderId="0" applyNumberFormat="0" applyBorder="0" applyAlignment="0" applyProtection="0"/>
    <xf numFmtId="0" fontId="42" fillId="24" borderId="0" applyNumberFormat="0" applyBorder="0" applyAlignment="0" applyProtection="0"/>
    <xf numFmtId="0" fontId="42" fillId="24" borderId="0" applyNumberFormat="0" applyBorder="0" applyAlignment="0" applyProtection="0"/>
    <xf numFmtId="0" fontId="42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42" fillId="24" borderId="0" applyNumberFormat="0" applyBorder="0" applyAlignment="0" applyProtection="0"/>
    <xf numFmtId="0" fontId="42" fillId="28" borderId="0" applyNumberFormat="0" applyBorder="0" applyAlignment="0" applyProtection="0"/>
    <xf numFmtId="0" fontId="42" fillId="28" borderId="0" applyNumberFormat="0" applyBorder="0" applyAlignment="0" applyProtection="0"/>
    <xf numFmtId="0" fontId="42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42" fillId="28" borderId="0" applyNumberFormat="0" applyBorder="0" applyAlignment="0" applyProtection="0"/>
    <xf numFmtId="0" fontId="42" fillId="32" borderId="0" applyNumberFormat="0" applyBorder="0" applyAlignment="0" applyProtection="0"/>
    <xf numFmtId="0" fontId="42" fillId="32" borderId="0" applyNumberFormat="0" applyBorder="0" applyAlignment="0" applyProtection="0"/>
    <xf numFmtId="0" fontId="42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42" fillId="32" borderId="0" applyNumberFormat="0" applyBorder="0" applyAlignment="0" applyProtection="0"/>
    <xf numFmtId="0" fontId="42" fillId="9" borderId="0" applyNumberFormat="0" applyBorder="0" applyAlignment="0" applyProtection="0"/>
    <xf numFmtId="0" fontId="42" fillId="9" borderId="0" applyNumberFormat="0" applyBorder="0" applyAlignment="0" applyProtection="0"/>
    <xf numFmtId="0" fontId="42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42" fillId="9" borderId="0" applyNumberFormat="0" applyBorder="0" applyAlignment="0" applyProtection="0"/>
    <xf numFmtId="0" fontId="42" fillId="13" borderId="0" applyNumberFormat="0" applyBorder="0" applyAlignment="0" applyProtection="0"/>
    <xf numFmtId="0" fontId="42" fillId="13" borderId="0" applyNumberFormat="0" applyBorder="0" applyAlignment="0" applyProtection="0"/>
    <xf numFmtId="0" fontId="42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42" fillId="13" borderId="0" applyNumberFormat="0" applyBorder="0" applyAlignment="0" applyProtection="0"/>
    <xf numFmtId="0" fontId="42" fillId="17" borderId="0" applyNumberFormat="0" applyBorder="0" applyAlignment="0" applyProtection="0"/>
    <xf numFmtId="0" fontId="42" fillId="17" borderId="0" applyNumberFormat="0" applyBorder="0" applyAlignment="0" applyProtection="0"/>
    <xf numFmtId="0" fontId="42" fillId="17" borderId="0" applyNumberFormat="0" applyBorder="0" applyAlignment="0" applyProtection="0"/>
    <xf numFmtId="0" fontId="6" fillId="17" borderId="0" applyNumberFormat="0" applyBorder="0" applyAlignment="0" applyProtection="0"/>
    <xf numFmtId="0" fontId="6" fillId="17" borderId="0" applyNumberFormat="0" applyBorder="0" applyAlignment="0" applyProtection="0"/>
    <xf numFmtId="0" fontId="6" fillId="17" borderId="0" applyNumberFormat="0" applyBorder="0" applyAlignment="0" applyProtection="0"/>
    <xf numFmtId="0" fontId="6" fillId="17" borderId="0" applyNumberFormat="0" applyBorder="0" applyAlignment="0" applyProtection="0"/>
    <xf numFmtId="0" fontId="42" fillId="17" borderId="0" applyNumberFormat="0" applyBorder="0" applyAlignment="0" applyProtection="0"/>
    <xf numFmtId="0" fontId="42" fillId="21" borderId="0" applyNumberFormat="0" applyBorder="0" applyAlignment="0" applyProtection="0"/>
    <xf numFmtId="0" fontId="42" fillId="21" borderId="0" applyNumberFormat="0" applyBorder="0" applyAlignment="0" applyProtection="0"/>
    <xf numFmtId="0" fontId="42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42" fillId="21" borderId="0" applyNumberFormat="0" applyBorder="0" applyAlignment="0" applyProtection="0"/>
    <xf numFmtId="0" fontId="42" fillId="25" borderId="0" applyNumberFormat="0" applyBorder="0" applyAlignment="0" applyProtection="0"/>
    <xf numFmtId="0" fontId="42" fillId="25" borderId="0" applyNumberFormat="0" applyBorder="0" applyAlignment="0" applyProtection="0"/>
    <xf numFmtId="0" fontId="42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42" fillId="25" borderId="0" applyNumberFormat="0" applyBorder="0" applyAlignment="0" applyProtection="0"/>
    <xf numFmtId="0" fontId="42" fillId="29" borderId="0" applyNumberFormat="0" applyBorder="0" applyAlignment="0" applyProtection="0"/>
    <xf numFmtId="0" fontId="42" fillId="29" borderId="0" applyNumberFormat="0" applyBorder="0" applyAlignment="0" applyProtection="0"/>
    <xf numFmtId="0" fontId="42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42" fillId="29" borderId="0" applyNumberFormat="0" applyBorder="0" applyAlignment="0" applyProtection="0"/>
    <xf numFmtId="0" fontId="44" fillId="0" borderId="0">
      <alignment horizontal="center" wrapText="1"/>
      <protection locked="0"/>
    </xf>
    <xf numFmtId="0" fontId="6" fillId="0" borderId="26" applyNumberFormat="0" applyFont="0"/>
    <xf numFmtId="0" fontId="42" fillId="3" borderId="0" applyNumberFormat="0" applyBorder="0" applyAlignment="0" applyProtection="0"/>
    <xf numFmtId="0" fontId="42" fillId="3" borderId="0" applyNumberFormat="0" applyBorder="0" applyAlignment="0" applyProtection="0"/>
    <xf numFmtId="0" fontId="42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42" fillId="3" borderId="0" applyNumberFormat="0" applyBorder="0" applyAlignment="0" applyProtection="0"/>
    <xf numFmtId="37" fontId="45" fillId="0" borderId="0" applyNumberFormat="0" applyFill="0" applyBorder="0" applyAlignment="0" applyProtection="0"/>
    <xf numFmtId="37" fontId="45" fillId="0" borderId="0" applyNumberFormat="0" applyFill="0" applyBorder="0" applyAlignment="0" applyProtection="0"/>
    <xf numFmtId="37" fontId="45" fillId="0" borderId="0" applyNumberFormat="0" applyFill="0" applyBorder="0" applyAlignment="0" applyProtection="0"/>
    <xf numFmtId="37" fontId="45" fillId="0" borderId="0" applyNumberFormat="0" applyFill="0" applyBorder="0" applyAlignment="0" applyProtection="0"/>
    <xf numFmtId="37" fontId="45" fillId="0" borderId="0" applyNumberFormat="0" applyFill="0" applyBorder="0" applyAlignment="0" applyProtection="0"/>
    <xf numFmtId="37" fontId="45" fillId="0" borderId="0" applyNumberFormat="0" applyFill="0" applyBorder="0" applyAlignment="0" applyProtection="0"/>
    <xf numFmtId="37" fontId="45" fillId="0" borderId="0" applyNumberFormat="0" applyFill="0" applyBorder="0" applyAlignment="0" applyProtection="0"/>
    <xf numFmtId="37" fontId="45" fillId="0" borderId="0" applyNumberFormat="0" applyFill="0" applyBorder="0" applyAlignment="0" applyProtection="0"/>
    <xf numFmtId="37" fontId="45" fillId="0" borderId="0" applyNumberFormat="0" applyFill="0" applyBorder="0" applyAlignment="0" applyProtection="0"/>
    <xf numFmtId="37" fontId="45" fillId="0" borderId="0" applyNumberFormat="0" applyFill="0" applyBorder="0" applyAlignment="0" applyProtection="0"/>
    <xf numFmtId="37" fontId="45" fillId="0" borderId="0" applyNumberFormat="0" applyFill="0" applyBorder="0" applyAlignment="0" applyProtection="0"/>
    <xf numFmtId="37" fontId="45" fillId="0" borderId="0" applyNumberFormat="0" applyFill="0" applyBorder="0" applyAlignment="0" applyProtection="0"/>
    <xf numFmtId="37" fontId="45" fillId="0" borderId="0" applyNumberFormat="0" applyFill="0" applyBorder="0" applyAlignment="0" applyProtection="0"/>
    <xf numFmtId="37" fontId="45" fillId="0" borderId="0" applyNumberFormat="0" applyFill="0" applyBorder="0" applyAlignment="0" applyProtection="0"/>
    <xf numFmtId="37" fontId="45" fillId="0" borderId="0" applyNumberFormat="0" applyFill="0" applyBorder="0" applyAlignment="0" applyProtection="0"/>
    <xf numFmtId="37" fontId="45" fillId="0" borderId="0" applyNumberFormat="0" applyFill="0" applyBorder="0" applyAlignment="0" applyProtection="0"/>
    <xf numFmtId="37" fontId="45" fillId="0" borderId="0" applyNumberFormat="0" applyFill="0" applyBorder="0" applyAlignment="0" applyProtection="0"/>
    <xf numFmtId="37" fontId="45" fillId="0" borderId="0" applyNumberFormat="0" applyFill="0" applyBorder="0" applyAlignment="0" applyProtection="0"/>
    <xf numFmtId="37" fontId="45" fillId="0" borderId="0" applyNumberFormat="0" applyFill="0" applyBorder="0" applyAlignment="0" applyProtection="0"/>
    <xf numFmtId="37" fontId="45" fillId="0" borderId="0" applyNumberFormat="0" applyFill="0" applyBorder="0" applyAlignment="0" applyProtection="0"/>
    <xf numFmtId="0" fontId="48" fillId="0" borderId="0" applyFill="0" applyBorder="0" applyAlignment="0"/>
    <xf numFmtId="0" fontId="42" fillId="6" borderId="4" applyNumberFormat="0" applyAlignment="0" applyProtection="0"/>
    <xf numFmtId="0" fontId="42" fillId="6" borderId="4" applyNumberFormat="0" applyAlignment="0" applyProtection="0"/>
    <xf numFmtId="0" fontId="42" fillId="6" borderId="4" applyNumberFormat="0" applyAlignment="0" applyProtection="0"/>
    <xf numFmtId="0" fontId="6" fillId="6" borderId="4" applyNumberFormat="0" applyAlignment="0" applyProtection="0"/>
    <xf numFmtId="0" fontId="6" fillId="6" borderId="4" applyNumberFormat="0" applyAlignment="0" applyProtection="0"/>
    <xf numFmtId="0" fontId="6" fillId="6" borderId="4" applyNumberFormat="0" applyAlignment="0" applyProtection="0"/>
    <xf numFmtId="0" fontId="6" fillId="6" borderId="4" applyNumberFormat="0" applyAlignment="0" applyProtection="0"/>
    <xf numFmtId="0" fontId="42" fillId="6" borderId="4" applyNumberFormat="0" applyAlignment="0" applyProtection="0"/>
    <xf numFmtId="0" fontId="42" fillId="7" borderId="7" applyNumberFormat="0" applyAlignment="0" applyProtection="0"/>
    <xf numFmtId="0" fontId="42" fillId="7" borderId="7" applyNumberFormat="0" applyAlignment="0" applyProtection="0"/>
    <xf numFmtId="0" fontId="42" fillId="7" borderId="7" applyNumberFormat="0" applyAlignment="0" applyProtection="0"/>
    <xf numFmtId="0" fontId="6" fillId="7" borderId="7" applyNumberFormat="0" applyAlignment="0" applyProtection="0"/>
    <xf numFmtId="0" fontId="6" fillId="7" borderId="7" applyNumberFormat="0" applyAlignment="0" applyProtection="0"/>
    <xf numFmtId="0" fontId="6" fillId="7" borderId="7" applyNumberFormat="0" applyAlignment="0" applyProtection="0"/>
    <xf numFmtId="0" fontId="6" fillId="7" borderId="7" applyNumberFormat="0" applyAlignment="0" applyProtection="0"/>
    <xf numFmtId="0" fontId="42" fillId="7" borderId="7" applyNumberFormat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4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56" fillId="0" borderId="0"/>
    <xf numFmtId="0" fontId="57" fillId="0" borderId="0" applyNumberFormat="0" applyAlignment="0">
      <alignment horizontal="left"/>
    </xf>
    <xf numFmtId="184" fontId="59" fillId="0" borderId="39"/>
    <xf numFmtId="0" fontId="39" fillId="0" borderId="0"/>
    <xf numFmtId="0" fontId="39" fillId="0" borderId="28"/>
    <xf numFmtId="0" fontId="60" fillId="0" borderId="0" applyNumberFormat="0" applyAlignment="0">
      <alignment horizontal="left"/>
    </xf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63" fillId="0" borderId="0" applyFill="0" applyBorder="0" applyProtection="0">
      <alignment horizontal="left"/>
    </xf>
    <xf numFmtId="0" fontId="64" fillId="0" borderId="0"/>
    <xf numFmtId="0" fontId="42" fillId="2" borderId="0" applyNumberFormat="0" applyBorder="0" applyAlignment="0" applyProtection="0"/>
    <xf numFmtId="0" fontId="42" fillId="2" borderId="0" applyNumberFormat="0" applyBorder="0" applyAlignment="0" applyProtection="0"/>
    <xf numFmtId="0" fontId="42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42" fillId="2" borderId="0" applyNumberFormat="0" applyBorder="0" applyAlignment="0" applyProtection="0"/>
    <xf numFmtId="0" fontId="65" fillId="0" borderId="0" applyProtection="0">
      <alignment horizontal="right"/>
    </xf>
    <xf numFmtId="0" fontId="56" fillId="0" borderId="0"/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0" fontId="66" fillId="0" borderId="0"/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166" fontId="66" fillId="0" borderId="13">
      <alignment horizontal="left" vertical="center"/>
    </xf>
    <xf numFmtId="0" fontId="67" fillId="0" borderId="0" applyNumberFormat="0" applyFill="0" applyBorder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68" fillId="0" borderId="32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68" fillId="0" borderId="32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68" fillId="0" borderId="32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68" fillId="0" borderId="32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8" fillId="0" borderId="32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8" fillId="0" borderId="32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8" fillId="0" borderId="32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8" fillId="0" borderId="32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68" fillId="0" borderId="32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69" fillId="0" borderId="33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69" fillId="0" borderId="33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69" fillId="0" borderId="33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69" fillId="0" borderId="33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9" fillId="0" borderId="33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9" fillId="0" borderId="33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9" fillId="0" borderId="33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9" fillId="0" borderId="33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69" fillId="0" borderId="33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3" applyNumberFormat="0" applyFill="0" applyAlignment="0" applyProtection="0"/>
    <xf numFmtId="0" fontId="42" fillId="0" borderId="3" applyNumberFormat="0" applyFill="0" applyAlignment="0" applyProtection="0"/>
    <xf numFmtId="0" fontId="42" fillId="0" borderId="3" applyNumberFormat="0" applyFill="0" applyAlignment="0" applyProtection="0"/>
    <xf numFmtId="0" fontId="6" fillId="0" borderId="3" applyNumberFormat="0" applyFill="0" applyAlignment="0" applyProtection="0"/>
    <xf numFmtId="0" fontId="6" fillId="0" borderId="3" applyNumberFormat="0" applyFill="0" applyAlignment="0" applyProtection="0"/>
    <xf numFmtId="0" fontId="6" fillId="0" borderId="3" applyNumberFormat="0" applyFill="0" applyAlignment="0" applyProtection="0"/>
    <xf numFmtId="0" fontId="6" fillId="0" borderId="3" applyNumberFormat="0" applyFill="0" applyAlignment="0" applyProtection="0"/>
    <xf numFmtId="0" fontId="42" fillId="0" borderId="3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70" fillId="0" borderId="31">
      <alignment horizontal="center"/>
    </xf>
    <xf numFmtId="0" fontId="70" fillId="0" borderId="0">
      <alignment horizontal="center"/>
    </xf>
    <xf numFmtId="0" fontId="71" fillId="0" borderId="0" applyNumberFormat="0" applyFill="0" applyBorder="0" applyAlignment="0" applyProtection="0">
      <alignment vertical="top"/>
      <protection locked="0"/>
    </xf>
    <xf numFmtId="10" fontId="17" fillId="39" borderId="39" applyNumberFormat="0" applyBorder="0" applyAlignment="0" applyProtection="0"/>
    <xf numFmtId="0" fontId="42" fillId="5" borderId="4" applyNumberFormat="0" applyAlignment="0" applyProtection="0"/>
    <xf numFmtId="0" fontId="42" fillId="5" borderId="4" applyNumberFormat="0" applyAlignment="0" applyProtection="0"/>
    <xf numFmtId="0" fontId="42" fillId="5" borderId="4" applyNumberFormat="0" applyAlignment="0" applyProtection="0"/>
    <xf numFmtId="0" fontId="6" fillId="5" borderId="4" applyNumberFormat="0" applyAlignment="0" applyProtection="0"/>
    <xf numFmtId="0" fontId="6" fillId="5" borderId="4" applyNumberFormat="0" applyAlignment="0" applyProtection="0"/>
    <xf numFmtId="0" fontId="6" fillId="5" borderId="4" applyNumberFormat="0" applyAlignment="0" applyProtection="0"/>
    <xf numFmtId="0" fontId="6" fillId="5" borderId="4" applyNumberFormat="0" applyAlignment="0" applyProtection="0"/>
    <xf numFmtId="0" fontId="42" fillId="5" borderId="4" applyNumberFormat="0" applyAlignment="0" applyProtection="0"/>
    <xf numFmtId="0" fontId="74" fillId="41" borderId="28"/>
    <xf numFmtId="0" fontId="75" fillId="0" borderId="0" applyNumberFormat="0" applyFill="0" applyBorder="0" applyAlignment="0" applyProtection="0">
      <alignment vertical="top"/>
      <protection locked="0"/>
    </xf>
    <xf numFmtId="0" fontId="42" fillId="0" borderId="6" applyNumberFormat="0" applyFill="0" applyAlignment="0" applyProtection="0"/>
    <xf numFmtId="0" fontId="42" fillId="0" borderId="6" applyNumberFormat="0" applyFill="0" applyAlignment="0" applyProtection="0"/>
    <xf numFmtId="0" fontId="42" fillId="0" borderId="6" applyNumberFormat="0" applyFill="0" applyAlignment="0" applyProtection="0"/>
    <xf numFmtId="0" fontId="6" fillId="0" borderId="6" applyNumberFormat="0" applyFill="0" applyAlignment="0" applyProtection="0"/>
    <xf numFmtId="0" fontId="6" fillId="0" borderId="6" applyNumberFormat="0" applyFill="0" applyAlignment="0" applyProtection="0"/>
    <xf numFmtId="0" fontId="6" fillId="0" borderId="6" applyNumberFormat="0" applyFill="0" applyAlignment="0" applyProtection="0"/>
    <xf numFmtId="0" fontId="6" fillId="0" borderId="6" applyNumberFormat="0" applyFill="0" applyAlignment="0" applyProtection="0"/>
    <xf numFmtId="0" fontId="42" fillId="0" borderId="6" applyNumberFormat="0" applyFill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42" fillId="4" borderId="0" applyNumberFormat="0" applyBorder="0" applyAlignment="0" applyProtection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44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5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1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>
      <alignment vertical="top"/>
    </xf>
    <xf numFmtId="0" fontId="48" fillId="0" borderId="0">
      <alignment vertical="top"/>
    </xf>
    <xf numFmtId="0" fontId="48" fillId="0" borderId="0">
      <alignment vertical="top"/>
    </xf>
    <xf numFmtId="0" fontId="48" fillId="0" borderId="0">
      <alignment vertical="top"/>
    </xf>
    <xf numFmtId="0" fontId="48" fillId="0" borderId="0">
      <alignment vertical="top"/>
    </xf>
    <xf numFmtId="0" fontId="48" fillId="0" borderId="0">
      <alignment vertical="top"/>
    </xf>
    <xf numFmtId="0" fontId="48" fillId="0" borderId="0">
      <alignment vertical="top"/>
    </xf>
    <xf numFmtId="0" fontId="48" fillId="0" borderId="0">
      <alignment vertical="top"/>
    </xf>
    <xf numFmtId="0" fontId="48" fillId="0" borderId="0">
      <alignment vertical="top"/>
    </xf>
    <xf numFmtId="0" fontId="48" fillId="0" borderId="0">
      <alignment vertical="top"/>
    </xf>
    <xf numFmtId="0" fontId="48" fillId="0" borderId="0">
      <alignment vertical="top"/>
    </xf>
    <xf numFmtId="0" fontId="48" fillId="0" borderId="0">
      <alignment vertical="top"/>
    </xf>
    <xf numFmtId="0" fontId="48" fillId="0" borderId="0">
      <alignment vertical="top"/>
    </xf>
    <xf numFmtId="0" fontId="51" fillId="0" borderId="0"/>
    <xf numFmtId="0" fontId="48" fillId="0" borderId="0">
      <alignment vertical="top"/>
    </xf>
    <xf numFmtId="0" fontId="48" fillId="0" borderId="0">
      <alignment vertical="top"/>
    </xf>
    <xf numFmtId="0" fontId="48" fillId="0" borderId="0">
      <alignment vertical="top"/>
    </xf>
    <xf numFmtId="0" fontId="48" fillId="0" borderId="0">
      <alignment vertical="top"/>
    </xf>
    <xf numFmtId="0" fontId="48" fillId="0" borderId="0">
      <alignment vertical="top"/>
    </xf>
    <xf numFmtId="0" fontId="48" fillId="0" borderId="0">
      <alignment vertical="top"/>
    </xf>
    <xf numFmtId="0" fontId="48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3" fillId="0" borderId="0"/>
    <xf numFmtId="0" fontId="6" fillId="0" borderId="0"/>
    <xf numFmtId="0" fontId="4" fillId="0" borderId="0"/>
    <xf numFmtId="0" fontId="4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6" fillId="0" borderId="0"/>
    <xf numFmtId="0" fontId="51" fillId="0" borderId="0"/>
    <xf numFmtId="0" fontId="6" fillId="0" borderId="0"/>
    <xf numFmtId="0" fontId="6" fillId="0" borderId="0"/>
    <xf numFmtId="0" fontId="51" fillId="0" borderId="0"/>
    <xf numFmtId="0" fontId="6" fillId="0" borderId="0"/>
    <xf numFmtId="0" fontId="51" fillId="0" borderId="0"/>
    <xf numFmtId="0" fontId="6" fillId="0" borderId="0"/>
    <xf numFmtId="0" fontId="51" fillId="0" borderId="0"/>
    <xf numFmtId="0" fontId="6" fillId="0" borderId="0"/>
    <xf numFmtId="0" fontId="51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6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1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4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1" fillId="0" borderId="0"/>
    <xf numFmtId="0" fontId="48" fillId="0" borderId="0"/>
    <xf numFmtId="0" fontId="48" fillId="0" borderId="0"/>
    <xf numFmtId="0" fontId="4" fillId="0" borderId="0"/>
    <xf numFmtId="0" fontId="48" fillId="0" borderId="0"/>
    <xf numFmtId="0" fontId="48" fillId="0" borderId="0"/>
    <xf numFmtId="0" fontId="6" fillId="0" borderId="0"/>
    <xf numFmtId="0" fontId="4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54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5" fillId="0" borderId="0"/>
    <xf numFmtId="0" fontId="55" fillId="0" borderId="0"/>
    <xf numFmtId="0" fontId="6" fillId="0" borderId="0"/>
    <xf numFmtId="0" fontId="48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6" fillId="43" borderId="34" applyNumberForma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42" fillId="8" borderId="8" applyNumberFormat="0" applyFont="0" applyAlignment="0" applyProtection="0"/>
    <xf numFmtId="0" fontId="82" fillId="0" borderId="0"/>
    <xf numFmtId="0" fontId="6" fillId="6" borderId="5" applyNumberFormat="0" applyAlignment="0" applyProtection="0"/>
    <xf numFmtId="0" fontId="42" fillId="6" borderId="5" applyNumberFormat="0" applyAlignment="0" applyProtection="0"/>
    <xf numFmtId="0" fontId="84" fillId="44" borderId="0">
      <alignment horizontal="right"/>
    </xf>
    <xf numFmtId="0" fontId="85" fillId="44" borderId="35"/>
    <xf numFmtId="0" fontId="85" fillId="0" borderId="0" applyBorder="0">
      <alignment horizontal="centerContinuous"/>
    </xf>
    <xf numFmtId="0" fontId="86" fillId="0" borderId="0" applyBorder="0">
      <alignment horizontal="centerContinuous"/>
    </xf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4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0" applyNumberFormat="0" applyFont="0" applyFill="0" applyBorder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0" applyNumberFormat="0" applyFont="0" applyFill="0" applyBorder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6" fillId="0" borderId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4" fontId="59" fillId="0" borderId="39"/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0" fontId="17" fillId="39" borderId="39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0" fontId="3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0" fontId="92" fillId="0" borderId="37"/>
    <xf numFmtId="0" fontId="91" fillId="1" borderId="38" applyNumberFormat="0" applyFont="0" applyAlignment="0">
      <alignment horizontal="center"/>
    </xf>
    <xf numFmtId="0" fontId="95" fillId="0" borderId="39">
      <alignment horizontal="center"/>
    </xf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84" fontId="59" fillId="0" borderId="39"/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9" fontId="6" fillId="0" borderId="0" applyFont="0" applyFill="0" applyBorder="0" applyAlignment="0" applyProtection="0"/>
    <xf numFmtId="0" fontId="6" fillId="0" borderId="0"/>
    <xf numFmtId="10" fontId="17" fillId="39" borderId="39" applyNumberFormat="0" applyBorder="0" applyAlignment="0" applyProtection="0"/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0" fontId="6" fillId="0" borderId="0"/>
    <xf numFmtId="43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1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7" borderId="0" applyNumberFormat="0" applyBorder="0" applyAlignment="0" applyProtection="0"/>
    <xf numFmtId="0" fontId="6" fillId="17" borderId="0" applyNumberFormat="0" applyBorder="0" applyAlignment="0" applyProtection="0"/>
    <xf numFmtId="0" fontId="6" fillId="17" borderId="0" applyNumberFormat="0" applyBorder="0" applyAlignment="0" applyProtection="0"/>
    <xf numFmtId="0" fontId="6" fillId="17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0" borderId="26" applyNumberFormat="0" applyFont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170" fontId="6" fillId="0" borderId="0" applyFill="0" applyBorder="0" applyAlignment="0"/>
    <xf numFmtId="170" fontId="6" fillId="0" borderId="0" applyFill="0" applyBorder="0" applyAlignment="0"/>
    <xf numFmtId="170" fontId="6" fillId="0" borderId="0" applyFill="0" applyBorder="0" applyAlignment="0"/>
    <xf numFmtId="170" fontId="6" fillId="0" borderId="0" applyFill="0" applyBorder="0" applyAlignment="0"/>
    <xf numFmtId="170" fontId="6" fillId="0" borderId="0" applyFill="0" applyBorder="0" applyAlignment="0"/>
    <xf numFmtId="170" fontId="6" fillId="0" borderId="0" applyFill="0" applyBorder="0" applyAlignment="0"/>
    <xf numFmtId="170" fontId="6" fillId="0" borderId="0" applyFill="0" applyBorder="0" applyAlignment="0"/>
    <xf numFmtId="170" fontId="6" fillId="0" borderId="0" applyFill="0" applyBorder="0" applyAlignment="0"/>
    <xf numFmtId="170" fontId="6" fillId="0" borderId="0" applyFill="0" applyBorder="0" applyAlignment="0"/>
    <xf numFmtId="170" fontId="6" fillId="0" borderId="0" applyFill="0" applyBorder="0" applyAlignment="0"/>
    <xf numFmtId="170" fontId="6" fillId="0" borderId="0" applyFill="0" applyBorder="0" applyAlignment="0"/>
    <xf numFmtId="170" fontId="6" fillId="0" borderId="0" applyFill="0" applyBorder="0" applyAlignment="0"/>
    <xf numFmtId="170" fontId="6" fillId="0" borderId="0" applyFill="0" applyBorder="0" applyAlignment="0"/>
    <xf numFmtId="170" fontId="6" fillId="0" borderId="0" applyFill="0" applyBorder="0" applyAlignment="0"/>
    <xf numFmtId="170" fontId="6" fillId="0" borderId="0" applyFill="0" applyBorder="0" applyAlignment="0"/>
    <xf numFmtId="170" fontId="6" fillId="0" borderId="0" applyFill="0" applyBorder="0" applyAlignment="0"/>
    <xf numFmtId="170" fontId="6" fillId="0" borderId="0" applyFill="0" applyBorder="0" applyAlignment="0"/>
    <xf numFmtId="170" fontId="6" fillId="0" borderId="0" applyFill="0" applyBorder="0" applyAlignment="0"/>
    <xf numFmtId="170" fontId="6" fillId="0" borderId="0" applyFill="0" applyBorder="0" applyAlignment="0"/>
    <xf numFmtId="170" fontId="6" fillId="0" borderId="0" applyFill="0" applyBorder="0" applyAlignment="0"/>
    <xf numFmtId="0" fontId="6" fillId="6" borderId="4" applyNumberFormat="0" applyAlignment="0" applyProtection="0"/>
    <xf numFmtId="0" fontId="6" fillId="6" borderId="4" applyNumberFormat="0" applyAlignment="0" applyProtection="0"/>
    <xf numFmtId="0" fontId="6" fillId="6" borderId="4" applyNumberFormat="0" applyAlignment="0" applyProtection="0"/>
    <xf numFmtId="0" fontId="6" fillId="6" borderId="4" applyNumberFormat="0" applyAlignment="0" applyProtection="0"/>
    <xf numFmtId="0" fontId="6" fillId="7" borderId="7" applyNumberFormat="0" applyAlignment="0" applyProtection="0"/>
    <xf numFmtId="0" fontId="6" fillId="7" borderId="7" applyNumberFormat="0" applyAlignment="0" applyProtection="0"/>
    <xf numFmtId="0" fontId="6" fillId="7" borderId="7" applyNumberFormat="0" applyAlignment="0" applyProtection="0"/>
    <xf numFmtId="0" fontId="6" fillId="7" borderId="7" applyNumberFormat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168" fontId="6" fillId="0" borderId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168" fontId="6" fillId="0" borderId="0" applyFill="0" applyBorder="0" applyAlignment="0" applyProtection="0"/>
    <xf numFmtId="43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180" fontId="6" fillId="0" borderId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181" fontId="6" fillId="0" borderId="0" applyFont="0" applyFill="0" applyBorder="0" applyAlignment="0" applyProtection="0">
      <alignment horizontal="right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2" fontId="6" fillId="0" borderId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2" fontId="6" fillId="0" borderId="0" applyFill="0" applyBorder="0" applyAlignment="0" applyProtection="0"/>
    <xf numFmtId="182" fontId="6" fillId="0" borderId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2" fontId="6" fillId="0" borderId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2" fontId="6" fillId="0" borderId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2" fontId="6" fillId="0" borderId="0" applyFill="0" applyBorder="0" applyAlignment="0" applyProtection="0"/>
    <xf numFmtId="182" fontId="6" fillId="0" borderId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2" fontId="6" fillId="0" borderId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2" fontId="6" fillId="0" borderId="0" applyFill="0" applyBorder="0" applyAlignment="0" applyProtection="0"/>
    <xf numFmtId="182" fontId="6" fillId="0" borderId="0" applyFill="0" applyBorder="0" applyAlignment="0" applyProtection="0"/>
    <xf numFmtId="182" fontId="6" fillId="0" borderId="0" applyFill="0" applyBorder="0" applyAlignment="0" applyProtection="0"/>
    <xf numFmtId="182" fontId="6" fillId="0" borderId="0" applyFill="0" applyBorder="0" applyAlignment="0" applyProtection="0"/>
    <xf numFmtId="182" fontId="6" fillId="0" borderId="0" applyFill="0" applyBorder="0" applyAlignment="0" applyProtection="0"/>
    <xf numFmtId="182" fontId="6" fillId="0" borderId="0" applyFill="0" applyBorder="0" applyAlignment="0" applyProtection="0"/>
    <xf numFmtId="182" fontId="6" fillId="0" borderId="0" applyFill="0" applyBorder="0" applyAlignment="0" applyProtection="0"/>
    <xf numFmtId="182" fontId="6" fillId="0" borderId="0" applyFill="0" applyBorder="0" applyAlignment="0" applyProtection="0"/>
    <xf numFmtId="182" fontId="6" fillId="0" borderId="0" applyFill="0" applyBorder="0" applyAlignment="0" applyProtection="0"/>
    <xf numFmtId="182" fontId="6" fillId="0" borderId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2" fontId="6" fillId="0" borderId="0" applyFill="0" applyBorder="0" applyAlignment="0" applyProtection="0"/>
    <xf numFmtId="182" fontId="6" fillId="0" borderId="0" applyFill="0" applyBorder="0" applyAlignment="0" applyProtection="0"/>
    <xf numFmtId="182" fontId="6" fillId="0" borderId="0" applyFill="0" applyBorder="0" applyAlignment="0" applyProtection="0"/>
    <xf numFmtId="182" fontId="6" fillId="0" borderId="0" applyFill="0" applyBorder="0" applyAlignment="0" applyProtection="0"/>
    <xf numFmtId="182" fontId="6" fillId="0" borderId="0" applyFill="0" applyBorder="0" applyAlignment="0" applyProtection="0"/>
    <xf numFmtId="182" fontId="6" fillId="0" borderId="0" applyFill="0" applyBorder="0" applyAlignment="0" applyProtection="0"/>
    <xf numFmtId="182" fontId="6" fillId="0" borderId="0" applyFill="0" applyBorder="0" applyAlignment="0" applyProtection="0"/>
    <xf numFmtId="182" fontId="6" fillId="0" borderId="0" applyFill="0" applyBorder="0" applyAlignment="0" applyProtection="0"/>
    <xf numFmtId="182" fontId="6" fillId="0" borderId="0" applyFill="0" applyBorder="0" applyAlignment="0" applyProtection="0"/>
    <xf numFmtId="182" fontId="6" fillId="0" borderId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2" fontId="6" fillId="0" borderId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3" fontId="6" fillId="0" borderId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6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187" fontId="6" fillId="0" borderId="0" applyFont="0" applyFill="0" applyBorder="0" applyAlignment="0" applyProtection="0">
      <alignment horizontal="right"/>
    </xf>
    <xf numFmtId="44" fontId="6" fillId="0" borderId="0" applyFont="0" applyFill="0" applyBorder="0" applyAlignment="0" applyProtection="0"/>
    <xf numFmtId="189" fontId="6" fillId="0" borderId="0" applyFill="0" applyBorder="0" applyAlignment="0" applyProtection="0"/>
    <xf numFmtId="190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197" fontId="6" fillId="0" borderId="29" applyNumberFormat="0" applyFont="0" applyFill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2" fontId="6" fillId="0" borderId="0" applyFill="0" applyBorder="0" applyAlignment="0" applyProtection="0"/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192" fontId="6" fillId="0" borderId="0">
      <protection locked="0"/>
    </xf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199" fontId="6" fillId="0" borderId="0" applyFont="0" applyFill="0" applyBorder="0" applyAlignment="0" applyProtection="0">
      <alignment horizontal="right"/>
    </xf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3" applyNumberFormat="0" applyFill="0" applyAlignment="0" applyProtection="0"/>
    <xf numFmtId="0" fontId="6" fillId="0" borderId="3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192" fontId="6" fillId="0" borderId="0">
      <protection locked="0"/>
    </xf>
    <xf numFmtId="192" fontId="6" fillId="0" borderId="0">
      <protection locked="0"/>
    </xf>
    <xf numFmtId="0" fontId="6" fillId="5" borderId="4" applyNumberFormat="0" applyAlignment="0" applyProtection="0"/>
    <xf numFmtId="0" fontId="6" fillId="5" borderId="4" applyNumberFormat="0" applyAlignment="0" applyProtection="0"/>
    <xf numFmtId="0" fontId="6" fillId="5" borderId="4" applyNumberFormat="0" applyAlignment="0" applyProtection="0"/>
    <xf numFmtId="0" fontId="6" fillId="5" borderId="4" applyNumberFormat="0" applyAlignment="0" applyProtection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201" fontId="6" fillId="0" borderId="0"/>
    <xf numFmtId="0" fontId="6" fillId="0" borderId="6" applyNumberFormat="0" applyFill="0" applyAlignment="0" applyProtection="0"/>
    <xf numFmtId="0" fontId="6" fillId="0" borderId="6" applyNumberFormat="0" applyFill="0" applyAlignment="0" applyProtection="0"/>
    <xf numFmtId="0" fontId="6" fillId="0" borderId="6" applyNumberFormat="0" applyFill="0" applyAlignment="0" applyProtection="0"/>
    <xf numFmtId="0" fontId="6" fillId="0" borderId="6" applyNumberFormat="0" applyFill="0" applyAlignment="0" applyProtection="0"/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207" fontId="6" fillId="0" borderId="0" applyFont="0" applyFill="0" applyBorder="0" applyAlignment="0" applyProtection="0">
      <alignment horizontal="right"/>
    </xf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202" fontId="6" fillId="0" borderId="0"/>
    <xf numFmtId="202" fontId="6" fillId="0" borderId="0"/>
    <xf numFmtId="202" fontId="6" fillId="0" borderId="0"/>
    <xf numFmtId="202" fontId="6" fillId="0" borderId="0"/>
    <xf numFmtId="202" fontId="6" fillId="0" borderId="0"/>
    <xf numFmtId="202" fontId="6" fillId="0" borderId="0"/>
    <xf numFmtId="202" fontId="6" fillId="0" borderId="0"/>
    <xf numFmtId="202" fontId="6" fillId="0" borderId="0"/>
    <xf numFmtId="202" fontId="6" fillId="0" borderId="0"/>
    <xf numFmtId="202" fontId="6" fillId="0" borderId="0"/>
    <xf numFmtId="202" fontId="6" fillId="0" borderId="0"/>
    <xf numFmtId="202" fontId="6" fillId="0" borderId="0"/>
    <xf numFmtId="202" fontId="6" fillId="0" borderId="0"/>
    <xf numFmtId="202" fontId="6" fillId="0" borderId="0"/>
    <xf numFmtId="202" fontId="6" fillId="0" borderId="0"/>
    <xf numFmtId="202" fontId="6" fillId="0" borderId="0"/>
    <xf numFmtId="202" fontId="6" fillId="0" borderId="0"/>
    <xf numFmtId="202" fontId="6" fillId="0" borderId="0"/>
    <xf numFmtId="202" fontId="6" fillId="0" borderId="0"/>
    <xf numFmtId="202" fontId="6" fillId="0" borderId="0"/>
    <xf numFmtId="0" fontId="6" fillId="0" borderId="0"/>
    <xf numFmtId="0" fontId="6" fillId="0" borderId="0"/>
    <xf numFmtId="0" fontId="6" fillId="0" borderId="0"/>
    <xf numFmtId="166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209" fontId="6" fillId="0" borderId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38" fontId="6" fillId="0" borderId="0" applyBorder="0" applyAlignment="0"/>
    <xf numFmtId="0" fontId="6" fillId="6" borderId="5" applyNumberFormat="0" applyAlignment="0" applyProtection="0"/>
    <xf numFmtId="210" fontId="6" fillId="0" borderId="0" applyFill="0" applyBorder="0" applyAlignment="0" applyProtection="0"/>
    <xf numFmtId="210" fontId="6" fillId="0" borderId="0" applyFont="0" applyFill="0" applyBorder="0" applyAlignment="0" applyProtection="0"/>
    <xf numFmtId="210" fontId="6" fillId="0" borderId="0" applyFont="0" applyFill="0" applyBorder="0" applyAlignment="0" applyProtection="0"/>
    <xf numFmtId="210" fontId="6" fillId="0" borderId="0" applyFont="0" applyFill="0" applyBorder="0" applyAlignment="0" applyProtection="0"/>
    <xf numFmtId="210" fontId="6" fillId="0" borderId="0" applyFont="0" applyFill="0" applyBorder="0" applyAlignment="0" applyProtection="0"/>
    <xf numFmtId="210" fontId="6" fillId="0" borderId="0" applyFont="0" applyFill="0" applyBorder="0" applyAlignment="0" applyProtection="0"/>
    <xf numFmtId="210" fontId="6" fillId="0" borderId="0" applyFont="0" applyFill="0" applyBorder="0" applyAlignment="0" applyProtection="0"/>
    <xf numFmtId="210" fontId="6" fillId="0" borderId="0" applyFont="0" applyFill="0" applyBorder="0" applyAlignment="0" applyProtection="0"/>
    <xf numFmtId="210" fontId="6" fillId="0" borderId="0" applyFont="0" applyFill="0" applyBorder="0" applyAlignment="0" applyProtection="0"/>
    <xf numFmtId="210" fontId="6" fillId="0" borderId="0" applyFont="0" applyFill="0" applyBorder="0" applyAlignment="0" applyProtection="0"/>
    <xf numFmtId="210" fontId="6" fillId="0" borderId="0" applyFont="0" applyFill="0" applyBorder="0" applyAlignment="0" applyProtection="0"/>
    <xf numFmtId="210" fontId="6" fillId="0" borderId="0" applyFont="0" applyFill="0" applyBorder="0" applyAlignment="0" applyProtection="0"/>
    <xf numFmtId="210" fontId="6" fillId="0" borderId="0" applyFont="0" applyFill="0" applyBorder="0" applyAlignment="0" applyProtection="0"/>
    <xf numFmtId="210" fontId="6" fillId="0" borderId="0" applyFont="0" applyFill="0" applyBorder="0" applyAlignment="0" applyProtection="0"/>
    <xf numFmtId="210" fontId="6" fillId="0" borderId="0" applyFont="0" applyFill="0" applyBorder="0" applyAlignment="0" applyProtection="0"/>
    <xf numFmtId="210" fontId="6" fillId="0" borderId="0" applyFont="0" applyFill="0" applyBorder="0" applyAlignment="0" applyProtection="0"/>
    <xf numFmtId="210" fontId="6" fillId="0" borderId="0" applyFont="0" applyFill="0" applyBorder="0" applyAlignment="0" applyProtection="0"/>
    <xf numFmtId="210" fontId="6" fillId="0" borderId="0" applyFont="0" applyFill="0" applyBorder="0" applyAlignment="0" applyProtection="0"/>
    <xf numFmtId="210" fontId="6" fillId="0" borderId="0" applyFont="0" applyFill="0" applyBorder="0" applyAlignment="0" applyProtection="0"/>
    <xf numFmtId="210" fontId="6" fillId="0" borderId="0" applyFont="0" applyFill="0" applyBorder="0" applyAlignment="0" applyProtection="0"/>
    <xf numFmtId="210" fontId="6" fillId="0" borderId="0" applyFont="0" applyFill="0" applyBorder="0" applyAlignment="0" applyProtection="0"/>
    <xf numFmtId="211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42" fontId="6" fillId="0" borderId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197" fontId="6" fillId="0" borderId="12" applyBorder="0" applyProtection="0">
      <alignment horizontal="right" vertical="center"/>
    </xf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41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213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213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41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41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9" applyNumberFormat="0" applyFont="0" applyFill="0" applyAlignment="0" applyProtection="0"/>
    <xf numFmtId="0" fontId="6" fillId="0" borderId="9" applyNumberForma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ill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0" fontId="6" fillId="0" borderId="0" applyNumberForma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7" borderId="0" applyNumberFormat="0" applyBorder="0" applyAlignment="0" applyProtection="0"/>
    <xf numFmtId="0" fontId="6" fillId="17" borderId="0" applyNumberFormat="0" applyBorder="0" applyAlignment="0" applyProtection="0"/>
    <xf numFmtId="0" fontId="6" fillId="17" borderId="0" applyNumberFormat="0" applyBorder="0" applyAlignment="0" applyProtection="0"/>
    <xf numFmtId="0" fontId="6" fillId="17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0" borderId="26" applyNumberFormat="0" applyFont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6" borderId="4" applyNumberFormat="0" applyAlignment="0" applyProtection="0"/>
    <xf numFmtId="0" fontId="6" fillId="6" borderId="4" applyNumberFormat="0" applyAlignment="0" applyProtection="0"/>
    <xf numFmtId="0" fontId="6" fillId="6" borderId="4" applyNumberFormat="0" applyAlignment="0" applyProtection="0"/>
    <xf numFmtId="0" fontId="6" fillId="6" borderId="4" applyNumberFormat="0" applyAlignment="0" applyProtection="0"/>
    <xf numFmtId="0" fontId="6" fillId="7" borderId="7" applyNumberFormat="0" applyAlignment="0" applyProtection="0"/>
    <xf numFmtId="0" fontId="6" fillId="7" borderId="7" applyNumberFormat="0" applyAlignment="0" applyProtection="0"/>
    <xf numFmtId="0" fontId="6" fillId="7" borderId="7" applyNumberFormat="0" applyAlignment="0" applyProtection="0"/>
    <xf numFmtId="0" fontId="6" fillId="7" borderId="7" applyNumberFormat="0" applyAlignment="0" applyProtection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1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3" applyNumberFormat="0" applyFill="0" applyAlignment="0" applyProtection="0"/>
    <xf numFmtId="0" fontId="6" fillId="0" borderId="3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5" borderId="4" applyNumberFormat="0" applyAlignment="0" applyProtection="0"/>
    <xf numFmtId="0" fontId="6" fillId="5" borderId="4" applyNumberFormat="0" applyAlignment="0" applyProtection="0"/>
    <xf numFmtId="0" fontId="6" fillId="5" borderId="4" applyNumberFormat="0" applyAlignment="0" applyProtection="0"/>
    <xf numFmtId="0" fontId="6" fillId="5" borderId="4" applyNumberFormat="0" applyAlignment="0" applyProtection="0"/>
    <xf numFmtId="0" fontId="6" fillId="0" borderId="6" applyNumberFormat="0" applyFill="0" applyAlignment="0" applyProtection="0"/>
    <xf numFmtId="0" fontId="6" fillId="0" borderId="6" applyNumberFormat="0" applyFill="0" applyAlignment="0" applyProtection="0"/>
    <xf numFmtId="0" fontId="6" fillId="0" borderId="6" applyNumberFormat="0" applyFill="0" applyAlignment="0" applyProtection="0"/>
    <xf numFmtId="0" fontId="6" fillId="0" borderId="6" applyNumberFormat="0" applyFill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6" borderId="5" applyNumberFormat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0" applyNumberFormat="0" applyFont="0" applyFill="0" applyBorder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0" applyNumberFormat="0" applyFont="0" applyFill="0" applyBorder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9" applyNumberFormat="0" applyFont="0" applyFill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48" fillId="0" borderId="0"/>
    <xf numFmtId="43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0" fontId="48" fillId="0" borderId="0"/>
    <xf numFmtId="43" fontId="16" fillId="0" borderId="0" applyFont="0" applyFill="0" applyBorder="0" applyAlignment="0" applyProtection="0"/>
    <xf numFmtId="0" fontId="48" fillId="0" borderId="0"/>
    <xf numFmtId="43" fontId="1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89" fillId="0" borderId="0"/>
    <xf numFmtId="43" fontId="89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6" fillId="0" borderId="0"/>
    <xf numFmtId="41" fontId="6" fillId="0" borderId="0" applyFont="0" applyFill="0" applyBorder="0" applyAlignment="0" applyProtection="0"/>
    <xf numFmtId="0" fontId="6" fillId="0" borderId="0"/>
    <xf numFmtId="0" fontId="39" fillId="0" borderId="28"/>
    <xf numFmtId="0" fontId="6" fillId="0" borderId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184" fontId="59" fillId="0" borderId="39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43" fontId="6" fillId="0" borderId="0" applyFont="0" applyFill="0" applyBorder="0" applyAlignment="0" applyProtection="0"/>
    <xf numFmtId="0" fontId="6" fillId="43" borderId="34" applyNumberFormat="0" applyAlignment="0" applyProtection="0"/>
    <xf numFmtId="0" fontId="6" fillId="0" borderId="0"/>
    <xf numFmtId="0" fontId="6" fillId="0" borderId="0"/>
    <xf numFmtId="0" fontId="6" fillId="0" borderId="0"/>
    <xf numFmtId="10" fontId="17" fillId="39" borderId="39" applyNumberFormat="0" applyBorder="0" applyAlignment="0" applyProtection="0"/>
    <xf numFmtId="43" fontId="6" fillId="0" borderId="0" applyFont="0" applyFill="0" applyBorder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39" fillId="0" borderId="28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39" fillId="0" borderId="28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43" fontId="6" fillId="0" borderId="0" applyFont="0" applyFill="0" applyBorder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4" fillId="41" borderId="28"/>
    <xf numFmtId="43" fontId="6" fillId="0" borderId="0" applyFont="0" applyFill="0" applyBorder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4" fillId="41" borderId="28"/>
    <xf numFmtId="0" fontId="6" fillId="43" borderId="34" applyNumberFormat="0" applyAlignment="0" applyProtection="0"/>
    <xf numFmtId="0" fontId="6" fillId="43" borderId="34" applyNumberFormat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74" fillId="0" borderId="28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0" fontId="6" fillId="43" borderId="34" applyNumberFormat="0" applyAlignment="0" applyProtection="0"/>
    <xf numFmtId="41" fontId="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3" fillId="0" borderId="0"/>
    <xf numFmtId="0" fontId="1" fillId="0" borderId="0"/>
    <xf numFmtId="41" fontId="1" fillId="0" borderId="0" applyFont="0" applyFill="0" applyBorder="0" applyAlignment="0" applyProtection="0"/>
    <xf numFmtId="0" fontId="6" fillId="0" borderId="0"/>
    <xf numFmtId="41" fontId="6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92" fillId="0" borderId="37"/>
    <xf numFmtId="0" fontId="91" fillId="1" borderId="38" applyNumberFormat="0" applyFont="0" applyAlignment="0">
      <alignment horizontal="center"/>
    </xf>
    <xf numFmtId="0" fontId="95" fillId="0" borderId="39">
      <alignment horizontal="center"/>
    </xf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84" fontId="59" fillId="0" borderId="39"/>
    <xf numFmtId="10" fontId="17" fillId="39" borderId="39" applyNumberFormat="0" applyBorder="0" applyAlignment="0" applyProtection="0"/>
    <xf numFmtId="43" fontId="6" fillId="0" borderId="0" applyFont="0" applyFill="0" applyBorder="0" applyAlignment="0" applyProtection="0"/>
    <xf numFmtId="184" fontId="59" fillId="0" borderId="39"/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0" fontId="17" fillId="39" borderId="39" applyNumberFormat="0" applyBorder="0" applyAlignment="0" applyProtection="0"/>
    <xf numFmtId="43" fontId="6" fillId="0" borderId="0" applyFont="0" applyFill="0" applyBorder="0" applyAlignment="0" applyProtection="0"/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9" fontId="6" fillId="0" borderId="0" applyFont="0" applyFill="0" applyBorder="0" applyAlignment="0" applyProtection="0"/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0" fontId="92" fillId="0" borderId="37"/>
    <xf numFmtId="0" fontId="91" fillId="1" borderId="38" applyNumberFormat="0" applyFont="0" applyAlignment="0">
      <alignment horizontal="center"/>
    </xf>
    <xf numFmtId="0" fontId="95" fillId="0" borderId="39">
      <alignment horizontal="center"/>
    </xf>
    <xf numFmtId="184" fontId="59" fillId="0" borderId="39"/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0" fontId="17" fillId="39" borderId="39" applyNumberFormat="0" applyBorder="0" applyAlignment="0" applyProtection="0"/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84" fontId="59" fillId="0" borderId="39"/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0" fontId="17" fillId="39" borderId="39" applyNumberFormat="0" applyBorder="0" applyAlignment="0" applyProtection="0"/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166" fontId="66" fillId="0" borderId="38">
      <alignment horizontal="left" vertical="center"/>
    </xf>
    <xf numFmtId="0" fontId="42" fillId="0" borderId="0"/>
  </cellStyleXfs>
  <cellXfs count="1199">
    <xf numFmtId="0" fontId="0" fillId="0" borderId="0" xfId="0"/>
    <xf numFmtId="0" fontId="7" fillId="0" borderId="0" xfId="2" applyFont="1" applyFill="1" applyAlignment="1">
      <alignment horizontal="center"/>
    </xf>
    <xf numFmtId="0" fontId="8" fillId="0" borderId="0" xfId="2" applyFont="1" applyFill="1" applyAlignment="1">
      <alignment horizontal="center"/>
    </xf>
    <xf numFmtId="0" fontId="8" fillId="0" borderId="0" xfId="2" applyFont="1" applyFill="1" applyAlignment="1"/>
    <xf numFmtId="0" fontId="6" fillId="0" borderId="0" xfId="2" applyFont="1" applyFill="1"/>
    <xf numFmtId="0" fontId="7" fillId="0" borderId="0" xfId="2" applyFont="1" applyFill="1"/>
    <xf numFmtId="0" fontId="9" fillId="0" borderId="10" xfId="2" applyFont="1" applyFill="1" applyBorder="1" applyAlignment="1">
      <alignment horizontal="center"/>
    </xf>
    <xf numFmtId="0" fontId="9" fillId="0" borderId="10" xfId="2" applyFont="1" applyFill="1" applyBorder="1" applyAlignment="1"/>
    <xf numFmtId="0" fontId="7" fillId="33" borderId="0" xfId="2" applyFont="1" applyFill="1"/>
    <xf numFmtId="0" fontId="7" fillId="0" borderId="11" xfId="2" applyFont="1" applyFill="1" applyBorder="1"/>
    <xf numFmtId="0" fontId="7" fillId="0" borderId="0" xfId="2" applyFont="1" applyFill="1" applyBorder="1"/>
    <xf numFmtId="0" fontId="10" fillId="0" borderId="0" xfId="2" applyFont="1" applyFill="1"/>
    <xf numFmtId="165" fontId="10" fillId="0" borderId="0" xfId="2" applyNumberFormat="1" applyFont="1" applyFill="1"/>
    <xf numFmtId="165" fontId="10" fillId="33" borderId="0" xfId="3" applyNumberFormat="1" applyFont="1" applyFill="1"/>
    <xf numFmtId="165" fontId="10" fillId="0" borderId="0" xfId="3" applyNumberFormat="1" applyFont="1" applyFill="1"/>
    <xf numFmtId="165" fontId="10" fillId="0" borderId="0" xfId="3" applyNumberFormat="1" applyFont="1" applyFill="1" applyBorder="1"/>
    <xf numFmtId="165" fontId="7" fillId="0" borderId="0" xfId="3" applyNumberFormat="1" applyFont="1" applyFill="1"/>
    <xf numFmtId="165" fontId="6" fillId="0" borderId="0" xfId="3" applyNumberFormat="1" applyFont="1" applyFill="1"/>
    <xf numFmtId="0" fontId="11" fillId="0" borderId="0" xfId="2" applyFont="1" applyFill="1" applyAlignment="1" applyProtection="1">
      <alignment horizontal="left"/>
    </xf>
    <xf numFmtId="0" fontId="12" fillId="0" borderId="12" xfId="2" applyFont="1" applyFill="1" applyBorder="1" applyAlignment="1">
      <alignment horizontal="center"/>
    </xf>
    <xf numFmtId="165" fontId="12" fillId="0" borderId="12" xfId="4" quotePrefix="1" applyNumberFormat="1" applyFont="1" applyFill="1" applyBorder="1" applyAlignment="1">
      <alignment horizontal="center"/>
    </xf>
    <xf numFmtId="165" fontId="12" fillId="33" borderId="12" xfId="4" quotePrefix="1" applyNumberFormat="1" applyFont="1" applyFill="1" applyBorder="1" applyAlignment="1">
      <alignment horizontal="center"/>
    </xf>
    <xf numFmtId="165" fontId="12" fillId="33" borderId="12" xfId="3" applyNumberFormat="1" applyFont="1" applyFill="1" applyBorder="1" applyAlignment="1">
      <alignment horizontal="center"/>
    </xf>
    <xf numFmtId="165" fontId="12" fillId="0" borderId="12" xfId="3" quotePrefix="1" applyNumberFormat="1" applyFont="1" applyFill="1" applyBorder="1" applyAlignment="1">
      <alignment horizontal="center"/>
    </xf>
    <xf numFmtId="165" fontId="7" fillId="0" borderId="0" xfId="3" quotePrefix="1" applyNumberFormat="1" applyFont="1" applyFill="1" applyBorder="1" applyAlignment="1">
      <alignment horizontal="center"/>
    </xf>
    <xf numFmtId="165" fontId="11" fillId="0" borderId="0" xfId="3" applyNumberFormat="1" applyFont="1" applyFill="1" applyBorder="1" applyProtection="1"/>
    <xf numFmtId="165" fontId="7" fillId="0" borderId="0" xfId="3" applyNumberFormat="1" applyFont="1" applyFill="1" applyProtection="1"/>
    <xf numFmtId="165" fontId="12" fillId="0" borderId="0" xfId="3" applyNumberFormat="1" applyFont="1" applyFill="1" applyAlignment="1">
      <alignment horizontal="center"/>
    </xf>
    <xf numFmtId="165" fontId="12" fillId="0" borderId="12" xfId="3" applyNumberFormat="1" applyFont="1" applyFill="1" applyBorder="1" applyAlignment="1">
      <alignment horizontal="center"/>
    </xf>
    <xf numFmtId="165" fontId="7" fillId="33" borderId="0" xfId="3" applyNumberFormat="1" applyFont="1" applyFill="1"/>
    <xf numFmtId="165" fontId="7" fillId="0" borderId="0" xfId="3" applyNumberFormat="1" applyFont="1" applyFill="1" applyBorder="1"/>
    <xf numFmtId="165" fontId="7" fillId="0" borderId="0" xfId="3" applyNumberFormat="1" applyFont="1" applyFill="1" applyBorder="1" applyProtection="1"/>
    <xf numFmtId="165" fontId="7" fillId="0" borderId="0" xfId="3" quotePrefix="1" applyNumberFormat="1" applyFont="1" applyFill="1" applyAlignment="1">
      <alignment horizontal="center"/>
    </xf>
    <xf numFmtId="9" fontId="7" fillId="0" borderId="0" xfId="3" applyNumberFormat="1" applyFont="1" applyFill="1"/>
    <xf numFmtId="165" fontId="6" fillId="0" borderId="0" xfId="2" applyNumberFormat="1" applyFont="1" applyFill="1"/>
    <xf numFmtId="165" fontId="7" fillId="0" borderId="0" xfId="3" applyNumberFormat="1" applyFont="1" applyFill="1" applyAlignment="1">
      <alignment horizontal="center"/>
    </xf>
    <xf numFmtId="41" fontId="7" fillId="0" borderId="0" xfId="1" applyFont="1" applyFill="1"/>
    <xf numFmtId="0" fontId="6" fillId="33" borderId="0" xfId="2" applyFont="1" applyFill="1"/>
    <xf numFmtId="9" fontId="6" fillId="0" borderId="0" xfId="2" applyNumberFormat="1" applyFont="1" applyFill="1"/>
    <xf numFmtId="0" fontId="7" fillId="0" borderId="0" xfId="2" quotePrefix="1" applyFont="1" applyFill="1" applyAlignment="1">
      <alignment horizontal="center"/>
    </xf>
    <xf numFmtId="41" fontId="6" fillId="0" borderId="0" xfId="1" applyFont="1" applyFill="1"/>
    <xf numFmtId="165" fontId="13" fillId="0" borderId="0" xfId="3" applyNumberFormat="1" applyFont="1" applyFill="1"/>
    <xf numFmtId="43" fontId="6" fillId="0" borderId="0" xfId="2" applyNumberFormat="1" applyFont="1" applyFill="1"/>
    <xf numFmtId="165" fontId="7" fillId="0" borderId="0" xfId="2" applyNumberFormat="1" applyFont="1" applyFill="1"/>
    <xf numFmtId="165" fontId="6" fillId="33" borderId="0" xfId="3" applyNumberFormat="1" applyFont="1" applyFill="1"/>
    <xf numFmtId="9" fontId="6" fillId="0" borderId="0" xfId="3" applyNumberFormat="1" applyFont="1" applyFill="1"/>
    <xf numFmtId="165" fontId="12" fillId="0" borderId="0" xfId="3" applyNumberFormat="1" applyFont="1" applyFill="1" applyProtection="1"/>
    <xf numFmtId="165" fontId="12" fillId="0" borderId="13" xfId="3" applyNumberFormat="1" applyFont="1" applyFill="1" applyBorder="1"/>
    <xf numFmtId="9" fontId="12" fillId="0" borderId="13" xfId="3" applyNumberFormat="1" applyFont="1" applyFill="1" applyBorder="1"/>
    <xf numFmtId="165" fontId="12" fillId="0" borderId="0" xfId="3" applyNumberFormat="1" applyFont="1" applyFill="1" applyBorder="1"/>
    <xf numFmtId="9" fontId="12" fillId="0" borderId="0" xfId="3" applyNumberFormat="1" applyFont="1" applyFill="1" applyBorder="1"/>
    <xf numFmtId="43" fontId="7" fillId="0" borderId="0" xfId="2" applyNumberFormat="1" applyFont="1" applyFill="1"/>
    <xf numFmtId="165" fontId="14" fillId="0" borderId="0" xfId="3" applyNumberFormat="1" applyFont="1" applyFill="1"/>
    <xf numFmtId="0" fontId="6" fillId="0" borderId="0" xfId="2" applyFont="1" applyFill="1" applyAlignment="1">
      <alignment horizontal="center"/>
    </xf>
    <xf numFmtId="0" fontId="15" fillId="0" borderId="0" xfId="0" applyFont="1" applyFill="1" applyAlignment="1">
      <alignment horizontal="left"/>
    </xf>
    <xf numFmtId="165" fontId="7" fillId="34" borderId="0" xfId="3" applyNumberFormat="1" applyFont="1" applyFill="1"/>
    <xf numFmtId="166" fontId="7" fillId="0" borderId="0" xfId="2" applyNumberFormat="1" applyFont="1" applyAlignment="1"/>
    <xf numFmtId="167" fontId="7" fillId="0" borderId="0" xfId="3" applyNumberFormat="1" applyFont="1" applyFill="1"/>
    <xf numFmtId="166" fontId="7" fillId="0" borderId="0" xfId="2" applyNumberFormat="1" applyFont="1" applyAlignment="1">
      <alignment horizontal="left" indent="1"/>
    </xf>
    <xf numFmtId="165" fontId="7" fillId="0" borderId="12" xfId="3" applyNumberFormat="1" applyFont="1" applyFill="1" applyBorder="1"/>
    <xf numFmtId="165" fontId="7" fillId="33" borderId="12" xfId="3" applyNumberFormat="1" applyFont="1" applyFill="1" applyBorder="1"/>
    <xf numFmtId="0" fontId="16" fillId="0" borderId="0" xfId="0" applyFont="1" applyFill="1" applyAlignment="1">
      <alignment horizontal="left"/>
    </xf>
    <xf numFmtId="41" fontId="6" fillId="0" borderId="0" xfId="2" applyNumberFormat="1" applyFont="1" applyFill="1"/>
    <xf numFmtId="41" fontId="7" fillId="33" borderId="0" xfId="1" applyFont="1" applyFill="1"/>
    <xf numFmtId="43" fontId="6" fillId="33" borderId="0" xfId="2" applyNumberFormat="1" applyFont="1" applyFill="1"/>
    <xf numFmtId="43" fontId="6" fillId="0" borderId="0" xfId="4" applyFont="1" applyFill="1"/>
    <xf numFmtId="165" fontId="6" fillId="0" borderId="0" xfId="4" applyNumberFormat="1" applyFont="1" applyFill="1"/>
    <xf numFmtId="0" fontId="6" fillId="0" borderId="0" xfId="2" applyFont="1" applyFill="1" applyBorder="1"/>
    <xf numFmtId="165" fontId="11" fillId="0" borderId="0" xfId="3" applyNumberFormat="1" applyFont="1" applyFill="1"/>
    <xf numFmtId="165" fontId="12" fillId="0" borderId="14" xfId="3" applyNumberFormat="1" applyFont="1" applyFill="1" applyBorder="1"/>
    <xf numFmtId="165" fontId="12" fillId="33" borderId="14" xfId="3" applyNumberFormat="1" applyFont="1" applyFill="1" applyBorder="1"/>
    <xf numFmtId="9" fontId="12" fillId="0" borderId="14" xfId="3" applyNumberFormat="1" applyFont="1" applyFill="1" applyBorder="1"/>
    <xf numFmtId="165" fontId="12" fillId="0" borderId="0" xfId="3" applyNumberFormat="1" applyFont="1" applyFill="1"/>
    <xf numFmtId="41" fontId="17" fillId="0" borderId="0" xfId="1" applyNumberFormat="1" applyFont="1" applyFill="1"/>
    <xf numFmtId="41" fontId="17" fillId="33" borderId="0" xfId="1" applyFont="1" applyFill="1"/>
    <xf numFmtId="165" fontId="17" fillId="0" borderId="0" xfId="2" applyNumberFormat="1" applyFont="1" applyFill="1"/>
    <xf numFmtId="43" fontId="7" fillId="0" borderId="0" xfId="4" applyFont="1" applyFill="1"/>
    <xf numFmtId="165" fontId="17" fillId="33" borderId="0" xfId="2" applyNumberFormat="1" applyFont="1" applyFill="1"/>
    <xf numFmtId="165" fontId="18" fillId="33" borderId="0" xfId="3" applyNumberFormat="1" applyFont="1" applyFill="1" applyAlignment="1"/>
    <xf numFmtId="165" fontId="18" fillId="0" borderId="0" xfId="3" applyNumberFormat="1" applyFont="1" applyFill="1" applyAlignment="1"/>
    <xf numFmtId="165" fontId="18" fillId="0" borderId="0" xfId="3" applyNumberFormat="1" applyFont="1" applyFill="1" applyAlignment="1">
      <alignment horizontal="center"/>
    </xf>
    <xf numFmtId="165" fontId="7" fillId="0" borderId="10" xfId="3" applyNumberFormat="1" applyFont="1" applyFill="1" applyBorder="1"/>
    <xf numFmtId="165" fontId="7" fillId="33" borderId="10" xfId="3" applyNumberFormat="1" applyFont="1" applyFill="1" applyBorder="1"/>
    <xf numFmtId="165" fontId="12" fillId="0" borderId="12" xfId="4" quotePrefix="1" applyNumberFormat="1" applyFont="1" applyFill="1" applyBorder="1" applyAlignment="1">
      <alignment horizontal="center" vertical="center"/>
    </xf>
    <xf numFmtId="15" fontId="12" fillId="33" borderId="12" xfId="2" quotePrefix="1" applyNumberFormat="1" applyFont="1" applyFill="1" applyBorder="1" applyAlignment="1">
      <alignment horizontal="center" vertical="center" wrapText="1"/>
    </xf>
    <xf numFmtId="15" fontId="12" fillId="33" borderId="12" xfId="2" quotePrefix="1" applyNumberFormat="1" applyFont="1" applyFill="1" applyBorder="1" applyAlignment="1">
      <alignment horizontal="center" wrapText="1"/>
    </xf>
    <xf numFmtId="0" fontId="12" fillId="0" borderId="12" xfId="2" applyFont="1" applyFill="1" applyBorder="1" applyAlignment="1">
      <alignment horizontal="center" vertical="center"/>
    </xf>
    <xf numFmtId="0" fontId="14" fillId="0" borderId="0" xfId="2" applyFont="1" applyFill="1"/>
    <xf numFmtId="0" fontId="6" fillId="0" borderId="14" xfId="2" applyFont="1" applyFill="1" applyBorder="1" applyAlignment="1">
      <alignment horizontal="center"/>
    </xf>
    <xf numFmtId="0" fontId="6" fillId="0" borderId="14" xfId="2" applyFill="1" applyBorder="1" applyAlignment="1">
      <alignment horizontal="center"/>
    </xf>
    <xf numFmtId="41" fontId="6" fillId="33" borderId="14" xfId="2" applyNumberFormat="1" applyFont="1" applyFill="1" applyBorder="1"/>
    <xf numFmtId="165" fontId="7" fillId="0" borderId="14" xfId="3" applyNumberFormat="1" applyFont="1" applyFill="1" applyBorder="1"/>
    <xf numFmtId="0" fontId="6" fillId="0" borderId="0" xfId="2" applyFill="1" applyAlignment="1">
      <alignment horizontal="center"/>
    </xf>
    <xf numFmtId="41" fontId="6" fillId="33" borderId="0" xfId="2" applyNumberFormat="1" applyFont="1" applyFill="1"/>
    <xf numFmtId="0" fontId="12" fillId="0" borderId="0" xfId="2" applyFont="1" applyFill="1"/>
    <xf numFmtId="165" fontId="7" fillId="0" borderId="0" xfId="2" applyNumberFormat="1" applyFont="1" applyFill="1" applyAlignment="1">
      <alignment horizontal="center"/>
    </xf>
    <xf numFmtId="9" fontId="7" fillId="33" borderId="0" xfId="5" applyFont="1" applyFill="1"/>
    <xf numFmtId="41" fontId="7" fillId="33" borderId="0" xfId="2" applyNumberFormat="1" applyFont="1" applyFill="1"/>
    <xf numFmtId="9" fontId="7" fillId="0" borderId="0" xfId="2" applyNumberFormat="1" applyFont="1" applyFill="1"/>
    <xf numFmtId="165" fontId="7" fillId="33" borderId="0" xfId="3" applyNumberFormat="1" applyFont="1" applyFill="1" applyAlignment="1">
      <alignment horizontal="right" vertical="center" wrapText="1" readingOrder="1"/>
    </xf>
    <xf numFmtId="165" fontId="12" fillId="0" borderId="13" xfId="3" applyNumberFormat="1" applyFont="1" applyFill="1" applyBorder="1" applyAlignment="1">
      <alignment horizontal="right" vertical="center" wrapText="1" readingOrder="1"/>
    </xf>
    <xf numFmtId="165" fontId="12" fillId="33" borderId="13" xfId="3" applyNumberFormat="1" applyFont="1" applyFill="1" applyBorder="1" applyAlignment="1">
      <alignment horizontal="right" vertical="center" wrapText="1" readingOrder="1"/>
    </xf>
    <xf numFmtId="9" fontId="12" fillId="0" borderId="13" xfId="2" applyNumberFormat="1" applyFont="1" applyFill="1" applyBorder="1"/>
    <xf numFmtId="43" fontId="7" fillId="33" borderId="0" xfId="3" applyNumberFormat="1" applyFont="1" applyFill="1" applyAlignment="1">
      <alignment horizontal="right" vertical="center" wrapText="1" readingOrder="1"/>
    </xf>
    <xf numFmtId="165" fontId="7" fillId="33" borderId="0" xfId="3" applyNumberFormat="1" applyFont="1" applyFill="1" applyAlignment="1">
      <alignment horizontal="center"/>
    </xf>
    <xf numFmtId="41" fontId="7" fillId="0" borderId="0" xfId="1" applyFont="1" applyFill="1" applyAlignment="1">
      <alignment horizontal="center"/>
    </xf>
    <xf numFmtId="9" fontId="7" fillId="0" borderId="0" xfId="5" applyFont="1" applyFill="1"/>
    <xf numFmtId="43" fontId="7" fillId="0" borderId="0" xfId="3" applyNumberFormat="1" applyFont="1" applyFill="1" applyAlignment="1">
      <alignment horizontal="center"/>
    </xf>
    <xf numFmtId="0" fontId="12" fillId="0" borderId="0" xfId="2" applyFont="1" applyFill="1" applyAlignment="1">
      <alignment vertical="center"/>
    </xf>
    <xf numFmtId="165" fontId="7" fillId="0" borderId="0" xfId="3" applyNumberFormat="1" applyFont="1" applyFill="1" applyAlignment="1">
      <alignment horizontal="right" vertical="center" wrapText="1" readingOrder="1"/>
    </xf>
    <xf numFmtId="165" fontId="7" fillId="33" borderId="15" xfId="3" applyNumberFormat="1" applyFont="1" applyFill="1" applyBorder="1" applyAlignment="1">
      <alignment horizontal="right" vertical="center" wrapText="1" readingOrder="1"/>
    </xf>
    <xf numFmtId="165" fontId="7" fillId="0" borderId="0" xfId="4" applyNumberFormat="1" applyFont="1" applyFill="1"/>
    <xf numFmtId="0" fontId="7" fillId="0" borderId="0" xfId="6" applyFont="1" applyFill="1" applyAlignment="1">
      <alignment vertical="center"/>
    </xf>
    <xf numFmtId="0" fontId="7" fillId="0" borderId="0" xfId="2" applyFont="1" applyFill="1" applyAlignment="1">
      <alignment horizontal="left"/>
    </xf>
    <xf numFmtId="165" fontId="12" fillId="0" borderId="14" xfId="3" applyNumberFormat="1" applyFont="1" applyFill="1" applyBorder="1" applyAlignment="1">
      <alignment horizontal="right" vertical="center" wrapText="1" readingOrder="1"/>
    </xf>
    <xf numFmtId="165" fontId="12" fillId="33" borderId="14" xfId="3" applyNumberFormat="1" applyFont="1" applyFill="1" applyBorder="1" applyAlignment="1">
      <alignment horizontal="right" vertical="center" wrapText="1" readingOrder="1"/>
    </xf>
    <xf numFmtId="9" fontId="12" fillId="0" borderId="14" xfId="2" applyNumberFormat="1" applyFont="1" applyFill="1" applyBorder="1"/>
    <xf numFmtId="0" fontId="12" fillId="0" borderId="0" xfId="2" applyFont="1" applyFill="1" applyAlignment="1">
      <alignment horizontal="left" indent="1"/>
    </xf>
    <xf numFmtId="0" fontId="7" fillId="0" borderId="0" xfId="2" applyFont="1" applyFill="1" applyAlignment="1">
      <alignment horizontal="left" indent="1"/>
    </xf>
    <xf numFmtId="165" fontId="7" fillId="33" borderId="0" xfId="4" applyNumberFormat="1" applyFont="1" applyFill="1" applyAlignment="1">
      <alignment horizontal="right" vertical="center" wrapText="1" readingOrder="1"/>
    </xf>
    <xf numFmtId="165" fontId="7" fillId="0" borderId="15" xfId="3" applyNumberFormat="1" applyFont="1" applyFill="1" applyBorder="1" applyAlignment="1">
      <alignment horizontal="right" vertical="center" wrapText="1" readingOrder="1"/>
    </xf>
    <xf numFmtId="165" fontId="7" fillId="0" borderId="13" xfId="3" applyNumberFormat="1" applyFont="1" applyFill="1" applyBorder="1"/>
    <xf numFmtId="9" fontId="7" fillId="0" borderId="13" xfId="2" applyNumberFormat="1" applyFont="1" applyFill="1" applyBorder="1"/>
    <xf numFmtId="165" fontId="7" fillId="0" borderId="15" xfId="3" applyNumberFormat="1" applyFont="1" applyFill="1" applyBorder="1" applyAlignment="1">
      <alignment horizontal="center"/>
    </xf>
    <xf numFmtId="165" fontId="7" fillId="0" borderId="12" xfId="3" applyNumberFormat="1" applyFont="1" applyFill="1" applyBorder="1" applyAlignment="1">
      <alignment horizontal="center"/>
    </xf>
    <xf numFmtId="165" fontId="7" fillId="33" borderId="12" xfId="3" applyNumberFormat="1" applyFont="1" applyFill="1" applyBorder="1" applyAlignment="1">
      <alignment horizontal="right" vertical="center" wrapText="1" readingOrder="1"/>
    </xf>
    <xf numFmtId="165" fontId="12" fillId="0" borderId="16" xfId="3" applyNumberFormat="1" applyFont="1" applyFill="1" applyBorder="1" applyAlignment="1">
      <alignment horizontal="right" vertical="center" wrapText="1" readingOrder="1"/>
    </xf>
    <xf numFmtId="165" fontId="12" fillId="33" borderId="16" xfId="3" applyNumberFormat="1" applyFont="1" applyFill="1" applyBorder="1" applyAlignment="1">
      <alignment horizontal="right" vertical="center" wrapText="1" readingOrder="1"/>
    </xf>
    <xf numFmtId="165" fontId="19" fillId="33" borderId="0" xfId="3" applyNumberFormat="1" applyFont="1" applyFill="1"/>
    <xf numFmtId="165" fontId="20" fillId="33" borderId="0" xfId="3" applyNumberFormat="1" applyFont="1" applyFill="1"/>
    <xf numFmtId="165" fontId="21" fillId="0" borderId="0" xfId="3" applyNumberFormat="1" applyFont="1" applyFill="1" applyAlignment="1"/>
    <xf numFmtId="9" fontId="21" fillId="33" borderId="0" xfId="5" applyNumberFormat="1" applyFont="1" applyFill="1" applyAlignment="1"/>
    <xf numFmtId="165" fontId="21" fillId="33" borderId="0" xfId="3" applyNumberFormat="1" applyFont="1" applyFill="1" applyAlignment="1"/>
    <xf numFmtId="165" fontId="7" fillId="33" borderId="0" xfId="3" applyNumberFormat="1" applyFont="1" applyFill="1" applyBorder="1"/>
    <xf numFmtId="15" fontId="12" fillId="33" borderId="0" xfId="2" quotePrefix="1" applyNumberFormat="1" applyFont="1" applyFill="1" applyBorder="1" applyAlignment="1">
      <alignment horizontal="center"/>
    </xf>
    <xf numFmtId="165" fontId="7" fillId="0" borderId="16" xfId="3" applyNumberFormat="1" applyFont="1" applyFill="1" applyBorder="1"/>
    <xf numFmtId="0" fontId="6" fillId="33" borderId="0" xfId="2" applyFont="1" applyFill="1" applyBorder="1"/>
    <xf numFmtId="165" fontId="6" fillId="33" borderId="0" xfId="2" applyNumberFormat="1" applyFont="1" applyFill="1"/>
    <xf numFmtId="43" fontId="7" fillId="33" borderId="0" xfId="3" applyNumberFormat="1" applyFont="1" applyFill="1"/>
    <xf numFmtId="0" fontId="12" fillId="0" borderId="0" xfId="2" applyFont="1" applyFill="1" applyAlignment="1">
      <alignment horizontal="center" vertical="center"/>
    </xf>
    <xf numFmtId="165" fontId="12" fillId="0" borderId="0" xfId="3" applyNumberFormat="1" applyFont="1" applyFill="1" applyAlignment="1">
      <alignment horizontal="center" vertical="center"/>
    </xf>
    <xf numFmtId="165" fontId="12" fillId="33" borderId="0" xfId="3" applyNumberFormat="1" applyFont="1" applyFill="1" applyAlignment="1">
      <alignment horizontal="center" vertical="center"/>
    </xf>
    <xf numFmtId="0" fontId="14" fillId="0" borderId="0" xfId="2" applyFont="1" applyFill="1" applyAlignment="1">
      <alignment horizontal="center" vertical="center"/>
    </xf>
    <xf numFmtId="165" fontId="12" fillId="33" borderId="0" xfId="3" applyNumberFormat="1" applyFont="1" applyFill="1"/>
    <xf numFmtId="165" fontId="7" fillId="0" borderId="0" xfId="3" applyNumberFormat="1" applyFont="1" applyFill="1" applyAlignment="1">
      <alignment horizontal="left" indent="1"/>
    </xf>
    <xf numFmtId="165" fontId="18" fillId="33" borderId="0" xfId="3" applyNumberFormat="1" applyFont="1" applyFill="1" applyBorder="1" applyAlignment="1"/>
    <xf numFmtId="0" fontId="22" fillId="0" borderId="0" xfId="2" quotePrefix="1" applyFont="1" applyFill="1"/>
    <xf numFmtId="0" fontId="12" fillId="0" borderId="0" xfId="2" quotePrefix="1" applyFont="1" applyFill="1"/>
    <xf numFmtId="165" fontId="22" fillId="0" borderId="0" xfId="3" applyNumberFormat="1" applyFont="1" applyFill="1"/>
    <xf numFmtId="0" fontId="12" fillId="33" borderId="12" xfId="2" applyFont="1" applyFill="1" applyBorder="1" applyAlignment="1">
      <alignment horizontal="center"/>
    </xf>
    <xf numFmtId="165" fontId="7" fillId="33" borderId="0" xfId="2" applyNumberFormat="1" applyFont="1" applyFill="1"/>
    <xf numFmtId="9" fontId="7" fillId="33" borderId="0" xfId="2" applyNumberFormat="1" applyFont="1" applyFill="1"/>
    <xf numFmtId="165" fontId="12" fillId="33" borderId="14" xfId="2" applyNumberFormat="1" applyFont="1" applyFill="1" applyBorder="1"/>
    <xf numFmtId="9" fontId="12" fillId="33" borderId="14" xfId="2" applyNumberFormat="1" applyFont="1" applyFill="1" applyBorder="1"/>
    <xf numFmtId="0" fontId="22" fillId="0" borderId="0" xfId="2" quotePrefix="1" applyFont="1" applyFill="1" applyAlignment="1">
      <alignment horizontal="left"/>
    </xf>
    <xf numFmtId="0" fontId="12" fillId="0" borderId="0" xfId="2" quotePrefix="1" applyFont="1" applyFill="1" applyAlignment="1">
      <alignment horizontal="left"/>
    </xf>
    <xf numFmtId="165" fontId="12" fillId="0" borderId="0" xfId="3" quotePrefix="1" applyNumberFormat="1" applyFont="1" applyFill="1" applyBorder="1" applyAlignment="1">
      <alignment horizontal="center"/>
    </xf>
    <xf numFmtId="41" fontId="7" fillId="0" borderId="0" xfId="1" applyNumberFormat="1" applyFont="1" applyFill="1"/>
    <xf numFmtId="0" fontId="11" fillId="0" borderId="0" xfId="2" quotePrefix="1" applyFont="1" applyFill="1"/>
    <xf numFmtId="165" fontId="12" fillId="0" borderId="0" xfId="4" quotePrefix="1" applyNumberFormat="1" applyFont="1" applyFill="1" applyBorder="1" applyAlignment="1">
      <alignment horizontal="center"/>
    </xf>
    <xf numFmtId="0" fontId="12" fillId="0" borderId="0" xfId="2" applyFont="1" applyFill="1" applyBorder="1" applyAlignment="1">
      <alignment horizontal="center"/>
    </xf>
    <xf numFmtId="41" fontId="6" fillId="33" borderId="0" xfId="1" applyFont="1" applyFill="1"/>
    <xf numFmtId="168" fontId="6" fillId="33" borderId="0" xfId="1" applyNumberFormat="1" applyFont="1" applyFill="1"/>
    <xf numFmtId="0" fontId="12" fillId="33" borderId="0" xfId="2" applyFont="1" applyFill="1" applyBorder="1" applyAlignment="1">
      <alignment horizontal="center"/>
    </xf>
    <xf numFmtId="0" fontId="7" fillId="0" borderId="0" xfId="0" applyFont="1" applyFill="1" applyAlignment="1">
      <alignment horizontal="left"/>
    </xf>
    <xf numFmtId="0" fontId="23" fillId="0" borderId="0" xfId="0" applyFont="1" applyFill="1" applyAlignment="1">
      <alignment horizontal="left"/>
    </xf>
    <xf numFmtId="9" fontId="12" fillId="33" borderId="13" xfId="2" applyNumberFormat="1" applyFont="1" applyFill="1" applyBorder="1"/>
    <xf numFmtId="165" fontId="12" fillId="33" borderId="0" xfId="2" applyNumberFormat="1" applyFont="1" applyFill="1" applyBorder="1"/>
    <xf numFmtId="9" fontId="12" fillId="33" borderId="0" xfId="2" applyNumberFormat="1" applyFont="1" applyFill="1" applyBorder="1"/>
    <xf numFmtId="15" fontId="12" fillId="0" borderId="0" xfId="2" quotePrefix="1" applyNumberFormat="1" applyFont="1" applyFill="1" applyBorder="1" applyAlignment="1">
      <alignment horizontal="center"/>
    </xf>
    <xf numFmtId="9" fontId="6" fillId="33" borderId="0" xfId="2" applyNumberFormat="1" applyFont="1" applyFill="1"/>
    <xf numFmtId="165" fontId="12" fillId="33" borderId="0" xfId="3" quotePrefix="1" applyNumberFormat="1" applyFont="1" applyFill="1" applyBorder="1" applyAlignment="1">
      <alignment horizontal="center"/>
    </xf>
    <xf numFmtId="165" fontId="24" fillId="0" borderId="0" xfId="3" applyNumberFormat="1" applyFont="1" applyFill="1"/>
    <xf numFmtId="165" fontId="12" fillId="33" borderId="13" xfId="2" applyNumberFormat="1" applyFont="1" applyFill="1" applyBorder="1"/>
    <xf numFmtId="0" fontId="19" fillId="0" borderId="0" xfId="2" applyFont="1" applyFill="1"/>
    <xf numFmtId="0" fontId="25" fillId="0" borderId="0" xfId="2" applyFont="1" applyFill="1"/>
    <xf numFmtId="165" fontId="19" fillId="0" borderId="0" xfId="3" applyNumberFormat="1" applyFont="1" applyFill="1"/>
    <xf numFmtId="0" fontId="26" fillId="35" borderId="0" xfId="0" applyFont="1" applyFill="1" applyAlignment="1">
      <alignment horizontal="left"/>
    </xf>
    <xf numFmtId="0" fontId="27" fillId="0" borderId="0" xfId="0" applyFont="1" applyFill="1" applyAlignment="1">
      <alignment horizontal="left"/>
    </xf>
    <xf numFmtId="3" fontId="7" fillId="33" borderId="0" xfId="2" applyNumberFormat="1" applyFont="1" applyFill="1"/>
    <xf numFmtId="165" fontId="12" fillId="33" borderId="13" xfId="3" applyNumberFormat="1" applyFont="1" applyFill="1" applyBorder="1"/>
    <xf numFmtId="165" fontId="12" fillId="33" borderId="0" xfId="3" applyNumberFormat="1" applyFont="1" applyFill="1" applyBorder="1"/>
    <xf numFmtId="165" fontId="12" fillId="0" borderId="17" xfId="3" applyNumberFormat="1" applyFont="1" applyFill="1" applyBorder="1" applyAlignment="1">
      <alignment horizontal="center"/>
    </xf>
    <xf numFmtId="165" fontId="12" fillId="34" borderId="17" xfId="3" applyNumberFormat="1" applyFont="1" applyFill="1" applyBorder="1" applyAlignment="1">
      <alignment horizontal="center"/>
    </xf>
    <xf numFmtId="165" fontId="12" fillId="0" borderId="18" xfId="3" quotePrefix="1" applyNumberFormat="1" applyFont="1" applyFill="1" applyBorder="1" applyAlignment="1">
      <alignment horizontal="center"/>
    </xf>
    <xf numFmtId="165" fontId="12" fillId="0" borderId="18" xfId="3" applyNumberFormat="1" applyFont="1" applyFill="1" applyBorder="1" applyAlignment="1">
      <alignment horizontal="center"/>
    </xf>
    <xf numFmtId="165" fontId="12" fillId="34" borderId="18" xfId="4" quotePrefix="1" applyNumberFormat="1" applyFont="1" applyFill="1" applyBorder="1" applyAlignment="1">
      <alignment horizontal="center"/>
    </xf>
    <xf numFmtId="165" fontId="22" fillId="0" borderId="0" xfId="3" applyNumberFormat="1" applyFont="1" applyFill="1" applyBorder="1"/>
    <xf numFmtId="165" fontId="12" fillId="0" borderId="0" xfId="3" applyNumberFormat="1" applyFont="1" applyFill="1" applyBorder="1" applyAlignment="1">
      <alignment horizontal="center"/>
    </xf>
    <xf numFmtId="0" fontId="6" fillId="33" borderId="0" xfId="2" applyNumberFormat="1" applyFont="1" applyFill="1"/>
    <xf numFmtId="38" fontId="6" fillId="33" borderId="0" xfId="2" applyNumberFormat="1" applyFont="1" applyFill="1"/>
    <xf numFmtId="38" fontId="7" fillId="0" borderId="0" xfId="3" applyNumberFormat="1" applyFont="1" applyFill="1"/>
    <xf numFmtId="41" fontId="14" fillId="33" borderId="0" xfId="1" applyFont="1" applyFill="1"/>
    <xf numFmtId="165" fontId="12" fillId="0" borderId="18" xfId="4" applyNumberFormat="1" applyFont="1" applyFill="1" applyBorder="1" applyAlignment="1">
      <alignment horizontal="center"/>
    </xf>
    <xf numFmtId="43" fontId="7" fillId="0" borderId="0" xfId="3" applyNumberFormat="1" applyFont="1" applyFill="1"/>
    <xf numFmtId="165" fontId="12" fillId="33" borderId="17" xfId="3" applyNumberFormat="1" applyFont="1" applyFill="1" applyBorder="1" applyAlignment="1">
      <alignment horizontal="center"/>
    </xf>
    <xf numFmtId="165" fontId="12" fillId="33" borderId="15" xfId="3" applyNumberFormat="1" applyFont="1" applyFill="1" applyBorder="1" applyAlignment="1">
      <alignment horizontal="center"/>
    </xf>
    <xf numFmtId="165" fontId="12" fillId="33" borderId="18" xfId="3" quotePrefix="1" applyNumberFormat="1" applyFont="1" applyFill="1" applyBorder="1" applyAlignment="1">
      <alignment horizontal="center"/>
    </xf>
    <xf numFmtId="165" fontId="12" fillId="33" borderId="18" xfId="4" quotePrefix="1" applyNumberFormat="1" applyFont="1" applyFill="1" applyBorder="1" applyAlignment="1">
      <alignment horizontal="center"/>
    </xf>
    <xf numFmtId="165" fontId="14" fillId="33" borderId="0" xfId="3" applyNumberFormat="1" applyFont="1" applyFill="1" applyAlignment="1">
      <alignment horizontal="center"/>
    </xf>
    <xf numFmtId="165" fontId="12" fillId="33" borderId="0" xfId="3" quotePrefix="1" applyNumberFormat="1" applyFont="1" applyFill="1"/>
    <xf numFmtId="165" fontId="12" fillId="33" borderId="0" xfId="3" applyNumberFormat="1" applyFont="1" applyFill="1" applyAlignment="1">
      <alignment horizontal="center"/>
    </xf>
    <xf numFmtId="165" fontId="12" fillId="0" borderId="18" xfId="4" quotePrefix="1" applyNumberFormat="1" applyFont="1" applyFill="1" applyBorder="1" applyAlignment="1">
      <alignment horizontal="center"/>
    </xf>
    <xf numFmtId="165" fontId="7" fillId="36" borderId="0" xfId="3" applyNumberFormat="1" applyFont="1" applyFill="1"/>
    <xf numFmtId="165" fontId="12" fillId="36" borderId="17" xfId="3" applyNumberFormat="1" applyFont="1" applyFill="1" applyBorder="1" applyAlignment="1">
      <alignment horizontal="center"/>
    </xf>
    <xf numFmtId="165" fontId="12" fillId="36" borderId="18" xfId="3" quotePrefix="1" applyNumberFormat="1" applyFont="1" applyFill="1" applyBorder="1" applyAlignment="1">
      <alignment horizontal="center"/>
    </xf>
    <xf numFmtId="165" fontId="12" fillId="36" borderId="18" xfId="3" applyNumberFormat="1" applyFont="1" applyFill="1" applyBorder="1" applyAlignment="1">
      <alignment horizontal="center"/>
    </xf>
    <xf numFmtId="165" fontId="12" fillId="36" borderId="18" xfId="4" quotePrefix="1" applyNumberFormat="1" applyFont="1" applyFill="1" applyBorder="1" applyAlignment="1">
      <alignment horizontal="center"/>
    </xf>
    <xf numFmtId="165" fontId="7" fillId="36" borderId="0" xfId="3" applyNumberFormat="1" applyFont="1" applyFill="1" applyAlignment="1">
      <alignment horizontal="left" indent="1"/>
    </xf>
    <xf numFmtId="165" fontId="12" fillId="36" borderId="0" xfId="3" applyNumberFormat="1" applyFont="1" applyFill="1" applyAlignment="1">
      <alignment horizontal="center"/>
    </xf>
    <xf numFmtId="165" fontId="12" fillId="36" borderId="13" xfId="3" applyNumberFormat="1" applyFont="1" applyFill="1" applyBorder="1"/>
    <xf numFmtId="38" fontId="7" fillId="36" borderId="0" xfId="3" applyNumberFormat="1" applyFont="1" applyFill="1"/>
    <xf numFmtId="165" fontId="12" fillId="36" borderId="0" xfId="3" applyNumberFormat="1" applyFont="1" applyFill="1"/>
    <xf numFmtId="165" fontId="12" fillId="36" borderId="14" xfId="3" applyNumberFormat="1" applyFont="1" applyFill="1" applyBorder="1"/>
    <xf numFmtId="165" fontId="12" fillId="0" borderId="15" xfId="3" applyNumberFormat="1" applyFont="1" applyFill="1" applyBorder="1" applyAlignment="1">
      <alignment horizontal="center"/>
    </xf>
    <xf numFmtId="0" fontId="7" fillId="0" borderId="0" xfId="2" quotePrefix="1" applyFont="1" applyFill="1"/>
    <xf numFmtId="9" fontId="7" fillId="33" borderId="0" xfId="3" applyNumberFormat="1" applyFont="1" applyFill="1"/>
    <xf numFmtId="9" fontId="12" fillId="33" borderId="0" xfId="3" quotePrefix="1" applyNumberFormat="1" applyFont="1" applyFill="1" applyBorder="1" applyAlignment="1">
      <alignment horizontal="center"/>
    </xf>
    <xf numFmtId="165" fontId="12" fillId="0" borderId="0" xfId="3" quotePrefix="1" applyNumberFormat="1" applyFont="1" applyFill="1"/>
    <xf numFmtId="165" fontId="6" fillId="0" borderId="0" xfId="3" applyNumberFormat="1" applyFont="1" applyFill="1" applyBorder="1"/>
    <xf numFmtId="9" fontId="12" fillId="33" borderId="0" xfId="3" applyNumberFormat="1" applyFont="1" applyFill="1" applyBorder="1"/>
    <xf numFmtId="41" fontId="7" fillId="0" borderId="0" xfId="2" applyNumberFormat="1" applyFont="1" applyFill="1"/>
    <xf numFmtId="43" fontId="7" fillId="0" borderId="0" xfId="3" applyFont="1" applyFill="1"/>
    <xf numFmtId="38" fontId="7" fillId="0" borderId="0" xfId="2" applyNumberFormat="1" applyFont="1" applyFill="1"/>
    <xf numFmtId="0" fontId="12" fillId="0" borderId="0" xfId="2" applyFont="1" applyFill="1" applyAlignment="1"/>
    <xf numFmtId="38" fontId="12" fillId="0" borderId="14" xfId="2" applyNumberFormat="1" applyFont="1" applyFill="1" applyBorder="1"/>
    <xf numFmtId="41" fontId="12" fillId="33" borderId="14" xfId="2" applyNumberFormat="1" applyFont="1" applyFill="1" applyBorder="1"/>
    <xf numFmtId="165" fontId="12" fillId="0" borderId="19" xfId="3" applyNumberFormat="1" applyFont="1" applyFill="1" applyBorder="1" applyAlignment="1">
      <alignment horizontal="center"/>
    </xf>
    <xf numFmtId="165" fontId="12" fillId="0" borderId="20" xfId="3" applyNumberFormat="1" applyFont="1" applyFill="1" applyBorder="1" applyAlignment="1">
      <alignment horizontal="center"/>
    </xf>
    <xf numFmtId="165" fontId="12" fillId="0" borderId="21" xfId="3" applyNumberFormat="1" applyFont="1" applyFill="1" applyBorder="1" applyAlignment="1">
      <alignment horizontal="center"/>
    </xf>
    <xf numFmtId="165" fontId="12" fillId="0" borderId="22" xfId="3" applyNumberFormat="1" applyFont="1" applyFill="1" applyBorder="1" applyAlignment="1">
      <alignment horizontal="center"/>
    </xf>
    <xf numFmtId="165" fontId="12" fillId="0" borderId="23" xfId="3" applyNumberFormat="1" applyFont="1" applyFill="1" applyBorder="1" applyAlignment="1">
      <alignment horizontal="center"/>
    </xf>
    <xf numFmtId="165" fontId="7" fillId="0" borderId="24" xfId="3" applyNumberFormat="1" applyFont="1" applyFill="1" applyBorder="1"/>
    <xf numFmtId="165" fontId="7" fillId="0" borderId="25" xfId="3" applyNumberFormat="1" applyFont="1" applyFill="1" applyBorder="1"/>
    <xf numFmtId="10" fontId="7" fillId="0" borderId="25" xfId="7" applyNumberFormat="1" applyFont="1" applyFill="1" applyBorder="1"/>
    <xf numFmtId="165" fontId="12" fillId="0" borderId="25" xfId="3" applyNumberFormat="1" applyFont="1" applyFill="1" applyBorder="1" applyAlignment="1">
      <alignment horizontal="center"/>
    </xf>
    <xf numFmtId="10" fontId="12" fillId="0" borderId="25" xfId="3" applyNumberFormat="1" applyFont="1" applyFill="1" applyBorder="1"/>
    <xf numFmtId="165" fontId="12" fillId="0" borderId="25" xfId="3" applyNumberFormat="1" applyFont="1" applyFill="1" applyBorder="1"/>
    <xf numFmtId="165" fontId="12" fillId="36" borderId="12" xfId="4" quotePrefix="1" applyNumberFormat="1" applyFont="1" applyFill="1" applyBorder="1" applyAlignment="1">
      <alignment horizontal="center"/>
    </xf>
    <xf numFmtId="165" fontId="12" fillId="36" borderId="19" xfId="3" applyNumberFormat="1" applyFont="1" applyFill="1" applyBorder="1" applyAlignment="1">
      <alignment horizontal="center"/>
    </xf>
    <xf numFmtId="165" fontId="12" fillId="36" borderId="20" xfId="3" applyNumberFormat="1" applyFont="1" applyFill="1" applyBorder="1" applyAlignment="1">
      <alignment horizontal="center"/>
    </xf>
    <xf numFmtId="165" fontId="12" fillId="36" borderId="21" xfId="3" applyNumberFormat="1" applyFont="1" applyFill="1" applyBorder="1" applyAlignment="1">
      <alignment horizontal="center"/>
    </xf>
    <xf numFmtId="165" fontId="12" fillId="36" borderId="22" xfId="3" applyNumberFormat="1" applyFont="1" applyFill="1" applyBorder="1" applyAlignment="1">
      <alignment horizontal="center"/>
    </xf>
    <xf numFmtId="165" fontId="12" fillId="36" borderId="23" xfId="3" applyNumberFormat="1" applyFont="1" applyFill="1" applyBorder="1" applyAlignment="1">
      <alignment horizontal="center"/>
    </xf>
    <xf numFmtId="165" fontId="7" fillId="36" borderId="24" xfId="3" applyNumberFormat="1" applyFont="1" applyFill="1" applyBorder="1"/>
    <xf numFmtId="165" fontId="7" fillId="36" borderId="25" xfId="3" applyNumberFormat="1" applyFont="1" applyFill="1" applyBorder="1"/>
    <xf numFmtId="10" fontId="7" fillId="36" borderId="25" xfId="7" applyNumberFormat="1" applyFont="1" applyFill="1" applyBorder="1"/>
    <xf numFmtId="165" fontId="12" fillId="36" borderId="25" xfId="3" applyNumberFormat="1" applyFont="1" applyFill="1" applyBorder="1" applyAlignment="1">
      <alignment horizontal="center"/>
    </xf>
    <xf numFmtId="10" fontId="12" fillId="36" borderId="25" xfId="3" applyNumberFormat="1" applyFont="1" applyFill="1" applyBorder="1"/>
    <xf numFmtId="165" fontId="12" fillId="36" borderId="25" xfId="3" applyNumberFormat="1" applyFont="1" applyFill="1" applyBorder="1"/>
    <xf numFmtId="0" fontId="28" fillId="0" borderId="0" xfId="2" applyFont="1" applyFill="1"/>
    <xf numFmtId="0" fontId="29" fillId="0" borderId="0" xfId="2" applyFont="1" applyFill="1"/>
    <xf numFmtId="165" fontId="29" fillId="0" borderId="0" xfId="3" applyNumberFormat="1" applyFont="1" applyFill="1"/>
    <xf numFmtId="0" fontId="28" fillId="0" borderId="0" xfId="2" applyFont="1" applyFill="1" applyBorder="1" applyAlignment="1"/>
    <xf numFmtId="165" fontId="28" fillId="0" borderId="0" xfId="3" applyNumberFormat="1" applyFont="1" applyFill="1"/>
    <xf numFmtId="0" fontId="28" fillId="0" borderId="10" xfId="2" applyFont="1" applyFill="1" applyBorder="1" applyAlignment="1"/>
    <xf numFmtId="0" fontId="9" fillId="33" borderId="10" xfId="2" applyFont="1" applyFill="1" applyBorder="1" applyAlignment="1"/>
    <xf numFmtId="0" fontId="6" fillId="0" borderId="10" xfId="2" applyFont="1" applyFill="1" applyBorder="1"/>
    <xf numFmtId="0" fontId="22" fillId="0" borderId="0" xfId="2" applyFont="1" applyFill="1"/>
    <xf numFmtId="165" fontId="22" fillId="0" borderId="0" xfId="3" quotePrefix="1" applyNumberFormat="1" applyFont="1" applyFill="1" applyAlignment="1">
      <alignment horizontal="left"/>
    </xf>
    <xf numFmtId="165" fontId="12" fillId="0" borderId="0" xfId="3" quotePrefix="1" applyNumberFormat="1" applyFont="1" applyFill="1" applyAlignment="1">
      <alignment horizontal="left" indent="1"/>
    </xf>
    <xf numFmtId="165" fontId="12" fillId="0" borderId="14" xfId="2" applyNumberFormat="1" applyFont="1" applyFill="1" applyBorder="1"/>
    <xf numFmtId="165" fontId="12" fillId="0" borderId="0" xfId="3" applyNumberFormat="1" applyFont="1" applyFill="1" applyAlignment="1">
      <alignment horizontal="left" indent="1"/>
    </xf>
    <xf numFmtId="0" fontId="22" fillId="0" borderId="0" xfId="2" applyFont="1" applyFill="1" applyAlignment="1">
      <alignment horizontal="left"/>
    </xf>
    <xf numFmtId="165" fontId="6" fillId="34" borderId="0" xfId="4" applyNumberFormat="1" applyFont="1" applyFill="1"/>
    <xf numFmtId="0" fontId="30" fillId="0" borderId="0" xfId="0" applyFont="1" applyFill="1" applyAlignment="1">
      <alignment horizontal="left"/>
    </xf>
    <xf numFmtId="165" fontId="12" fillId="0" borderId="0" xfId="3" applyNumberFormat="1" applyFont="1" applyFill="1" applyAlignment="1"/>
    <xf numFmtId="165" fontId="7" fillId="0" borderId="0" xfId="3" applyNumberFormat="1" applyFont="1" applyFill="1" applyAlignment="1"/>
    <xf numFmtId="165" fontId="7" fillId="34" borderId="0" xfId="3" quotePrefix="1" applyNumberFormat="1" applyFont="1" applyFill="1"/>
    <xf numFmtId="165" fontId="7" fillId="0" borderId="0" xfId="3" quotePrefix="1" applyNumberFormat="1" applyFont="1" applyFill="1"/>
    <xf numFmtId="0" fontId="26" fillId="0" borderId="0" xfId="0" applyFont="1" applyFill="1" applyAlignment="1">
      <alignment horizontal="left"/>
    </xf>
    <xf numFmtId="165" fontId="12" fillId="0" borderId="0" xfId="3" quotePrefix="1" applyNumberFormat="1" applyFont="1" applyFill="1" applyAlignment="1">
      <alignment horizontal="left"/>
    </xf>
    <xf numFmtId="4" fontId="7" fillId="0" borderId="0" xfId="3" applyNumberFormat="1" applyFont="1" applyFill="1"/>
    <xf numFmtId="9" fontId="7" fillId="0" borderId="14" xfId="2" applyNumberFormat="1" applyFont="1" applyFill="1" applyBorder="1"/>
    <xf numFmtId="4" fontId="7" fillId="33" borderId="0" xfId="3" applyNumberFormat="1" applyFont="1" applyFill="1"/>
    <xf numFmtId="165" fontId="12" fillId="33" borderId="0" xfId="3" applyNumberFormat="1" applyFont="1" applyFill="1" applyAlignment="1">
      <alignment horizontal="left" indent="1"/>
    </xf>
    <xf numFmtId="165" fontId="7" fillId="0" borderId="0" xfId="1" applyNumberFormat="1" applyFont="1" applyFill="1"/>
    <xf numFmtId="3" fontId="7" fillId="0" borderId="0" xfId="3" applyNumberFormat="1" applyFont="1" applyFill="1"/>
    <xf numFmtId="37" fontId="12" fillId="0" borderId="14" xfId="3" applyNumberFormat="1" applyFont="1" applyFill="1" applyBorder="1"/>
    <xf numFmtId="0" fontId="28" fillId="0" borderId="0" xfId="2" applyFont="1" applyFill="1" applyBorder="1" applyAlignment="1">
      <alignment horizontal="left"/>
    </xf>
    <xf numFmtId="0" fontId="12" fillId="0" borderId="0" xfId="2" applyFont="1" applyFill="1" applyBorder="1" applyAlignment="1">
      <alignment horizontal="left"/>
    </xf>
    <xf numFmtId="0" fontId="31" fillId="0" borderId="0" xfId="2" applyFont="1" applyFill="1" applyBorder="1" applyAlignment="1"/>
    <xf numFmtId="0" fontId="7" fillId="0" borderId="10" xfId="2" applyFont="1" applyFill="1" applyBorder="1"/>
    <xf numFmtId="165" fontId="7" fillId="0" borderId="0" xfId="3" applyNumberFormat="1" applyFont="1" applyFill="1" applyBorder="1" applyAlignment="1">
      <alignment horizontal="center"/>
    </xf>
    <xf numFmtId="165" fontId="6" fillId="36" borderId="0" xfId="4" applyNumberFormat="1" applyFont="1" applyFill="1"/>
    <xf numFmtId="3" fontId="12" fillId="0" borderId="14" xfId="3" applyNumberFormat="1" applyFont="1" applyFill="1" applyBorder="1"/>
    <xf numFmtId="3" fontId="24" fillId="0" borderId="0" xfId="3" applyNumberFormat="1" applyFont="1" applyFill="1"/>
    <xf numFmtId="3" fontId="12" fillId="0" borderId="0" xfId="3" applyNumberFormat="1" applyFont="1" applyFill="1" applyAlignment="1">
      <alignment horizontal="center"/>
    </xf>
    <xf numFmtId="9" fontId="7" fillId="33" borderId="0" xfId="3" applyNumberFormat="1" applyFont="1" applyFill="1" applyBorder="1"/>
    <xf numFmtId="0" fontId="6" fillId="36" borderId="0" xfId="2" applyFont="1" applyFill="1"/>
    <xf numFmtId="165" fontId="32" fillId="0" borderId="0" xfId="3" applyNumberFormat="1" applyFont="1" applyFill="1"/>
    <xf numFmtId="43" fontId="33" fillId="0" borderId="0" xfId="2" applyNumberFormat="1" applyFont="1" applyFill="1"/>
    <xf numFmtId="0" fontId="16" fillId="0" borderId="0" xfId="0" applyFont="1" applyFill="1" applyAlignment="1">
      <alignment horizontal="center"/>
    </xf>
    <xf numFmtId="43" fontId="16" fillId="0" borderId="0" xfId="8" applyFont="1" applyFill="1" applyAlignment="1">
      <alignment horizontal="right"/>
    </xf>
    <xf numFmtId="43" fontId="23" fillId="0" borderId="0" xfId="8" applyFont="1" applyFill="1" applyAlignment="1">
      <alignment horizontal="right"/>
    </xf>
    <xf numFmtId="3" fontId="35" fillId="0" borderId="0" xfId="0" applyNumberFormat="1" applyFont="1"/>
    <xf numFmtId="0" fontId="35" fillId="0" borderId="0" xfId="0" applyFont="1"/>
    <xf numFmtId="43" fontId="35" fillId="0" borderId="0" xfId="0" applyNumberFormat="1" applyFont="1"/>
    <xf numFmtId="165" fontId="12" fillId="34" borderId="0" xfId="3" applyNumberFormat="1" applyFont="1" applyFill="1"/>
    <xf numFmtId="165" fontId="24" fillId="36" borderId="0" xfId="3" applyNumberFormat="1" applyFont="1" applyFill="1"/>
    <xf numFmtId="165" fontId="12" fillId="0" borderId="0" xfId="3" quotePrefix="1" applyNumberFormat="1" applyFont="1" applyFill="1" applyBorder="1" applyAlignment="1">
      <alignment horizontal="left"/>
    </xf>
    <xf numFmtId="3" fontId="7" fillId="36" borderId="0" xfId="3" applyNumberFormat="1" applyFont="1" applyFill="1"/>
    <xf numFmtId="3" fontId="12" fillId="36" borderId="14" xfId="3" applyNumberFormat="1" applyFont="1" applyFill="1" applyBorder="1"/>
    <xf numFmtId="37" fontId="7" fillId="33" borderId="0" xfId="2" applyNumberFormat="1" applyFont="1" applyFill="1"/>
    <xf numFmtId="37" fontId="6" fillId="33" borderId="0" xfId="2" applyNumberFormat="1" applyFont="1" applyFill="1"/>
    <xf numFmtId="37" fontId="12" fillId="33" borderId="14" xfId="2" applyNumberFormat="1" applyFont="1" applyFill="1" applyBorder="1"/>
    <xf numFmtId="0" fontId="108" fillId="0" borderId="0" xfId="0" applyFont="1"/>
    <xf numFmtId="0" fontId="108" fillId="0" borderId="0" xfId="2" applyFont="1" applyFill="1"/>
    <xf numFmtId="0" fontId="109" fillId="0" borderId="0" xfId="0" applyFont="1"/>
    <xf numFmtId="165" fontId="108" fillId="0" borderId="0" xfId="3" applyNumberFormat="1" applyFont="1" applyFill="1"/>
    <xf numFmtId="0" fontId="109" fillId="0" borderId="0" xfId="2" applyFont="1" applyFill="1" applyBorder="1" applyAlignment="1">
      <alignment horizontal="center" vertical="center"/>
    </xf>
    <xf numFmtId="0" fontId="110" fillId="0" borderId="0" xfId="0" applyFont="1"/>
    <xf numFmtId="0" fontId="108" fillId="0" borderId="0" xfId="0" applyFont="1" applyFill="1"/>
    <xf numFmtId="0" fontId="30" fillId="0" borderId="0" xfId="0" applyFont="1" applyFill="1"/>
    <xf numFmtId="0" fontId="109" fillId="0" borderId="0" xfId="0" applyFont="1" applyAlignment="1">
      <alignment horizontal="center"/>
    </xf>
    <xf numFmtId="40" fontId="108" fillId="0" borderId="0" xfId="0" applyNumberFormat="1" applyFont="1"/>
    <xf numFmtId="37" fontId="108" fillId="0" borderId="0" xfId="0" applyNumberFormat="1" applyFont="1" applyFill="1"/>
    <xf numFmtId="37" fontId="108" fillId="0" borderId="0" xfId="1049" applyNumberFormat="1" applyFont="1" applyFill="1"/>
    <xf numFmtId="37" fontId="108" fillId="0" borderId="12" xfId="0" applyNumberFormat="1" applyFont="1" applyFill="1" applyBorder="1"/>
    <xf numFmtId="37" fontId="108" fillId="0" borderId="0" xfId="0" applyNumberFormat="1" applyFont="1" applyFill="1" applyBorder="1"/>
    <xf numFmtId="37" fontId="108" fillId="0" borderId="0" xfId="1049" applyNumberFormat="1" applyFont="1" applyFill="1" applyBorder="1"/>
    <xf numFmtId="43" fontId="108" fillId="0" borderId="0" xfId="588" applyFont="1" applyFill="1" applyBorder="1"/>
    <xf numFmtId="37" fontId="108" fillId="0" borderId="12" xfId="1049" applyNumberFormat="1" applyFont="1" applyFill="1" applyBorder="1"/>
    <xf numFmtId="39" fontId="108" fillId="0" borderId="0" xfId="0" applyNumberFormat="1" applyFont="1" applyFill="1"/>
    <xf numFmtId="39" fontId="109" fillId="0" borderId="0" xfId="0" applyNumberFormat="1" applyFont="1" applyFill="1"/>
    <xf numFmtId="37" fontId="109" fillId="0" borderId="12" xfId="0" applyNumberFormat="1" applyFont="1" applyFill="1" applyBorder="1"/>
    <xf numFmtId="37" fontId="109" fillId="0" borderId="0" xfId="0" applyNumberFormat="1" applyFont="1" applyFill="1"/>
    <xf numFmtId="37" fontId="109" fillId="0" borderId="0" xfId="0" applyNumberFormat="1" applyFont="1" applyFill="1" applyBorder="1"/>
    <xf numFmtId="38" fontId="108" fillId="0" borderId="0" xfId="0" applyNumberFormat="1" applyFont="1" applyFill="1"/>
    <xf numFmtId="41" fontId="109" fillId="0" borderId="0" xfId="1049" applyNumberFormat="1" applyFont="1" applyFill="1"/>
    <xf numFmtId="37" fontId="108" fillId="0" borderId="16" xfId="0" applyNumberFormat="1" applyFont="1" applyFill="1" applyBorder="1"/>
    <xf numFmtId="37" fontId="109" fillId="0" borderId="14" xfId="0" applyNumberFormat="1" applyFont="1" applyFill="1" applyBorder="1"/>
    <xf numFmtId="39" fontId="109" fillId="0" borderId="0" xfId="0" quotePrefix="1" applyNumberFormat="1" applyFont="1" applyFill="1" applyAlignment="1">
      <alignment horizontal="center" wrapText="1"/>
    </xf>
    <xf numFmtId="39" fontId="109" fillId="0" borderId="0" xfId="0" applyNumberFormat="1" applyFont="1" applyFill="1" applyAlignment="1">
      <alignment horizontal="center"/>
    </xf>
    <xf numFmtId="39" fontId="108" fillId="0" borderId="0" xfId="0" applyNumberFormat="1" applyFont="1"/>
    <xf numFmtId="37" fontId="108" fillId="0" borderId="0" xfId="0" applyNumberFormat="1" applyFont="1"/>
    <xf numFmtId="37" fontId="108" fillId="0" borderId="14" xfId="0" applyNumberFormat="1" applyFont="1" applyFill="1" applyBorder="1"/>
    <xf numFmtId="37" fontId="108" fillId="0" borderId="14" xfId="0" applyNumberFormat="1" applyFont="1" applyBorder="1"/>
    <xf numFmtId="0" fontId="109" fillId="0" borderId="0" xfId="0" applyFont="1" applyAlignment="1"/>
    <xf numFmtId="38" fontId="109" fillId="0" borderId="0" xfId="0" applyNumberFormat="1" applyFont="1" applyFill="1"/>
    <xf numFmtId="40" fontId="109" fillId="0" borderId="0" xfId="0" applyNumberFormat="1" applyFont="1" applyFill="1"/>
    <xf numFmtId="165" fontId="108" fillId="0" borderId="0" xfId="3" applyNumberFormat="1" applyFont="1" applyFill="1" applyAlignment="1">
      <alignment horizontal="right"/>
    </xf>
    <xf numFmtId="165" fontId="108" fillId="0" borderId="0" xfId="3" applyNumberFormat="1" applyFont="1" applyFill="1" applyAlignment="1">
      <alignment horizontal="left" indent="7"/>
    </xf>
    <xf numFmtId="165" fontId="108" fillId="0" borderId="0" xfId="3" applyNumberFormat="1" applyFont="1" applyFill="1" applyAlignment="1">
      <alignment horizontal="left" indent="8"/>
    </xf>
    <xf numFmtId="43" fontId="108" fillId="0" borderId="0" xfId="4735" applyFont="1" applyFill="1"/>
    <xf numFmtId="165" fontId="109" fillId="0" borderId="0" xfId="4735" applyNumberFormat="1" applyFont="1" applyFill="1"/>
    <xf numFmtId="165" fontId="108" fillId="0" borderId="0" xfId="4735" applyNumberFormat="1" applyFont="1" applyFill="1"/>
    <xf numFmtId="165" fontId="108" fillId="0" borderId="0" xfId="4735" applyNumberFormat="1" applyFont="1" applyFill="1" applyBorder="1"/>
    <xf numFmtId="165" fontId="108" fillId="0" borderId="0" xfId="1049" applyNumberFormat="1" applyFont="1"/>
    <xf numFmtId="165" fontId="108" fillId="0" borderId="0" xfId="1049" quotePrefix="1" applyNumberFormat="1" applyFont="1" applyAlignment="1">
      <alignment horizontal="left"/>
    </xf>
    <xf numFmtId="38" fontId="108" fillId="0" borderId="0" xfId="0" applyNumberFormat="1" applyFont="1"/>
    <xf numFmtId="165" fontId="108" fillId="0" borderId="0" xfId="1049" applyNumberFormat="1" applyFont="1" applyAlignment="1">
      <alignment horizontal="center"/>
    </xf>
    <xf numFmtId="43" fontId="108" fillId="0" borderId="0" xfId="1049" applyFont="1"/>
    <xf numFmtId="165" fontId="108" fillId="0" borderId="0" xfId="588" applyNumberFormat="1" applyFont="1" applyFill="1"/>
    <xf numFmtId="165" fontId="108" fillId="0" borderId="0" xfId="588" applyNumberFormat="1" applyFont="1" applyFill="1" applyBorder="1"/>
    <xf numFmtId="38" fontId="109" fillId="0" borderId="44" xfId="0" applyNumberFormat="1" applyFont="1" applyFill="1" applyBorder="1"/>
    <xf numFmtId="165" fontId="109" fillId="0" borderId="0" xfId="1049" applyNumberFormat="1" applyFont="1"/>
    <xf numFmtId="0" fontId="115" fillId="0" borderId="0" xfId="0" applyFont="1"/>
    <xf numFmtId="165" fontId="108" fillId="0" borderId="12" xfId="4735" applyNumberFormat="1" applyFont="1" applyFill="1" applyBorder="1"/>
    <xf numFmtId="0" fontId="108" fillId="0" borderId="0" xfId="0" applyFont="1" applyFill="1" applyBorder="1"/>
    <xf numFmtId="166" fontId="108" fillId="0" borderId="0" xfId="4737" applyFont="1" applyFill="1"/>
    <xf numFmtId="41" fontId="127" fillId="0" borderId="0" xfId="1" applyFont="1"/>
    <xf numFmtId="0" fontId="53" fillId="0" borderId="0" xfId="2479"/>
    <xf numFmtId="0" fontId="128" fillId="0" borderId="17" xfId="2699" applyFont="1" applyBorder="1"/>
    <xf numFmtId="216" fontId="0" fillId="0" borderId="17" xfId="604" applyNumberFormat="1" applyFont="1" applyBorder="1"/>
    <xf numFmtId="9" fontId="0" fillId="0" borderId="17" xfId="4123" applyFont="1" applyBorder="1" applyAlignment="1">
      <alignment horizontal="center"/>
    </xf>
    <xf numFmtId="41" fontId="53" fillId="0" borderId="0" xfId="1" applyFont="1"/>
    <xf numFmtId="0" fontId="128" fillId="0" borderId="47" xfId="2699" applyFont="1" applyBorder="1"/>
    <xf numFmtId="216" fontId="0" fillId="0" borderId="47" xfId="604" applyNumberFormat="1" applyFont="1" applyBorder="1"/>
    <xf numFmtId="9" fontId="0" fillId="0" borderId="47" xfId="4123" applyFont="1" applyBorder="1" applyAlignment="1">
      <alignment horizontal="center"/>
    </xf>
    <xf numFmtId="216" fontId="128" fillId="0" borderId="47" xfId="604" applyNumberFormat="1" applyFont="1" applyBorder="1" applyAlignment="1">
      <alignment horizontal="center"/>
    </xf>
    <xf numFmtId="9" fontId="128" fillId="0" borderId="47" xfId="4123" applyFont="1" applyBorder="1" applyAlignment="1">
      <alignment horizontal="center"/>
    </xf>
    <xf numFmtId="0" fontId="128" fillId="0" borderId="18" xfId="2699" applyFont="1" applyBorder="1"/>
    <xf numFmtId="0" fontId="128" fillId="0" borderId="0" xfId="2699" applyFont="1" applyBorder="1"/>
    <xf numFmtId="202" fontId="128" fillId="0" borderId="0" xfId="4123" applyNumberFormat="1" applyFont="1" applyBorder="1" applyAlignment="1">
      <alignment horizontal="right"/>
    </xf>
    <xf numFmtId="0" fontId="53" fillId="0" borderId="0" xfId="2479" applyBorder="1"/>
    <xf numFmtId="216" fontId="6" fillId="0" borderId="17" xfId="604" applyNumberFormat="1" applyFont="1" applyBorder="1"/>
    <xf numFmtId="216" fontId="128" fillId="0" borderId="18" xfId="604" applyNumberFormat="1" applyFont="1" applyBorder="1" applyAlignment="1">
      <alignment horizontal="center"/>
    </xf>
    <xf numFmtId="9" fontId="128" fillId="0" borderId="18" xfId="4123" applyFont="1" applyBorder="1" applyAlignment="1">
      <alignment horizontal="center"/>
    </xf>
    <xf numFmtId="0" fontId="124" fillId="0" borderId="0" xfId="2479" applyFont="1" applyBorder="1"/>
    <xf numFmtId="0" fontId="124" fillId="0" borderId="0" xfId="2479" applyFont="1" applyBorder="1" applyAlignment="1">
      <alignment horizontal="center"/>
    </xf>
    <xf numFmtId="0" fontId="126" fillId="0" borderId="0" xfId="2699" applyFont="1" applyBorder="1"/>
    <xf numFmtId="9" fontId="126" fillId="0" borderId="0" xfId="2479" applyNumberFormat="1" applyFont="1" applyBorder="1"/>
    <xf numFmtId="9" fontId="128" fillId="0" borderId="18" xfId="4123" applyNumberFormat="1" applyFont="1" applyBorder="1" applyAlignment="1">
      <alignment horizontal="right"/>
    </xf>
    <xf numFmtId="0" fontId="109" fillId="0" borderId="0" xfId="0" applyFont="1" applyFill="1"/>
    <xf numFmtId="165" fontId="109" fillId="0" borderId="14" xfId="4735" applyNumberFormat="1" applyFont="1" applyFill="1" applyBorder="1"/>
    <xf numFmtId="165" fontId="108" fillId="0" borderId="0" xfId="0" applyNumberFormat="1" applyFont="1" applyFill="1"/>
    <xf numFmtId="165" fontId="108" fillId="0" borderId="15" xfId="4735" applyNumberFormat="1" applyFont="1" applyFill="1" applyBorder="1"/>
    <xf numFmtId="0" fontId="108" fillId="0" borderId="31" xfId="0" applyFont="1" applyFill="1" applyBorder="1"/>
    <xf numFmtId="0" fontId="108" fillId="0" borderId="12" xfId="0" applyFont="1" applyFill="1" applyBorder="1"/>
    <xf numFmtId="43" fontId="108" fillId="0" borderId="12" xfId="4735" applyFont="1" applyFill="1" applyBorder="1"/>
    <xf numFmtId="165" fontId="109" fillId="0" borderId="0" xfId="0" applyNumberFormat="1" applyFont="1" applyFill="1" applyBorder="1"/>
    <xf numFmtId="165" fontId="109" fillId="0" borderId="44" xfId="0" applyNumberFormat="1" applyFont="1" applyFill="1" applyBorder="1"/>
    <xf numFmtId="0" fontId="108" fillId="0" borderId="0" xfId="0" applyFont="1" applyFill="1" applyAlignment="1">
      <alignment horizontal="left"/>
    </xf>
    <xf numFmtId="166" fontId="117" fillId="0" borderId="0" xfId="4737" applyFont="1" applyFill="1" applyAlignment="1">
      <alignment horizontal="justify" vertical="center"/>
    </xf>
    <xf numFmtId="166" fontId="118" fillId="0" borderId="0" xfId="4737" applyFont="1" applyFill="1" applyAlignment="1">
      <alignment horizontal="right" vertical="center" indent="4"/>
    </xf>
    <xf numFmtId="166" fontId="117" fillId="0" borderId="0" xfId="4737" applyFont="1" applyFill="1" applyAlignment="1">
      <alignment horizontal="right" vertical="center" indent="4"/>
    </xf>
    <xf numFmtId="166" fontId="117" fillId="0" borderId="0" xfId="4737" applyFont="1" applyFill="1" applyAlignment="1">
      <alignment horizontal="center" vertical="center"/>
    </xf>
    <xf numFmtId="166" fontId="119" fillId="0" borderId="0" xfId="4737" applyFont="1" applyFill="1" applyAlignment="1">
      <alignment vertical="center"/>
    </xf>
    <xf numFmtId="166" fontId="120" fillId="0" borderId="0" xfId="4737" applyFont="1" applyFill="1" applyAlignment="1">
      <alignment vertical="center"/>
    </xf>
    <xf numFmtId="166" fontId="119" fillId="0" borderId="0" xfId="4737" applyFont="1" applyFill="1" applyAlignment="1">
      <alignment horizontal="center" vertical="center"/>
    </xf>
    <xf numFmtId="166" fontId="121" fillId="0" borderId="0" xfId="4737" applyFont="1" applyFill="1" applyAlignment="1">
      <alignment horizontal="right" vertical="center" indent="4"/>
    </xf>
    <xf numFmtId="166" fontId="122" fillId="0" borderId="0" xfId="4737" applyFont="1" applyFill="1" applyAlignment="1">
      <alignment horizontal="right" vertical="center" indent="4"/>
    </xf>
    <xf numFmtId="166" fontId="114" fillId="0" borderId="0" xfId="4737" applyFont="1" applyFill="1"/>
    <xf numFmtId="166" fontId="117" fillId="0" borderId="0" xfId="4737" applyFont="1" applyFill="1"/>
    <xf numFmtId="166" fontId="123" fillId="0" borderId="0" xfId="4737" applyFont="1" applyFill="1"/>
    <xf numFmtId="166" fontId="108" fillId="0" borderId="0" xfId="4737" quotePrefix="1" applyFont="1" applyFill="1"/>
    <xf numFmtId="166" fontId="108" fillId="0" borderId="0" xfId="4737" applyFont="1" applyFill="1" applyAlignment="1"/>
    <xf numFmtId="165" fontId="129" fillId="0" borderId="0" xfId="4735" applyNumberFormat="1" applyFont="1" applyFill="1"/>
    <xf numFmtId="0" fontId="125" fillId="34" borderId="27" xfId="2479" applyFont="1" applyFill="1" applyBorder="1" applyAlignment="1">
      <alignment horizontal="center"/>
    </xf>
    <xf numFmtId="0" fontId="125" fillId="34" borderId="17" xfId="2479" applyFont="1" applyFill="1" applyBorder="1" applyAlignment="1">
      <alignment horizontal="center"/>
    </xf>
    <xf numFmtId="215" fontId="125" fillId="34" borderId="27" xfId="2479" applyNumberFormat="1" applyFont="1" applyFill="1" applyBorder="1" applyAlignment="1">
      <alignment horizontal="center"/>
    </xf>
    <xf numFmtId="0" fontId="125" fillId="34" borderId="18" xfId="2479" applyFont="1" applyFill="1" applyBorder="1" applyAlignment="1">
      <alignment horizontal="center"/>
    </xf>
    <xf numFmtId="0" fontId="108" fillId="0" borderId="0" xfId="2" applyFont="1"/>
    <xf numFmtId="0" fontId="109" fillId="0" borderId="0" xfId="2" applyFont="1" applyFill="1" applyBorder="1" applyAlignment="1">
      <alignment vertical="center"/>
    </xf>
    <xf numFmtId="0" fontId="108" fillId="0" borderId="0" xfId="2" applyFont="1" applyAlignment="1"/>
    <xf numFmtId="217" fontId="109" fillId="0" borderId="12" xfId="4" applyNumberFormat="1" applyFont="1" applyFill="1" applyBorder="1" applyAlignment="1">
      <alignment horizontal="center"/>
    </xf>
    <xf numFmtId="0" fontId="109" fillId="0" borderId="0" xfId="2" applyFont="1" applyAlignment="1"/>
    <xf numFmtId="41" fontId="108" fillId="0" borderId="0" xfId="1" applyFont="1"/>
    <xf numFmtId="41" fontId="109" fillId="0" borderId="0" xfId="1" applyFont="1" applyFill="1"/>
    <xf numFmtId="41" fontId="108" fillId="0" borderId="0" xfId="1" applyFont="1" applyFill="1"/>
    <xf numFmtId="0" fontId="108" fillId="0" borderId="0" xfId="2" applyFont="1" applyAlignment="1">
      <alignment horizontal="left"/>
    </xf>
    <xf numFmtId="41" fontId="108" fillId="0" borderId="12" xfId="1" applyFont="1" applyBorder="1"/>
    <xf numFmtId="0" fontId="108" fillId="0" borderId="0" xfId="2" applyFont="1" applyAlignment="1">
      <alignment horizontal="left" indent="2"/>
    </xf>
    <xf numFmtId="41" fontId="108" fillId="0" borderId="0" xfId="1" applyFont="1" applyFill="1" applyBorder="1" applyAlignment="1">
      <alignment vertical="center"/>
    </xf>
    <xf numFmtId="0" fontId="110" fillId="0" borderId="0" xfId="2" applyFont="1"/>
    <xf numFmtId="41" fontId="114" fillId="0" borderId="0" xfId="1" applyFont="1" applyFill="1" applyBorder="1" applyAlignment="1">
      <alignment vertical="center"/>
    </xf>
    <xf numFmtId="0" fontId="108" fillId="0" borderId="0" xfId="2" quotePrefix="1" applyFont="1"/>
    <xf numFmtId="0" fontId="110" fillId="0" borderId="0" xfId="2" quotePrefix="1" applyFont="1"/>
    <xf numFmtId="0" fontId="108" fillId="0" borderId="0" xfId="2" quotePrefix="1" applyFont="1" applyBorder="1"/>
    <xf numFmtId="41" fontId="108" fillId="0" borderId="0" xfId="1" applyFont="1" applyBorder="1"/>
    <xf numFmtId="0" fontId="108" fillId="0" borderId="0" xfId="2" quotePrefix="1" applyFont="1" applyBorder="1" applyAlignment="1">
      <alignment horizontal="right"/>
    </xf>
    <xf numFmtId="41" fontId="30" fillId="0" borderId="0" xfId="1" applyFont="1" applyFill="1" applyAlignment="1">
      <alignment horizontal="left"/>
    </xf>
    <xf numFmtId="0" fontId="108" fillId="0" borderId="0" xfId="2" quotePrefix="1" applyFont="1" applyBorder="1" applyAlignment="1">
      <alignment horizontal="left" indent="13"/>
    </xf>
    <xf numFmtId="0" fontId="108" fillId="0" borderId="0" xfId="2" applyFont="1" applyAlignment="1">
      <alignment horizontal="right"/>
    </xf>
    <xf numFmtId="0" fontId="30" fillId="0" borderId="0" xfId="2" applyFont="1" applyFill="1" applyAlignment="1">
      <alignment horizontal="left"/>
    </xf>
    <xf numFmtId="0" fontId="30" fillId="0" borderId="0" xfId="2" applyFont="1" applyFill="1" applyAlignment="1">
      <alignment horizontal="left" indent="1"/>
    </xf>
    <xf numFmtId="0" fontId="108" fillId="0" borderId="0" xfId="2" applyFont="1" applyAlignment="1">
      <alignment horizontal="right" indent="1"/>
    </xf>
    <xf numFmtId="0" fontId="108" fillId="0" borderId="41" xfId="2" applyFont="1" applyBorder="1" applyAlignment="1"/>
    <xf numFmtId="0" fontId="108" fillId="0" borderId="0" xfId="2" applyFont="1" applyBorder="1"/>
    <xf numFmtId="41" fontId="108" fillId="0" borderId="0" xfId="1" applyFont="1" applyFill="1" applyBorder="1"/>
    <xf numFmtId="0" fontId="30" fillId="0" borderId="0" xfId="2" applyFont="1" applyFill="1" applyBorder="1" applyAlignment="1">
      <alignment horizontal="left"/>
    </xf>
    <xf numFmtId="41" fontId="108" fillId="0" borderId="12" xfId="1" applyFont="1" applyFill="1" applyBorder="1"/>
    <xf numFmtId="0" fontId="108" fillId="0" borderId="0" xfId="2" applyFont="1" applyBorder="1" applyAlignment="1"/>
    <xf numFmtId="0" fontId="108" fillId="0" borderId="0" xfId="2" applyFont="1" applyBorder="1" applyAlignment="1">
      <alignment horizontal="right"/>
    </xf>
    <xf numFmtId="41" fontId="30" fillId="0" borderId="0" xfId="1" applyFont="1" applyFill="1" applyBorder="1" applyAlignment="1">
      <alignment horizontal="left"/>
    </xf>
    <xf numFmtId="41" fontId="30" fillId="0" borderId="12" xfId="1" applyFont="1" applyFill="1" applyBorder="1" applyAlignment="1">
      <alignment horizontal="left"/>
    </xf>
    <xf numFmtId="0" fontId="109" fillId="0" borderId="0" xfId="2" applyFont="1" applyBorder="1" applyAlignment="1">
      <alignment horizontal="right"/>
    </xf>
    <xf numFmtId="41" fontId="108" fillId="0" borderId="44" xfId="1" applyFont="1" applyBorder="1"/>
    <xf numFmtId="41" fontId="108" fillId="0" borderId="44" xfId="1" applyFont="1" applyFill="1" applyBorder="1"/>
    <xf numFmtId="0" fontId="109" fillId="0" borderId="44" xfId="2" applyFont="1" applyBorder="1" applyAlignment="1"/>
    <xf numFmtId="0" fontId="108" fillId="0" borderId="44" xfId="2" applyFont="1" applyBorder="1"/>
    <xf numFmtId="41" fontId="129" fillId="0" borderId="0" xfId="1" applyFont="1"/>
    <xf numFmtId="41" fontId="109" fillId="0" borderId="20" xfId="1" applyFont="1" applyFill="1" applyBorder="1" applyAlignment="1">
      <alignment horizontal="center"/>
    </xf>
    <xf numFmtId="41" fontId="109" fillId="0" borderId="21" xfId="1" applyFont="1" applyFill="1" applyBorder="1" applyAlignment="1">
      <alignment horizontal="center"/>
    </xf>
    <xf numFmtId="41" fontId="109" fillId="0" borderId="22" xfId="1" applyFont="1" applyFill="1" applyBorder="1" applyAlignment="1">
      <alignment horizontal="center"/>
    </xf>
    <xf numFmtId="41" fontId="109" fillId="0" borderId="23" xfId="1" applyFont="1" applyFill="1" applyBorder="1" applyAlignment="1">
      <alignment horizontal="center"/>
    </xf>
    <xf numFmtId="165" fontId="108" fillId="0" borderId="52" xfId="3" applyNumberFormat="1" applyFont="1" applyFill="1" applyBorder="1" applyAlignment="1"/>
    <xf numFmtId="0" fontId="108" fillId="0" borderId="53" xfId="2" applyFont="1" applyBorder="1"/>
    <xf numFmtId="0" fontId="108" fillId="0" borderId="56" xfId="2" applyFont="1" applyBorder="1"/>
    <xf numFmtId="41" fontId="108" fillId="0" borderId="49" xfId="1" applyFont="1" applyFill="1" applyBorder="1"/>
    <xf numFmtId="41" fontId="108" fillId="0" borderId="59" xfId="1" applyFont="1" applyFill="1" applyBorder="1"/>
    <xf numFmtId="165" fontId="108" fillId="0" borderId="54" xfId="3" applyNumberFormat="1" applyFont="1" applyFill="1" applyBorder="1" applyAlignment="1"/>
    <xf numFmtId="0" fontId="108" fillId="0" borderId="55" xfId="2" applyFont="1" applyBorder="1"/>
    <xf numFmtId="0" fontId="108" fillId="0" borderId="57" xfId="2" applyFont="1" applyBorder="1"/>
    <xf numFmtId="41" fontId="108" fillId="0" borderId="50" xfId="1" applyFont="1" applyFill="1" applyBorder="1"/>
    <xf numFmtId="41" fontId="108" fillId="0" borderId="60" xfId="1" applyFont="1" applyFill="1" applyBorder="1"/>
    <xf numFmtId="165" fontId="109" fillId="0" borderId="51" xfId="3" applyNumberFormat="1" applyFont="1" applyFill="1" applyBorder="1" applyAlignment="1"/>
    <xf numFmtId="0" fontId="108" fillId="0" borderId="30" xfId="2" applyFont="1" applyBorder="1"/>
    <xf numFmtId="41" fontId="109" fillId="0" borderId="25" xfId="1" applyFont="1" applyFill="1" applyBorder="1"/>
    <xf numFmtId="41" fontId="109" fillId="0" borderId="58" xfId="1" applyFont="1" applyFill="1" applyBorder="1"/>
    <xf numFmtId="165" fontId="109" fillId="0" borderId="0" xfId="3" applyNumberFormat="1" applyFont="1" applyFill="1" applyBorder="1" applyAlignment="1"/>
    <xf numFmtId="41" fontId="109" fillId="0" borderId="0" xfId="1" applyFont="1" applyFill="1" applyBorder="1"/>
    <xf numFmtId="0" fontId="109" fillId="0" borderId="44" xfId="2" applyFont="1" applyBorder="1"/>
    <xf numFmtId="41" fontId="109" fillId="0" borderId="44" xfId="1" applyFont="1" applyBorder="1"/>
    <xf numFmtId="0" fontId="109" fillId="0" borderId="0" xfId="2" applyFont="1" applyBorder="1" applyAlignment="1"/>
    <xf numFmtId="0" fontId="109" fillId="0" borderId="0" xfId="2" applyFont="1" applyBorder="1"/>
    <xf numFmtId="41" fontId="109" fillId="0" borderId="0" xfId="1" applyFont="1" applyBorder="1"/>
    <xf numFmtId="0" fontId="109" fillId="0" borderId="0" xfId="2" applyFont="1" applyFill="1" applyAlignment="1"/>
    <xf numFmtId="0" fontId="30" fillId="0" borderId="0" xfId="2" applyFont="1" applyFill="1" applyBorder="1" applyAlignment="1"/>
    <xf numFmtId="0" fontId="108" fillId="0" borderId="0" xfId="2" applyFont="1" applyFill="1" applyAlignment="1"/>
    <xf numFmtId="0" fontId="30" fillId="0" borderId="0" xfId="2" applyFont="1" applyFill="1" applyAlignment="1"/>
    <xf numFmtId="41" fontId="108" fillId="0" borderId="0" xfId="2" applyNumberFormat="1" applyFont="1" applyFill="1"/>
    <xf numFmtId="0" fontId="131" fillId="0" borderId="0" xfId="7325" applyFont="1" applyAlignment="1">
      <alignment horizontal="left" indent="1"/>
    </xf>
    <xf numFmtId="0" fontId="131" fillId="0" borderId="0" xfId="7325" applyFont="1" applyFill="1"/>
    <xf numFmtId="0" fontId="132" fillId="0" borderId="0" xfId="7325" applyFont="1" applyFill="1"/>
    <xf numFmtId="165" fontId="131" fillId="0" borderId="0" xfId="7326" applyNumberFormat="1" applyFont="1" applyFill="1"/>
    <xf numFmtId="41" fontId="131" fillId="0" borderId="0" xfId="7325" applyNumberFormat="1" applyFont="1" applyFill="1"/>
    <xf numFmtId="9" fontId="131" fillId="0" borderId="0" xfId="7327" applyFont="1" applyFill="1"/>
    <xf numFmtId="0" fontId="131" fillId="0" borderId="0" xfId="7325" applyFont="1"/>
    <xf numFmtId="0" fontId="133" fillId="0" borderId="39" xfId="7325" applyFont="1" applyBorder="1" applyAlignment="1">
      <alignment horizontal="left" indent="1"/>
    </xf>
    <xf numFmtId="165" fontId="131" fillId="0" borderId="0" xfId="7326" applyNumberFormat="1" applyFont="1" applyAlignment="1">
      <alignment horizontal="left" indent="1"/>
    </xf>
    <xf numFmtId="41" fontId="131" fillId="0" borderId="0" xfId="7328" applyFont="1" applyFill="1"/>
    <xf numFmtId="165" fontId="134" fillId="0" borderId="0" xfId="7326" applyNumberFormat="1" applyFont="1" applyFill="1" applyBorder="1"/>
    <xf numFmtId="165" fontId="131" fillId="0" borderId="0" xfId="7327" applyNumberFormat="1" applyFont="1" applyFill="1"/>
    <xf numFmtId="165" fontId="134" fillId="0" borderId="0" xfId="7326" applyNumberFormat="1" applyFont="1" applyFill="1"/>
    <xf numFmtId="43" fontId="131" fillId="0" borderId="0" xfId="7326" applyFont="1" applyFill="1"/>
    <xf numFmtId="3" fontId="131" fillId="0" borderId="0" xfId="7325" applyNumberFormat="1" applyFont="1" applyAlignment="1">
      <alignment vertical="top" wrapText="1"/>
    </xf>
    <xf numFmtId="165" fontId="134" fillId="0" borderId="0" xfId="7326" applyNumberFormat="1" applyFont="1" applyFill="1" applyAlignment="1">
      <alignment vertical="top" wrapText="1"/>
    </xf>
    <xf numFmtId="0" fontId="133" fillId="0" borderId="0" xfId="7325" applyFont="1" applyBorder="1" applyAlignment="1">
      <alignment horizontal="left" indent="1"/>
    </xf>
    <xf numFmtId="41" fontId="131" fillId="34" borderId="0" xfId="7328" applyFont="1" applyFill="1"/>
    <xf numFmtId="41" fontId="134" fillId="0" borderId="0" xfId="7328" applyFont="1" applyFill="1"/>
    <xf numFmtId="0" fontId="131" fillId="34" borderId="0" xfId="7325" applyFont="1" applyFill="1" applyAlignment="1">
      <alignment horizontal="left" indent="1"/>
    </xf>
    <xf numFmtId="43" fontId="131" fillId="0" borderId="0" xfId="7325" applyNumberFormat="1" applyFont="1" applyFill="1"/>
    <xf numFmtId="9" fontId="135" fillId="0" borderId="0" xfId="7327" applyFont="1" applyFill="1"/>
    <xf numFmtId="9" fontId="134" fillId="0" borderId="0" xfId="5" applyFont="1"/>
    <xf numFmtId="41" fontId="131" fillId="53" borderId="0" xfId="7328" applyFont="1" applyFill="1"/>
    <xf numFmtId="41" fontId="132" fillId="0" borderId="0" xfId="7328" applyFont="1" applyFill="1"/>
    <xf numFmtId="41" fontId="131" fillId="54" borderId="0" xfId="7328" applyFont="1" applyFill="1"/>
    <xf numFmtId="41" fontId="133" fillId="53" borderId="0" xfId="7328" applyFont="1" applyFill="1"/>
    <xf numFmtId="41" fontId="136" fillId="0" borderId="0" xfId="7328" applyFont="1" applyFill="1"/>
    <xf numFmtId="9" fontId="136" fillId="0" borderId="0" xfId="7327" applyFont="1" applyFill="1"/>
    <xf numFmtId="0" fontId="131" fillId="0" borderId="0" xfId="7325" applyFont="1" applyAlignment="1">
      <alignment horizontal="center"/>
    </xf>
    <xf numFmtId="165" fontId="131" fillId="0" borderId="0" xfId="7326" applyNumberFormat="1" applyFont="1" applyFill="1" applyAlignment="1">
      <alignment horizontal="center"/>
    </xf>
    <xf numFmtId="0" fontId="131" fillId="0" borderId="61" xfId="7325" applyFont="1" applyFill="1" applyBorder="1" applyAlignment="1">
      <alignment horizontal="center"/>
    </xf>
    <xf numFmtId="0" fontId="134" fillId="0" borderId="61" xfId="7325" applyFont="1" applyFill="1" applyBorder="1" applyAlignment="1">
      <alignment horizontal="center"/>
    </xf>
    <xf numFmtId="43" fontId="133" fillId="0" borderId="61" xfId="7326" applyFont="1" applyFill="1" applyBorder="1" applyAlignment="1">
      <alignment horizontal="center"/>
    </xf>
    <xf numFmtId="9" fontId="133" fillId="0" borderId="0" xfId="7327" applyFont="1" applyFill="1" applyAlignment="1"/>
    <xf numFmtId="0" fontId="133" fillId="34" borderId="0" xfId="7325" applyFont="1" applyFill="1" applyAlignment="1"/>
    <xf numFmtId="0" fontId="137" fillId="0" borderId="0" xfId="7325" applyFont="1" applyFill="1" applyBorder="1" applyAlignment="1">
      <alignment horizontal="left" indent="1"/>
    </xf>
    <xf numFmtId="218" fontId="137" fillId="0" borderId="0" xfId="7326" quotePrefix="1" applyNumberFormat="1" applyFont="1" applyFill="1" applyBorder="1" applyAlignment="1">
      <alignment horizontal="center"/>
    </xf>
    <xf numFmtId="218" fontId="137" fillId="0" borderId="18" xfId="7326" quotePrefix="1" applyNumberFormat="1" applyFont="1" applyFill="1" applyBorder="1" applyAlignment="1">
      <alignment horizontal="center"/>
    </xf>
    <xf numFmtId="215" fontId="137" fillId="0" borderId="18" xfId="7326" quotePrefix="1" applyNumberFormat="1" applyFont="1" applyFill="1" applyBorder="1" applyAlignment="1">
      <alignment horizontal="center"/>
    </xf>
    <xf numFmtId="0" fontId="134" fillId="0" borderId="18" xfId="7325" applyFont="1" applyFill="1" applyBorder="1" applyAlignment="1">
      <alignment horizontal="center"/>
    </xf>
    <xf numFmtId="215" fontId="134" fillId="0" borderId="39" xfId="7326" applyNumberFormat="1" applyFont="1" applyFill="1" applyBorder="1" applyAlignment="1">
      <alignment horizontal="center"/>
    </xf>
    <xf numFmtId="215" fontId="134" fillId="0" borderId="39" xfId="7326" quotePrefix="1" applyNumberFormat="1" applyFont="1" applyFill="1" applyBorder="1" applyAlignment="1">
      <alignment horizontal="center"/>
    </xf>
    <xf numFmtId="9" fontId="137" fillId="0" borderId="0" xfId="7327" applyFont="1" applyFill="1" applyBorder="1" applyAlignment="1">
      <alignment horizontal="center"/>
    </xf>
    <xf numFmtId="218" fontId="137" fillId="34" borderId="0" xfId="7326" quotePrefix="1" applyNumberFormat="1" applyFont="1" applyFill="1" applyBorder="1" applyAlignment="1">
      <alignment horizontal="center"/>
    </xf>
    <xf numFmtId="0" fontId="131" fillId="0" borderId="0" xfId="7325" applyFont="1" applyFill="1" applyBorder="1"/>
    <xf numFmtId="0" fontId="131" fillId="0" borderId="0" xfId="7325" applyFont="1" applyBorder="1"/>
    <xf numFmtId="165" fontId="134" fillId="0" borderId="0" xfId="7326" applyNumberFormat="1" applyFont="1" applyFill="1" applyBorder="1" applyAlignment="1">
      <alignment horizontal="center"/>
    </xf>
    <xf numFmtId="215" fontId="134" fillId="0" borderId="0" xfId="7326" applyNumberFormat="1" applyFont="1" applyFill="1" applyBorder="1" applyAlignment="1">
      <alignment horizontal="center"/>
    </xf>
    <xf numFmtId="215" fontId="134" fillId="0" borderId="0" xfId="7326" quotePrefix="1" applyNumberFormat="1" applyFont="1" applyFill="1" applyBorder="1" applyAlignment="1">
      <alignment horizontal="center"/>
    </xf>
    <xf numFmtId="9" fontId="134" fillId="0" borderId="0" xfId="7327" applyFont="1" applyFill="1" applyBorder="1" applyAlignment="1">
      <alignment horizontal="center"/>
    </xf>
    <xf numFmtId="0" fontId="136" fillId="0" borderId="0" xfId="7325" applyFont="1" applyFill="1" applyBorder="1" applyAlignment="1">
      <alignment horizontal="left" indent="1"/>
    </xf>
    <xf numFmtId="4" fontId="128" fillId="0" borderId="0" xfId="7325" applyNumberFormat="1" applyFont="1" applyAlignment="1">
      <alignment vertical="top" wrapText="1"/>
    </xf>
    <xf numFmtId="0" fontId="3" fillId="0" borderId="0" xfId="7325" applyAlignment="1">
      <alignment vertical="top" wrapText="1"/>
    </xf>
    <xf numFmtId="165" fontId="137" fillId="0" borderId="0" xfId="7326" applyNumberFormat="1" applyFont="1" applyFill="1" applyBorder="1"/>
    <xf numFmtId="9" fontId="137" fillId="0" borderId="0" xfId="7327" applyFont="1" applyFill="1" applyBorder="1"/>
    <xf numFmtId="202" fontId="137" fillId="0" borderId="0" xfId="7327" applyNumberFormat="1" applyFont="1" applyFill="1" applyBorder="1"/>
    <xf numFmtId="0" fontId="134" fillId="0" borderId="0" xfId="7325" applyFont="1" applyFill="1" applyBorder="1" applyAlignment="1">
      <alignment horizontal="left" indent="1"/>
    </xf>
    <xf numFmtId="41" fontId="134" fillId="0" borderId="0" xfId="7328" applyFont="1" applyFill="1" applyBorder="1" applyAlignment="1">
      <alignment horizontal="left" indent="1"/>
    </xf>
    <xf numFmtId="9" fontId="134" fillId="0" borderId="0" xfId="7327" applyFont="1" applyFill="1" applyBorder="1"/>
    <xf numFmtId="202" fontId="134" fillId="0" borderId="0" xfId="7327" applyNumberFormat="1" applyFont="1" applyFill="1" applyBorder="1"/>
    <xf numFmtId="0" fontId="137" fillId="0" borderId="38" xfId="7325" applyFont="1" applyFill="1" applyBorder="1" applyAlignment="1">
      <alignment horizontal="left" indent="1"/>
    </xf>
    <xf numFmtId="165" fontId="137" fillId="0" borderId="38" xfId="7326" applyNumberFormat="1" applyFont="1" applyFill="1" applyBorder="1"/>
    <xf numFmtId="9" fontId="137" fillId="0" borderId="38" xfId="7327" applyFont="1" applyFill="1" applyBorder="1"/>
    <xf numFmtId="0" fontId="134" fillId="0" borderId="0" xfId="7325" applyFont="1" applyFill="1" applyBorder="1" applyAlignment="1">
      <alignment horizontal="left" indent="2"/>
    </xf>
    <xf numFmtId="43" fontId="137" fillId="0" borderId="0" xfId="7326" applyNumberFormat="1" applyFont="1" applyFill="1" applyBorder="1"/>
    <xf numFmtId="9" fontId="131" fillId="0" borderId="0" xfId="7325" applyNumberFormat="1" applyFont="1" applyFill="1"/>
    <xf numFmtId="165" fontId="138" fillId="0" borderId="0" xfId="8" applyNumberFormat="1" applyFont="1" applyFill="1" applyAlignment="1">
      <alignment horizontal="right"/>
    </xf>
    <xf numFmtId="165" fontId="6" fillId="0" borderId="0" xfId="7326" applyNumberFormat="1" applyFont="1" applyFill="1" applyBorder="1"/>
    <xf numFmtId="41" fontId="137" fillId="0" borderId="38" xfId="7326" applyNumberFormat="1" applyFont="1" applyFill="1" applyBorder="1"/>
    <xf numFmtId="202" fontId="6" fillId="0" borderId="0" xfId="7327" applyNumberFormat="1" applyFont="1" applyFill="1" applyBorder="1"/>
    <xf numFmtId="41" fontId="134" fillId="0" borderId="0" xfId="7328" applyFont="1" applyFill="1" applyBorder="1"/>
    <xf numFmtId="165" fontId="14" fillId="0" borderId="0" xfId="7326" applyNumberFormat="1" applyFont="1" applyFill="1" applyBorder="1"/>
    <xf numFmtId="0" fontId="131" fillId="0" borderId="0" xfId="7325" applyFont="1" applyFill="1" applyAlignment="1">
      <alignment horizontal="left" indent="1"/>
    </xf>
    <xf numFmtId="41" fontId="134" fillId="0" borderId="0" xfId="2734" applyNumberFormat="1" applyFont="1" applyFill="1"/>
    <xf numFmtId="0" fontId="131" fillId="0" borderId="0" xfId="7325" applyFont="1" applyFill="1" applyAlignment="1">
      <alignment horizontal="left"/>
    </xf>
    <xf numFmtId="43" fontId="134" fillId="0" borderId="0" xfId="7326" applyFont="1" applyFill="1" applyBorder="1" applyAlignment="1">
      <alignment horizontal="left" indent="1"/>
    </xf>
    <xf numFmtId="41" fontId="134" fillId="0" borderId="0" xfId="7325" applyNumberFormat="1" applyFont="1" applyFill="1"/>
    <xf numFmtId="0" fontId="131" fillId="0" borderId="0" xfId="7329" applyFont="1" applyFill="1" applyBorder="1" applyAlignment="1">
      <alignment horizontal="left" indent="1"/>
    </xf>
    <xf numFmtId="0" fontId="133" fillId="0" borderId="0" xfId="7325" applyFont="1" applyFill="1" applyBorder="1" applyAlignment="1">
      <alignment horizontal="left" indent="1"/>
    </xf>
    <xf numFmtId="165" fontId="132" fillId="0" borderId="0" xfId="7326" applyNumberFormat="1" applyFont="1" applyFill="1" applyBorder="1" applyAlignment="1">
      <alignment horizontal="center"/>
    </xf>
    <xf numFmtId="165" fontId="25" fillId="50" borderId="0" xfId="7326" applyNumberFormat="1" applyFont="1" applyFill="1" applyBorder="1" applyAlignment="1">
      <alignment horizontal="center"/>
    </xf>
    <xf numFmtId="0" fontId="137" fillId="0" borderId="0" xfId="2466" applyFont="1" applyFill="1" applyBorder="1" applyAlignment="1">
      <alignment horizontal="left" indent="1"/>
    </xf>
    <xf numFmtId="165" fontId="139" fillId="50" borderId="0" xfId="7326" applyNumberFormat="1" applyFont="1" applyFill="1" applyBorder="1"/>
    <xf numFmtId="0" fontId="134" fillId="0" borderId="0" xfId="2466" applyFont="1" applyFill="1" applyBorder="1" applyAlignment="1">
      <alignment horizontal="left" indent="1"/>
    </xf>
    <xf numFmtId="165" fontId="25" fillId="50" borderId="0" xfId="7326" applyNumberFormat="1" applyFont="1" applyFill="1" applyBorder="1"/>
    <xf numFmtId="0" fontId="137" fillId="0" borderId="0" xfId="2466" applyFont="1" applyFill="1" applyBorder="1" applyAlignment="1">
      <alignment horizontal="left" wrapText="1" indent="1"/>
    </xf>
    <xf numFmtId="165" fontId="136" fillId="50" borderId="0" xfId="7326" applyNumberFormat="1" applyFont="1" applyFill="1" applyBorder="1"/>
    <xf numFmtId="41" fontId="137" fillId="0" borderId="0" xfId="2466" applyNumberFormat="1" applyFont="1" applyFill="1" applyBorder="1" applyAlignment="1">
      <alignment horizontal="left" indent="1"/>
    </xf>
    <xf numFmtId="41" fontId="137" fillId="0" borderId="0" xfId="7327" applyNumberFormat="1" applyFont="1" applyFill="1" applyBorder="1"/>
    <xf numFmtId="41" fontId="139" fillId="50" borderId="0" xfId="7327" applyNumberFormat="1" applyFont="1" applyFill="1" applyBorder="1"/>
    <xf numFmtId="165" fontId="137" fillId="0" borderId="0" xfId="7326" applyNumberFormat="1" applyFont="1" applyFill="1" applyBorder="1" applyAlignment="1">
      <alignment horizontal="left" wrapText="1" indent="1"/>
    </xf>
    <xf numFmtId="41" fontId="25" fillId="50" borderId="0" xfId="7325" applyNumberFormat="1" applyFont="1" applyFill="1"/>
    <xf numFmtId="41" fontId="133" fillId="0" borderId="0" xfId="7325" applyNumberFormat="1" applyFont="1" applyFill="1"/>
    <xf numFmtId="41" fontId="135" fillId="0" borderId="0" xfId="7325" applyNumberFormat="1" applyFont="1" applyFill="1"/>
    <xf numFmtId="0" fontId="25" fillId="50" borderId="0" xfId="7325" applyFont="1" applyFill="1"/>
    <xf numFmtId="0" fontId="137" fillId="0" borderId="0" xfId="2734" applyFont="1" applyFill="1" applyAlignment="1">
      <alignment horizontal="left" indent="1"/>
    </xf>
    <xf numFmtId="38" fontId="137" fillId="0" borderId="0" xfId="2734" applyNumberFormat="1" applyFont="1" applyFill="1"/>
    <xf numFmtId="38" fontId="139" fillId="50" borderId="0" xfId="2734" applyNumberFormat="1" applyFont="1" applyFill="1"/>
    <xf numFmtId="0" fontId="134" fillId="0" borderId="0" xfId="2734" applyFont="1" applyFill="1" applyAlignment="1">
      <alignment horizontal="left" indent="1"/>
    </xf>
    <xf numFmtId="165" fontId="134" fillId="0" borderId="0" xfId="7326" applyNumberFormat="1" applyFont="1" applyFill="1" applyBorder="1" applyAlignment="1">
      <alignment horizontal="left" indent="1"/>
    </xf>
    <xf numFmtId="41" fontId="25" fillId="50" borderId="0" xfId="2734" applyNumberFormat="1" applyFont="1" applyFill="1"/>
    <xf numFmtId="165" fontId="134" fillId="0" borderId="0" xfId="7326" applyNumberFormat="1" applyFont="1" applyFill="1" applyAlignment="1">
      <alignment horizontal="left" indent="1"/>
    </xf>
    <xf numFmtId="0" fontId="133" fillId="0" borderId="0" xfId="7325" applyFont="1" applyFill="1" applyAlignment="1">
      <alignment horizontal="left" indent="2"/>
    </xf>
    <xf numFmtId="41" fontId="137" fillId="0" borderId="0" xfId="560" applyNumberFormat="1" applyFont="1" applyFill="1"/>
    <xf numFmtId="41" fontId="139" fillId="50" borderId="0" xfId="560" applyNumberFormat="1" applyFont="1" applyFill="1"/>
    <xf numFmtId="0" fontId="133" fillId="0" borderId="0" xfId="7325" applyFont="1" applyFill="1"/>
    <xf numFmtId="0" fontId="133" fillId="0" borderId="0" xfId="7325" applyFont="1"/>
    <xf numFmtId="0" fontId="133" fillId="0" borderId="0" xfId="7325" applyFont="1" applyFill="1" applyAlignment="1">
      <alignment horizontal="left" indent="1"/>
    </xf>
    <xf numFmtId="41" fontId="137" fillId="0" borderId="0" xfId="2734" applyNumberFormat="1" applyFont="1" applyFill="1"/>
    <xf numFmtId="41" fontId="139" fillId="50" borderId="0" xfId="2734" applyNumberFormat="1" applyFont="1" applyFill="1"/>
    <xf numFmtId="9" fontId="137" fillId="0" borderId="0" xfId="7327" applyFont="1" applyFill="1"/>
    <xf numFmtId="0" fontId="131" fillId="0" borderId="0" xfId="7325" applyFont="1" applyFill="1" applyAlignment="1">
      <alignment horizontal="left" indent="2"/>
    </xf>
    <xf numFmtId="41" fontId="134" fillId="0" borderId="0" xfId="7328" applyFont="1" applyFill="1" applyAlignment="1">
      <alignment horizontal="left" indent="1"/>
    </xf>
    <xf numFmtId="9" fontId="134" fillId="0" borderId="0" xfId="7327" applyFont="1" applyFill="1"/>
    <xf numFmtId="41" fontId="134" fillId="0" borderId="0" xfId="560" applyNumberFormat="1" applyFont="1" applyFill="1"/>
    <xf numFmtId="41" fontId="25" fillId="50" borderId="0" xfId="560" applyNumberFormat="1" applyFont="1" applyFill="1"/>
    <xf numFmtId="165" fontId="131" fillId="0" borderId="0" xfId="7325" applyNumberFormat="1" applyFont="1" applyFill="1"/>
    <xf numFmtId="202" fontId="140" fillId="0" borderId="0" xfId="7325" applyNumberFormat="1" applyFont="1" applyFill="1" applyAlignment="1">
      <alignment horizontal="center"/>
    </xf>
    <xf numFmtId="202" fontId="139" fillId="50" borderId="0" xfId="7325" applyNumberFormat="1" applyFont="1" applyFill="1" applyAlignment="1">
      <alignment horizontal="center"/>
    </xf>
    <xf numFmtId="0" fontId="131" fillId="55" borderId="0" xfId="7325" applyFont="1" applyFill="1"/>
    <xf numFmtId="0" fontId="133" fillId="56" borderId="0" xfId="7325" applyFont="1" applyFill="1" applyAlignment="1">
      <alignment horizontal="left" indent="1"/>
    </xf>
    <xf numFmtId="0" fontId="133" fillId="56" borderId="0" xfId="7325" applyFont="1" applyFill="1"/>
    <xf numFmtId="0" fontId="139" fillId="50" borderId="0" xfId="7325" applyFont="1" applyFill="1"/>
    <xf numFmtId="0" fontId="133" fillId="0" borderId="0" xfId="7325" applyFont="1" applyAlignment="1">
      <alignment horizontal="left" indent="2"/>
    </xf>
    <xf numFmtId="0" fontId="131" fillId="0" borderId="0" xfId="7325" applyFont="1" applyAlignment="1">
      <alignment horizontal="left" indent="2"/>
    </xf>
    <xf numFmtId="41" fontId="131" fillId="0" borderId="0" xfId="7325" applyNumberFormat="1" applyFont="1" applyAlignment="1">
      <alignment horizontal="left" indent="2"/>
    </xf>
    <xf numFmtId="165" fontId="25" fillId="50" borderId="0" xfId="7325" applyNumberFormat="1" applyFont="1" applyFill="1"/>
    <xf numFmtId="165" fontId="131" fillId="0" borderId="0" xfId="7326" applyNumberFormat="1" applyFont="1"/>
    <xf numFmtId="165" fontId="131" fillId="55" borderId="0" xfId="7325" applyNumberFormat="1" applyFont="1" applyFill="1"/>
    <xf numFmtId="165" fontId="131" fillId="0" borderId="0" xfId="7325" applyNumberFormat="1" applyFont="1"/>
    <xf numFmtId="41" fontId="131" fillId="55" borderId="0" xfId="7325" applyNumberFormat="1" applyFont="1" applyFill="1"/>
    <xf numFmtId="165" fontId="131" fillId="0" borderId="0" xfId="7325" applyNumberFormat="1" applyFont="1" applyAlignment="1">
      <alignment horizontal="left" indent="2"/>
    </xf>
    <xf numFmtId="165" fontId="131" fillId="51" borderId="0" xfId="7325" applyNumberFormat="1" applyFont="1" applyFill="1"/>
    <xf numFmtId="41" fontId="133" fillId="0" borderId="0" xfId="7325" applyNumberFormat="1" applyFont="1" applyAlignment="1">
      <alignment horizontal="left" indent="2"/>
    </xf>
    <xf numFmtId="9" fontId="135" fillId="0" borderId="0" xfId="7327" applyFont="1" applyFill="1" applyAlignment="1">
      <alignment horizontal="center"/>
    </xf>
    <xf numFmtId="165" fontId="141" fillId="0" borderId="0" xfId="7326" applyNumberFormat="1" applyFont="1" applyFill="1"/>
    <xf numFmtId="165" fontId="142" fillId="0" borderId="0" xfId="7326" applyNumberFormat="1" applyFont="1" applyFill="1"/>
    <xf numFmtId="9" fontId="133" fillId="0" borderId="0" xfId="7327" applyFont="1" applyFill="1"/>
    <xf numFmtId="165" fontId="143" fillId="0" borderId="0" xfId="7326" applyNumberFormat="1" applyFont="1" applyFill="1"/>
    <xf numFmtId="0" fontId="133" fillId="55" borderId="0" xfId="7325" applyFont="1" applyFill="1"/>
    <xf numFmtId="165" fontId="131" fillId="55" borderId="0" xfId="7326" applyNumberFormat="1" applyFont="1" applyFill="1"/>
    <xf numFmtId="43" fontId="131" fillId="0" borderId="0" xfId="7326" applyFont="1" applyAlignment="1">
      <alignment horizontal="left" indent="2"/>
    </xf>
    <xf numFmtId="165" fontId="131" fillId="0" borderId="0" xfId="7326" applyNumberFormat="1" applyFont="1" applyAlignment="1">
      <alignment horizontal="left" indent="2"/>
    </xf>
    <xf numFmtId="165" fontId="25" fillId="50" borderId="0" xfId="7326" applyNumberFormat="1" applyFont="1" applyFill="1"/>
    <xf numFmtId="202" fontId="131" fillId="0" borderId="0" xfId="7325" applyNumberFormat="1" applyFont="1" applyFill="1"/>
    <xf numFmtId="202" fontId="25" fillId="50" borderId="0" xfId="7325" applyNumberFormat="1" applyFont="1" applyFill="1"/>
    <xf numFmtId="165" fontId="144" fillId="0" borderId="0" xfId="7325" applyNumberFormat="1" applyFont="1" applyFill="1"/>
    <xf numFmtId="165" fontId="139" fillId="50" borderId="0" xfId="7325" applyNumberFormat="1" applyFont="1" applyFill="1"/>
    <xf numFmtId="165" fontId="144" fillId="55" borderId="0" xfId="7325" applyNumberFormat="1" applyFont="1" applyFill="1"/>
    <xf numFmtId="0" fontId="131" fillId="0" borderId="64" xfId="7325" applyFont="1" applyBorder="1" applyAlignment="1">
      <alignment horizontal="left" indent="1"/>
    </xf>
    <xf numFmtId="0" fontId="131" fillId="0" borderId="38" xfId="7325" applyFont="1" applyFill="1" applyBorder="1"/>
    <xf numFmtId="0" fontId="25" fillId="50" borderId="38" xfId="7325" applyFont="1" applyFill="1" applyBorder="1"/>
    <xf numFmtId="0" fontId="131" fillId="55" borderId="38" xfId="7325" applyFont="1" applyFill="1" applyBorder="1"/>
    <xf numFmtId="0" fontId="131" fillId="0" borderId="61" xfId="7325" applyFont="1" applyBorder="1" applyAlignment="1">
      <alignment horizontal="left" indent="1"/>
    </xf>
    <xf numFmtId="165" fontId="131" fillId="0" borderId="0" xfId="7326" applyNumberFormat="1" applyFont="1" applyBorder="1" applyAlignment="1">
      <alignment horizontal="left" indent="1"/>
    </xf>
    <xf numFmtId="165" fontId="131" fillId="0" borderId="0" xfId="7325" applyNumberFormat="1" applyFont="1" applyFill="1" applyBorder="1"/>
    <xf numFmtId="165" fontId="25" fillId="50" borderId="0" xfId="7325" applyNumberFormat="1" applyFont="1" applyFill="1" applyBorder="1"/>
    <xf numFmtId="165" fontId="131" fillId="55" borderId="0" xfId="7325" applyNumberFormat="1" applyFont="1" applyFill="1" applyBorder="1"/>
    <xf numFmtId="0" fontId="131" fillId="0" borderId="47" xfId="7325" applyFont="1" applyBorder="1" applyAlignment="1">
      <alignment horizontal="left" indent="1"/>
    </xf>
    <xf numFmtId="0" fontId="131" fillId="0" borderId="0" xfId="7325" applyFont="1" applyBorder="1" applyAlignment="1">
      <alignment horizontal="left" indent="1"/>
    </xf>
    <xf numFmtId="9" fontId="145" fillId="0" borderId="0" xfId="7327" applyFont="1" applyFill="1" applyBorder="1"/>
    <xf numFmtId="9" fontId="146" fillId="50" borderId="0" xfId="7327" applyFont="1" applyFill="1" applyBorder="1"/>
    <xf numFmtId="9" fontId="145" fillId="55" borderId="0" xfId="7327" applyFont="1" applyFill="1" applyBorder="1"/>
    <xf numFmtId="165" fontId="131" fillId="0" borderId="0" xfId="7325" applyNumberFormat="1" applyFont="1" applyBorder="1" applyAlignment="1">
      <alignment horizontal="left" indent="1"/>
    </xf>
    <xf numFmtId="165" fontId="131" fillId="0" borderId="0" xfId="7325" applyNumberFormat="1" applyFont="1" applyFill="1" applyBorder="1" applyAlignment="1">
      <alignment horizontal="left" indent="1"/>
    </xf>
    <xf numFmtId="165" fontId="25" fillId="50" borderId="0" xfId="7325" applyNumberFormat="1" applyFont="1" applyFill="1" applyBorder="1" applyAlignment="1">
      <alignment horizontal="left" indent="1"/>
    </xf>
    <xf numFmtId="165" fontId="131" fillId="55" borderId="0" xfId="7325" applyNumberFormat="1" applyFont="1" applyFill="1" applyBorder="1" applyAlignment="1">
      <alignment horizontal="left" indent="1"/>
    </xf>
    <xf numFmtId="0" fontId="131" fillId="0" borderId="18" xfId="7325" applyFont="1" applyBorder="1" applyAlignment="1">
      <alignment horizontal="left" indent="1"/>
    </xf>
    <xf numFmtId="0" fontId="133" fillId="0" borderId="18" xfId="7325" applyFont="1" applyBorder="1" applyAlignment="1">
      <alignment horizontal="left" indent="1"/>
    </xf>
    <xf numFmtId="165" fontId="133" fillId="0" borderId="64" xfId="7326" applyNumberFormat="1" applyFont="1" applyBorder="1" applyAlignment="1">
      <alignment horizontal="left" indent="1"/>
    </xf>
    <xf numFmtId="165" fontId="133" fillId="0" borderId="38" xfId="7326" applyNumberFormat="1" applyFont="1" applyFill="1" applyBorder="1" applyAlignment="1">
      <alignment horizontal="left" indent="1"/>
    </xf>
    <xf numFmtId="165" fontId="139" fillId="50" borderId="38" xfId="7326" applyNumberFormat="1" applyFont="1" applyFill="1" applyBorder="1" applyAlignment="1">
      <alignment horizontal="left" indent="1"/>
    </xf>
    <xf numFmtId="165" fontId="133" fillId="55" borderId="38" xfId="7326" applyNumberFormat="1" applyFont="1" applyFill="1" applyBorder="1" applyAlignment="1">
      <alignment horizontal="left" indent="1"/>
    </xf>
    <xf numFmtId="3" fontId="131" fillId="0" borderId="0" xfId="7325" applyNumberFormat="1" applyFont="1" applyFill="1"/>
    <xf numFmtId="0" fontId="131" fillId="0" borderId="39" xfId="7325" applyFont="1" applyBorder="1" applyAlignment="1">
      <alignment horizontal="left" indent="1"/>
    </xf>
    <xf numFmtId="0" fontId="131" fillId="0" borderId="38" xfId="7325" applyFont="1" applyBorder="1" applyAlignment="1">
      <alignment horizontal="left" indent="1"/>
    </xf>
    <xf numFmtId="9" fontId="131" fillId="0" borderId="38" xfId="7327" applyFont="1" applyFill="1" applyBorder="1"/>
    <xf numFmtId="3" fontId="131" fillId="0" borderId="38" xfId="7325" applyNumberFormat="1" applyFont="1" applyFill="1" applyBorder="1"/>
    <xf numFmtId="3" fontId="131" fillId="0" borderId="65" xfId="7325" applyNumberFormat="1" applyFont="1" applyFill="1" applyBorder="1"/>
    <xf numFmtId="165" fontId="131" fillId="0" borderId="63" xfId="7326" applyNumberFormat="1" applyFont="1" applyBorder="1" applyAlignment="1">
      <alignment horizontal="left" indent="1"/>
    </xf>
    <xf numFmtId="165" fontId="131" fillId="0" borderId="63" xfId="7326" applyNumberFormat="1" applyFont="1" applyFill="1" applyBorder="1" applyAlignment="1">
      <alignment horizontal="left" indent="1"/>
    </xf>
    <xf numFmtId="165" fontId="25" fillId="50" borderId="63" xfId="7326" applyNumberFormat="1" applyFont="1" applyFill="1" applyBorder="1" applyAlignment="1">
      <alignment horizontal="left" indent="1"/>
    </xf>
    <xf numFmtId="165" fontId="131" fillId="55" borderId="63" xfId="7326" applyNumberFormat="1" applyFont="1" applyFill="1" applyBorder="1" applyAlignment="1">
      <alignment horizontal="left" indent="1"/>
    </xf>
    <xf numFmtId="9" fontId="131" fillId="0" borderId="0" xfId="7327" applyFont="1" applyFill="1" applyBorder="1"/>
    <xf numFmtId="165" fontId="131" fillId="0" borderId="0" xfId="7326" applyNumberFormat="1" applyFont="1" applyFill="1" applyBorder="1"/>
    <xf numFmtId="165" fontId="131" fillId="0" borderId="35" xfId="7326" applyNumberFormat="1" applyFont="1" applyFill="1" applyBorder="1"/>
    <xf numFmtId="10" fontId="148" fillId="0" borderId="0" xfId="7325" applyNumberFormat="1" applyFont="1" applyFill="1" applyBorder="1" applyAlignment="1">
      <alignment horizontal="right" indent="1"/>
    </xf>
    <xf numFmtId="10" fontId="25" fillId="50" borderId="0" xfId="7325" applyNumberFormat="1" applyFont="1" applyFill="1" applyBorder="1" applyAlignment="1">
      <alignment horizontal="right" indent="1"/>
    </xf>
    <xf numFmtId="10" fontId="148" fillId="55" borderId="0" xfId="7325" applyNumberFormat="1" applyFont="1" applyFill="1" applyBorder="1" applyAlignment="1">
      <alignment horizontal="right" indent="1"/>
    </xf>
    <xf numFmtId="9" fontId="147" fillId="0" borderId="0" xfId="7327" applyFont="1" applyFill="1" applyBorder="1"/>
    <xf numFmtId="9" fontId="147" fillId="0" borderId="35" xfId="7327" applyFont="1" applyFill="1" applyBorder="1"/>
    <xf numFmtId="165" fontId="131" fillId="0" borderId="0" xfId="7326" applyNumberFormat="1" applyFont="1" applyFill="1" applyBorder="1" applyAlignment="1">
      <alignment horizontal="left" indent="1"/>
    </xf>
    <xf numFmtId="165" fontId="25" fillId="50" borderId="0" xfId="7326" applyNumberFormat="1" applyFont="1" applyFill="1" applyBorder="1" applyAlignment="1">
      <alignment horizontal="left" indent="1"/>
    </xf>
    <xf numFmtId="165" fontId="131" fillId="55" borderId="0" xfId="7326" applyNumberFormat="1" applyFont="1" applyFill="1" applyBorder="1" applyAlignment="1">
      <alignment horizontal="left" indent="1"/>
    </xf>
    <xf numFmtId="165" fontId="131" fillId="0" borderId="12" xfId="7326" applyNumberFormat="1" applyFont="1" applyBorder="1" applyAlignment="1">
      <alignment horizontal="left" indent="1"/>
    </xf>
    <xf numFmtId="10" fontId="148" fillId="0" borderId="12" xfId="7325" applyNumberFormat="1" applyFont="1" applyFill="1" applyBorder="1" applyAlignment="1">
      <alignment horizontal="right" indent="1"/>
    </xf>
    <xf numFmtId="10" fontId="25" fillId="50" borderId="12" xfId="7325" applyNumberFormat="1" applyFont="1" applyFill="1" applyBorder="1" applyAlignment="1">
      <alignment horizontal="right" indent="1"/>
    </xf>
    <xf numFmtId="10" fontId="148" fillId="55" borderId="12" xfId="7325" applyNumberFormat="1" applyFont="1" applyFill="1" applyBorder="1" applyAlignment="1">
      <alignment horizontal="right" indent="1"/>
    </xf>
    <xf numFmtId="165" fontId="133" fillId="0" borderId="38" xfId="7325" applyNumberFormat="1" applyFont="1" applyBorder="1" applyAlignment="1">
      <alignment horizontal="left" indent="1"/>
    </xf>
    <xf numFmtId="165" fontId="133" fillId="0" borderId="38" xfId="7325" applyNumberFormat="1" applyFont="1" applyFill="1" applyBorder="1" applyAlignment="1">
      <alignment horizontal="left" indent="1"/>
    </xf>
    <xf numFmtId="165" fontId="139" fillId="50" borderId="38" xfId="7325" applyNumberFormat="1" applyFont="1" applyFill="1" applyBorder="1" applyAlignment="1">
      <alignment horizontal="left" indent="1"/>
    </xf>
    <xf numFmtId="165" fontId="133" fillId="55" borderId="38" xfId="7325" applyNumberFormat="1" applyFont="1" applyFill="1" applyBorder="1" applyAlignment="1">
      <alignment horizontal="left" indent="1"/>
    </xf>
    <xf numFmtId="9" fontId="133" fillId="0" borderId="38" xfId="7327" applyFont="1" applyFill="1" applyBorder="1" applyAlignment="1">
      <alignment horizontal="left" indent="1"/>
    </xf>
    <xf numFmtId="165" fontId="133" fillId="0" borderId="65" xfId="7326" applyNumberFormat="1" applyFont="1" applyFill="1" applyBorder="1" applyAlignment="1">
      <alignment horizontal="left" indent="1"/>
    </xf>
    <xf numFmtId="0" fontId="132" fillId="50" borderId="0" xfId="7325" applyFont="1" applyFill="1"/>
    <xf numFmtId="0" fontId="133" fillId="0" borderId="39" xfId="7325" applyFont="1" applyFill="1" applyBorder="1" applyAlignment="1">
      <alignment horizontal="center"/>
    </xf>
    <xf numFmtId="215" fontId="137" fillId="0" borderId="39" xfId="7326" quotePrefix="1" applyNumberFormat="1" applyFont="1" applyFill="1" applyBorder="1" applyAlignment="1">
      <alignment horizontal="center"/>
    </xf>
    <xf numFmtId="0" fontId="136" fillId="50" borderId="39" xfId="7325" applyFont="1" applyFill="1" applyBorder="1" applyAlignment="1">
      <alignment horizontal="center"/>
    </xf>
    <xf numFmtId="9" fontId="133" fillId="0" borderId="38" xfId="7327" applyFont="1" applyFill="1" applyBorder="1" applyAlignment="1">
      <alignment horizontal="center"/>
    </xf>
    <xf numFmtId="0" fontId="133" fillId="0" borderId="38" xfId="7325" applyFont="1" applyFill="1" applyBorder="1" applyAlignment="1">
      <alignment horizontal="center"/>
    </xf>
    <xf numFmtId="0" fontId="133" fillId="0" borderId="38" xfId="7325" applyNumberFormat="1" applyFont="1" applyFill="1" applyBorder="1" applyAlignment="1">
      <alignment horizontal="center"/>
    </xf>
    <xf numFmtId="0" fontId="6" fillId="0" borderId="0" xfId="2466" applyFont="1" applyBorder="1" applyAlignment="1">
      <alignment horizontal="left"/>
    </xf>
    <xf numFmtId="0" fontId="133" fillId="0" borderId="0" xfId="7325" applyFont="1" applyFill="1" applyBorder="1" applyAlignment="1">
      <alignment horizontal="center"/>
    </xf>
    <xf numFmtId="41" fontId="131" fillId="0" borderId="0" xfId="7328" applyFont="1" applyFill="1" applyBorder="1" applyAlignment="1">
      <alignment horizontal="center"/>
    </xf>
    <xf numFmtId="0" fontId="136" fillId="50" borderId="0" xfId="7325" applyFont="1" applyFill="1" applyBorder="1" applyAlignment="1">
      <alignment horizontal="center"/>
    </xf>
    <xf numFmtId="9" fontId="133" fillId="0" borderId="63" xfId="7327" applyFont="1" applyFill="1" applyBorder="1" applyAlignment="1">
      <alignment horizontal="center"/>
    </xf>
    <xf numFmtId="0" fontId="133" fillId="0" borderId="63" xfId="7325" applyFont="1" applyFill="1" applyBorder="1" applyAlignment="1">
      <alignment horizontal="center"/>
    </xf>
    <xf numFmtId="0" fontId="133" fillId="0" borderId="0" xfId="7325" applyNumberFormat="1" applyFont="1" applyFill="1" applyBorder="1" applyAlignment="1">
      <alignment horizontal="center"/>
    </xf>
    <xf numFmtId="0" fontId="133" fillId="0" borderId="63" xfId="7325" applyNumberFormat="1" applyFont="1" applyFill="1" applyBorder="1" applyAlignment="1">
      <alignment horizontal="center"/>
    </xf>
    <xf numFmtId="165" fontId="132" fillId="50" borderId="0" xfId="7325" applyNumberFormat="1" applyFont="1" applyFill="1" applyBorder="1"/>
    <xf numFmtId="9" fontId="131" fillId="0" borderId="63" xfId="7327" applyFont="1" applyFill="1" applyBorder="1" applyAlignment="1">
      <alignment horizontal="left" indent="1"/>
    </xf>
    <xf numFmtId="9" fontId="149" fillId="50" borderId="0" xfId="7327" applyFont="1" applyFill="1" applyBorder="1"/>
    <xf numFmtId="165" fontId="132" fillId="50" borderId="0" xfId="7325" applyNumberFormat="1" applyFont="1" applyFill="1" applyBorder="1" applyAlignment="1">
      <alignment horizontal="left" indent="1"/>
    </xf>
    <xf numFmtId="165" fontId="136" fillId="50" borderId="38" xfId="7326" applyNumberFormat="1" applyFont="1" applyFill="1" applyBorder="1" applyAlignment="1">
      <alignment horizontal="left" indent="1"/>
    </xf>
    <xf numFmtId="9" fontId="133" fillId="0" borderId="38" xfId="7327" applyFont="1" applyFill="1" applyBorder="1"/>
    <xf numFmtId="165" fontId="131" fillId="0" borderId="38" xfId="7326" applyNumberFormat="1" applyFont="1" applyFill="1" applyBorder="1" applyAlignment="1">
      <alignment horizontal="left" indent="1"/>
    </xf>
    <xf numFmtId="41" fontId="131" fillId="0" borderId="0" xfId="7325" applyNumberFormat="1" applyFont="1" applyFill="1" applyBorder="1"/>
    <xf numFmtId="0" fontId="132" fillId="50" borderId="38" xfId="7325" applyFont="1" applyFill="1" applyBorder="1"/>
    <xf numFmtId="9" fontId="131" fillId="0" borderId="63" xfId="7327" applyFont="1" applyFill="1" applyBorder="1"/>
    <xf numFmtId="9" fontId="131" fillId="0" borderId="0" xfId="7327" applyFont="1" applyFill="1" applyBorder="1" applyAlignment="1">
      <alignment horizontal="left" indent="1"/>
    </xf>
    <xf numFmtId="0" fontId="133" fillId="34" borderId="39" xfId="7325" applyFont="1" applyFill="1" applyBorder="1" applyAlignment="1">
      <alignment horizontal="left" indent="1"/>
    </xf>
    <xf numFmtId="9" fontId="131" fillId="0" borderId="0" xfId="7327" applyNumberFormat="1" applyFont="1" applyFill="1" applyBorder="1" applyAlignment="1">
      <alignment horizontal="left" indent="1"/>
    </xf>
    <xf numFmtId="0" fontId="131" fillId="0" borderId="12" xfId="7325" applyFont="1" applyFill="1" applyBorder="1"/>
    <xf numFmtId="165" fontId="131" fillId="50" borderId="38" xfId="7326" applyNumberFormat="1" applyFont="1" applyFill="1" applyBorder="1" applyAlignment="1">
      <alignment horizontal="left" indent="1"/>
    </xf>
    <xf numFmtId="165" fontId="133" fillId="0" borderId="38" xfId="7325" applyNumberFormat="1" applyFont="1" applyFill="1" applyBorder="1"/>
    <xf numFmtId="0" fontId="140" fillId="0" borderId="0" xfId="7325" applyFont="1" applyFill="1" applyBorder="1" applyAlignment="1">
      <alignment horizontal="left" indent="1"/>
    </xf>
    <xf numFmtId="165" fontId="140" fillId="0" borderId="63" xfId="7326" applyNumberFormat="1" applyFont="1" applyFill="1" applyBorder="1" applyAlignment="1">
      <alignment horizontal="left" indent="1"/>
    </xf>
    <xf numFmtId="165" fontId="136" fillId="50" borderId="63" xfId="7326" applyNumberFormat="1" applyFont="1" applyFill="1" applyBorder="1" applyAlignment="1">
      <alignment horizontal="left" indent="1"/>
    </xf>
    <xf numFmtId="165" fontId="135" fillId="0" borderId="63" xfId="7326" applyNumberFormat="1" applyFont="1" applyFill="1" applyBorder="1" applyAlignment="1">
      <alignment horizontal="left" indent="1"/>
    </xf>
    <xf numFmtId="9" fontId="140" fillId="0" borderId="63" xfId="7327" applyFont="1" applyFill="1" applyBorder="1"/>
    <xf numFmtId="165" fontId="140" fillId="0" borderId="63" xfId="7325" applyNumberFormat="1" applyFont="1" applyFill="1" applyBorder="1"/>
    <xf numFmtId="0" fontId="135" fillId="0" borderId="0" xfId="7325" applyFont="1" applyFill="1" applyBorder="1"/>
    <xf numFmtId="0" fontId="133" fillId="34" borderId="61" xfId="7325" applyFont="1" applyFill="1" applyBorder="1" applyAlignment="1">
      <alignment horizontal="left" indent="1"/>
    </xf>
    <xf numFmtId="165" fontId="133" fillId="0" borderId="62" xfId="7326" applyNumberFormat="1" applyFont="1" applyBorder="1" applyAlignment="1">
      <alignment horizontal="left" indent="1"/>
    </xf>
    <xf numFmtId="165" fontId="133" fillId="0" borderId="63" xfId="7326" applyNumberFormat="1" applyFont="1" applyFill="1" applyBorder="1" applyAlignment="1">
      <alignment horizontal="left" indent="1"/>
    </xf>
    <xf numFmtId="165" fontId="131" fillId="50" borderId="63" xfId="7326" applyNumberFormat="1" applyFont="1" applyFill="1" applyBorder="1" applyAlignment="1">
      <alignment horizontal="left" indent="1"/>
    </xf>
    <xf numFmtId="9" fontId="133" fillId="0" borderId="63" xfId="7327" applyFont="1" applyFill="1" applyBorder="1"/>
    <xf numFmtId="0" fontId="133" fillId="33" borderId="0" xfId="7325" applyFont="1" applyFill="1" applyBorder="1" applyAlignment="1">
      <alignment horizontal="left" indent="1"/>
    </xf>
    <xf numFmtId="165" fontId="133" fillId="33" borderId="0" xfId="7326" applyNumberFormat="1" applyFont="1" applyFill="1" applyBorder="1" applyAlignment="1">
      <alignment horizontal="left" indent="1"/>
    </xf>
    <xf numFmtId="165" fontId="136" fillId="50" borderId="0" xfId="7326" applyNumberFormat="1" applyFont="1" applyFill="1" applyBorder="1" applyAlignment="1">
      <alignment horizontal="left" indent="1"/>
    </xf>
    <xf numFmtId="9" fontId="133" fillId="33" borderId="0" xfId="7327" applyFont="1" applyFill="1" applyBorder="1"/>
    <xf numFmtId="165" fontId="131" fillId="33" borderId="0" xfId="7326" applyNumberFormat="1" applyFont="1" applyFill="1" applyBorder="1" applyAlignment="1">
      <alignment horizontal="left" indent="1"/>
    </xf>
    <xf numFmtId="0" fontId="131" fillId="33" borderId="0" xfId="7325" applyFont="1" applyFill="1" applyBorder="1"/>
    <xf numFmtId="165" fontId="131" fillId="0" borderId="12" xfId="7326" applyNumberFormat="1" applyFont="1" applyFill="1" applyBorder="1" applyAlignment="1">
      <alignment horizontal="left" indent="1"/>
    </xf>
    <xf numFmtId="165" fontId="131" fillId="55" borderId="38" xfId="7326" applyNumberFormat="1" applyFont="1" applyFill="1" applyBorder="1" applyAlignment="1">
      <alignment horizontal="left" indent="1"/>
    </xf>
    <xf numFmtId="9" fontId="133" fillId="0" borderId="12" xfId="7327" applyFont="1" applyFill="1" applyBorder="1"/>
    <xf numFmtId="0" fontId="133" fillId="33" borderId="61" xfId="7325" applyFont="1" applyFill="1" applyBorder="1" applyAlignment="1">
      <alignment horizontal="left" indent="1"/>
    </xf>
    <xf numFmtId="165" fontId="133" fillId="33" borderId="62" xfId="7326" applyNumberFormat="1" applyFont="1" applyFill="1" applyBorder="1" applyAlignment="1">
      <alignment horizontal="left" indent="1"/>
    </xf>
    <xf numFmtId="165" fontId="133" fillId="33" borderId="63" xfId="7326" applyNumberFormat="1" applyFont="1" applyFill="1" applyBorder="1" applyAlignment="1">
      <alignment horizontal="left" indent="1"/>
    </xf>
    <xf numFmtId="9" fontId="133" fillId="33" borderId="63" xfId="7327" applyFont="1" applyFill="1" applyBorder="1"/>
    <xf numFmtId="165" fontId="131" fillId="33" borderId="63" xfId="7326" applyNumberFormat="1" applyFont="1" applyFill="1" applyBorder="1" applyAlignment="1">
      <alignment horizontal="left" indent="1"/>
    </xf>
    <xf numFmtId="0" fontId="131" fillId="33" borderId="0" xfId="7325" applyFont="1" applyFill="1"/>
    <xf numFmtId="165" fontId="140" fillId="55" borderId="63" xfId="7325" applyNumberFormat="1" applyFont="1" applyFill="1" applyBorder="1"/>
    <xf numFmtId="165" fontId="135" fillId="50" borderId="63" xfId="7326" applyNumberFormat="1" applyFont="1" applyFill="1" applyBorder="1" applyAlignment="1">
      <alignment horizontal="left" indent="1"/>
    </xf>
    <xf numFmtId="165" fontId="140" fillId="0" borderId="0" xfId="7325" applyNumberFormat="1" applyFont="1" applyFill="1" applyBorder="1"/>
    <xf numFmtId="0" fontId="133" fillId="0" borderId="39" xfId="7325" applyFont="1" applyFill="1" applyBorder="1" applyAlignment="1">
      <alignment horizontal="left" indent="1"/>
    </xf>
    <xf numFmtId="165" fontId="133" fillId="0" borderId="62" xfId="7326" applyNumberFormat="1" applyFont="1" applyFill="1" applyBorder="1" applyAlignment="1">
      <alignment horizontal="left" indent="1"/>
    </xf>
    <xf numFmtId="165" fontId="140" fillId="0" borderId="0" xfId="7326" applyNumberFormat="1" applyFont="1" applyFill="1" applyBorder="1" applyAlignment="1">
      <alignment horizontal="left" indent="1"/>
    </xf>
    <xf numFmtId="165" fontId="135" fillId="0" borderId="0" xfId="7326" applyNumberFormat="1" applyFont="1" applyFill="1" applyBorder="1" applyAlignment="1">
      <alignment horizontal="left" indent="1"/>
    </xf>
    <xf numFmtId="165" fontId="135" fillId="55" borderId="0" xfId="7326" applyNumberFormat="1" applyFont="1" applyFill="1" applyBorder="1" applyAlignment="1">
      <alignment horizontal="left" indent="1"/>
    </xf>
    <xf numFmtId="9" fontId="140" fillId="0" borderId="0" xfId="7327" applyFont="1" applyFill="1" applyBorder="1"/>
    <xf numFmtId="165" fontId="140" fillId="55" borderId="0" xfId="7326" applyNumberFormat="1" applyFont="1" applyFill="1" applyBorder="1" applyAlignment="1">
      <alignment horizontal="left" indent="1"/>
    </xf>
    <xf numFmtId="0" fontId="135" fillId="0" borderId="12" xfId="7325" applyFont="1" applyFill="1" applyBorder="1" applyAlignment="1">
      <alignment horizontal="left" indent="1"/>
    </xf>
    <xf numFmtId="165" fontId="135" fillId="0" borderId="12" xfId="7325" applyNumberFormat="1" applyFont="1" applyFill="1" applyBorder="1"/>
    <xf numFmtId="165" fontId="132" fillId="50" borderId="12" xfId="7325" applyNumberFormat="1" applyFont="1" applyFill="1" applyBorder="1"/>
    <xf numFmtId="165" fontId="135" fillId="55" borderId="12" xfId="7325" applyNumberFormat="1" applyFont="1" applyFill="1" applyBorder="1"/>
    <xf numFmtId="9" fontId="135" fillId="0" borderId="12" xfId="7327" applyFont="1" applyFill="1" applyBorder="1"/>
    <xf numFmtId="0" fontId="135" fillId="0" borderId="12" xfId="7325" applyFont="1" applyFill="1" applyBorder="1"/>
    <xf numFmtId="3" fontId="135" fillId="0" borderId="12" xfId="7325" applyNumberFormat="1" applyFont="1" applyFill="1" applyBorder="1"/>
    <xf numFmtId="10" fontId="139" fillId="50" borderId="47" xfId="7327" applyNumberFormat="1" applyFont="1" applyFill="1" applyBorder="1"/>
    <xf numFmtId="10" fontId="6" fillId="0" borderId="63" xfId="7327" applyNumberFormat="1" applyFont="1" applyBorder="1"/>
    <xf numFmtId="9" fontId="148" fillId="0" borderId="0" xfId="7327" applyFont="1" applyFill="1" applyBorder="1" applyAlignment="1">
      <alignment horizontal="right" indent="1"/>
    </xf>
    <xf numFmtId="10" fontId="6" fillId="0" borderId="0" xfId="7327" applyNumberFormat="1" applyFont="1" applyBorder="1"/>
    <xf numFmtId="10" fontId="6" fillId="0" borderId="0" xfId="7327" applyNumberFormat="1" applyFont="1" applyBorder="1" applyAlignment="1">
      <alignment horizontal="right"/>
    </xf>
    <xf numFmtId="219" fontId="139" fillId="50" borderId="0" xfId="7326" applyNumberFormat="1" applyFont="1" applyFill="1" applyBorder="1" applyAlignment="1">
      <alignment horizontal="right"/>
    </xf>
    <xf numFmtId="41" fontId="131" fillId="55" borderId="0" xfId="7328" applyFont="1" applyFill="1"/>
    <xf numFmtId="41" fontId="133" fillId="34" borderId="0" xfId="7325" applyNumberFormat="1" applyFont="1" applyFill="1"/>
    <xf numFmtId="41" fontId="133" fillId="0" borderId="0" xfId="7328" applyFont="1" applyFill="1"/>
    <xf numFmtId="41" fontId="133" fillId="55" borderId="0" xfId="7328" applyFont="1" applyFill="1"/>
    <xf numFmtId="165" fontId="133" fillId="0" borderId="0" xfId="7326" applyNumberFormat="1" applyFont="1" applyBorder="1" applyAlignment="1">
      <alignment horizontal="left" indent="1"/>
    </xf>
    <xf numFmtId="165" fontId="133" fillId="0" borderId="0" xfId="7326" applyNumberFormat="1" applyFont="1" applyFill="1" applyBorder="1" applyAlignment="1">
      <alignment horizontal="left" indent="1"/>
    </xf>
    <xf numFmtId="9" fontId="133" fillId="0" borderId="0" xfId="7327" applyFont="1" applyFill="1" applyBorder="1"/>
    <xf numFmtId="165" fontId="133" fillId="0" borderId="0" xfId="7325" applyNumberFormat="1" applyFont="1" applyFill="1" applyBorder="1"/>
    <xf numFmtId="0" fontId="133" fillId="0" borderId="0" xfId="7325" applyFont="1" applyFill="1" applyAlignment="1">
      <alignment horizontal="center" vertical="center"/>
    </xf>
    <xf numFmtId="0" fontId="131" fillId="0" borderId="0" xfId="7325" applyFont="1" applyFill="1" applyAlignment="1">
      <alignment horizontal="center"/>
    </xf>
    <xf numFmtId="165" fontId="134" fillId="0" borderId="0" xfId="3" applyNumberFormat="1" applyFont="1" applyFill="1"/>
    <xf numFmtId="41" fontId="7" fillId="0" borderId="0" xfId="489" applyFont="1" applyFill="1"/>
    <xf numFmtId="165" fontId="7" fillId="0" borderId="0" xfId="7325" applyNumberFormat="1" applyFont="1" applyFill="1"/>
    <xf numFmtId="1" fontId="131" fillId="0" borderId="0" xfId="7325" applyNumberFormat="1" applyFont="1" applyFill="1"/>
    <xf numFmtId="165" fontId="131" fillId="0" borderId="39" xfId="7325" applyNumberFormat="1" applyFont="1" applyFill="1" applyBorder="1"/>
    <xf numFmtId="165" fontId="133" fillId="0" borderId="0" xfId="7325" applyNumberFormat="1" applyFont="1" applyFill="1"/>
    <xf numFmtId="165" fontId="133" fillId="54" borderId="39" xfId="7325" applyNumberFormat="1" applyFont="1" applyFill="1" applyBorder="1"/>
    <xf numFmtId="165" fontId="131" fillId="52" borderId="0" xfId="7326" applyNumberFormat="1" applyFont="1" applyFill="1"/>
    <xf numFmtId="41" fontId="131" fillId="52" borderId="0" xfId="7328" applyFont="1" applyFill="1"/>
    <xf numFmtId="41" fontId="131" fillId="52" borderId="0" xfId="7325" applyNumberFormat="1" applyFont="1" applyFill="1"/>
    <xf numFmtId="9" fontId="131" fillId="52" borderId="0" xfId="7327" applyFont="1" applyFill="1"/>
    <xf numFmtId="215" fontId="134" fillId="52" borderId="39" xfId="7326" applyNumberFormat="1" applyFont="1" applyFill="1" applyBorder="1" applyAlignment="1">
      <alignment horizontal="center"/>
    </xf>
    <xf numFmtId="215" fontId="134" fillId="52" borderId="0" xfId="7326" applyNumberFormat="1" applyFont="1" applyFill="1" applyBorder="1" applyAlignment="1">
      <alignment horizontal="center"/>
    </xf>
    <xf numFmtId="165" fontId="134" fillId="52" borderId="0" xfId="7326" applyNumberFormat="1" applyFont="1" applyFill="1" applyBorder="1" applyAlignment="1">
      <alignment horizontal="center"/>
    </xf>
    <xf numFmtId="165" fontId="137" fillId="52" borderId="0" xfId="7326" applyNumberFormat="1" applyFont="1" applyFill="1" applyBorder="1"/>
    <xf numFmtId="165" fontId="134" fillId="52" borderId="0" xfId="7326" applyNumberFormat="1" applyFont="1" applyFill="1" applyBorder="1"/>
    <xf numFmtId="165" fontId="137" fillId="52" borderId="38" xfId="7326" applyNumberFormat="1" applyFont="1" applyFill="1" applyBorder="1"/>
    <xf numFmtId="41" fontId="134" fillId="52" borderId="0" xfId="7328" applyFont="1" applyFill="1" applyBorder="1"/>
    <xf numFmtId="165" fontId="132" fillId="52" borderId="0" xfId="7326" applyNumberFormat="1" applyFont="1" applyFill="1" applyBorder="1" applyAlignment="1">
      <alignment horizontal="center"/>
    </xf>
    <xf numFmtId="41" fontId="137" fillId="52" borderId="0" xfId="7327" applyNumberFormat="1" applyFont="1" applyFill="1" applyBorder="1"/>
    <xf numFmtId="0" fontId="131" fillId="52" borderId="0" xfId="7325" applyFont="1" applyFill="1"/>
    <xf numFmtId="38" fontId="137" fillId="52" borderId="0" xfId="2734" applyNumberFormat="1" applyFont="1" applyFill="1"/>
    <xf numFmtId="41" fontId="134" fillId="52" borderId="0" xfId="2734" applyNumberFormat="1" applyFont="1" applyFill="1"/>
    <xf numFmtId="41" fontId="137" fillId="52" borderId="0" xfId="560" applyNumberFormat="1" applyFont="1" applyFill="1"/>
    <xf numFmtId="41" fontId="137" fillId="52" borderId="0" xfId="2734" applyNumberFormat="1" applyFont="1" applyFill="1"/>
    <xf numFmtId="41" fontId="134" fillId="52" borderId="0" xfId="560" applyNumberFormat="1" applyFont="1" applyFill="1"/>
    <xf numFmtId="9" fontId="137" fillId="52" borderId="0" xfId="7327" applyFont="1" applyFill="1"/>
    <xf numFmtId="0" fontId="133" fillId="52" borderId="0" xfId="7325" applyFont="1" applyFill="1"/>
    <xf numFmtId="165" fontId="131" fillId="52" borderId="0" xfId="7325" applyNumberFormat="1" applyFont="1" applyFill="1"/>
    <xf numFmtId="43" fontId="131" fillId="52" borderId="0" xfId="7326" applyFont="1" applyFill="1"/>
    <xf numFmtId="165" fontId="142" fillId="52" borderId="0" xfId="7326" applyNumberFormat="1" applyFont="1" applyFill="1"/>
    <xf numFmtId="202" fontId="131" fillId="52" borderId="0" xfId="7325" applyNumberFormat="1" applyFont="1" applyFill="1"/>
    <xf numFmtId="165" fontId="144" fillId="52" borderId="0" xfId="7325" applyNumberFormat="1" applyFont="1" applyFill="1"/>
    <xf numFmtId="0" fontId="131" fillId="52" borderId="38" xfId="7325" applyFont="1" applyFill="1" applyBorder="1"/>
    <xf numFmtId="165" fontId="131" fillId="52" borderId="0" xfId="7325" applyNumberFormat="1" applyFont="1" applyFill="1" applyBorder="1"/>
    <xf numFmtId="9" fontId="145" fillId="52" borderId="0" xfId="7327" applyFont="1" applyFill="1" applyBorder="1"/>
    <xf numFmtId="165" fontId="131" fillId="52" borderId="0" xfId="7325" applyNumberFormat="1" applyFont="1" applyFill="1" applyBorder="1" applyAlignment="1">
      <alignment horizontal="left" indent="1"/>
    </xf>
    <xf numFmtId="165" fontId="133" fillId="52" borderId="38" xfId="7326" applyNumberFormat="1" applyFont="1" applyFill="1" applyBorder="1" applyAlignment="1">
      <alignment horizontal="left" indent="1"/>
    </xf>
    <xf numFmtId="165" fontId="131" fillId="52" borderId="63" xfId="7326" applyNumberFormat="1" applyFont="1" applyFill="1" applyBorder="1" applyAlignment="1">
      <alignment horizontal="left" indent="1"/>
    </xf>
    <xf numFmtId="10" fontId="148" fillId="52" borderId="0" xfId="7325" applyNumberFormat="1" applyFont="1" applyFill="1" applyBorder="1" applyAlignment="1">
      <alignment horizontal="right" indent="1"/>
    </xf>
    <xf numFmtId="165" fontId="131" fillId="52" borderId="0" xfId="7326" applyNumberFormat="1" applyFont="1" applyFill="1" applyBorder="1" applyAlignment="1">
      <alignment horizontal="left" indent="1"/>
    </xf>
    <xf numFmtId="10" fontId="148" fillId="52" borderId="12" xfId="7325" applyNumberFormat="1" applyFont="1" applyFill="1" applyBorder="1" applyAlignment="1">
      <alignment horizontal="right" indent="1"/>
    </xf>
    <xf numFmtId="165" fontId="133" fillId="52" borderId="38" xfId="7325" applyNumberFormat="1" applyFont="1" applyFill="1" applyBorder="1" applyAlignment="1">
      <alignment horizontal="left" indent="1"/>
    </xf>
    <xf numFmtId="215" fontId="137" fillId="52" borderId="39" xfId="7326" quotePrefix="1" applyNumberFormat="1" applyFont="1" applyFill="1" applyBorder="1" applyAlignment="1">
      <alignment horizontal="center"/>
    </xf>
    <xf numFmtId="41" fontId="131" fillId="52" borderId="0" xfId="7328" applyFont="1" applyFill="1" applyBorder="1" applyAlignment="1">
      <alignment horizontal="center"/>
    </xf>
    <xf numFmtId="165" fontId="131" fillId="52" borderId="38" xfId="7326" applyNumberFormat="1" applyFont="1" applyFill="1" applyBorder="1" applyAlignment="1">
      <alignment horizontal="left" indent="1"/>
    </xf>
    <xf numFmtId="165" fontId="135" fillId="52" borderId="63" xfId="7326" applyNumberFormat="1" applyFont="1" applyFill="1" applyBorder="1" applyAlignment="1">
      <alignment horizontal="left" indent="1"/>
    </xf>
    <xf numFmtId="165" fontId="133" fillId="52" borderId="63" xfId="7326" applyNumberFormat="1" applyFont="1" applyFill="1" applyBorder="1" applyAlignment="1">
      <alignment horizontal="left" indent="1"/>
    </xf>
    <xf numFmtId="165" fontId="133" fillId="52" borderId="0" xfId="7326" applyNumberFormat="1" applyFont="1" applyFill="1" applyBorder="1" applyAlignment="1">
      <alignment horizontal="left" indent="1"/>
    </xf>
    <xf numFmtId="165" fontId="135" fillId="52" borderId="0" xfId="7326" applyNumberFormat="1" applyFont="1" applyFill="1" applyBorder="1" applyAlignment="1">
      <alignment horizontal="left" indent="1"/>
    </xf>
    <xf numFmtId="165" fontId="140" fillId="52" borderId="0" xfId="7326" applyNumberFormat="1" applyFont="1" applyFill="1" applyBorder="1" applyAlignment="1">
      <alignment horizontal="left" indent="1"/>
    </xf>
    <xf numFmtId="165" fontId="135" fillId="52" borderId="12" xfId="7325" applyNumberFormat="1" applyFont="1" applyFill="1" applyBorder="1"/>
    <xf numFmtId="41" fontId="133" fillId="52" borderId="0" xfId="7325" applyNumberFormat="1" applyFont="1" applyFill="1"/>
    <xf numFmtId="41" fontId="133" fillId="52" borderId="0" xfId="7328" applyFont="1" applyFill="1"/>
    <xf numFmtId="9" fontId="131" fillId="52" borderId="0" xfId="7325" applyNumberFormat="1" applyFont="1" applyFill="1"/>
    <xf numFmtId="165" fontId="133" fillId="52" borderId="39" xfId="7325" applyNumberFormat="1" applyFont="1" applyFill="1" applyBorder="1"/>
    <xf numFmtId="9" fontId="0" fillId="0" borderId="18" xfId="4123" applyFont="1" applyBorder="1" applyAlignment="1">
      <alignment horizontal="center"/>
    </xf>
    <xf numFmtId="216" fontId="6" fillId="0" borderId="47" xfId="604" applyNumberFormat="1" applyFont="1" applyBorder="1"/>
    <xf numFmtId="41" fontId="108" fillId="0" borderId="63" xfId="1" applyFont="1" applyBorder="1"/>
    <xf numFmtId="165" fontId="133" fillId="0" borderId="39" xfId="7325" applyNumberFormat="1" applyFont="1" applyFill="1" applyBorder="1"/>
    <xf numFmtId="41" fontId="108" fillId="0" borderId="12" xfId="1" applyFont="1" applyFill="1" applyBorder="1" applyAlignment="1">
      <alignment vertical="center"/>
    </xf>
    <xf numFmtId="41" fontId="108" fillId="34" borderId="0" xfId="1" applyFont="1" applyFill="1" applyBorder="1" applyAlignment="1">
      <alignment vertical="center"/>
    </xf>
    <xf numFmtId="41" fontId="30" fillId="34" borderId="0" xfId="1" applyFont="1" applyFill="1" applyAlignment="1">
      <alignment horizontal="left"/>
    </xf>
    <xf numFmtId="41" fontId="108" fillId="34" borderId="0" xfId="1" applyFont="1" applyFill="1"/>
    <xf numFmtId="41" fontId="108" fillId="0" borderId="0" xfId="2" applyNumberFormat="1" applyFont="1"/>
    <xf numFmtId="41" fontId="131" fillId="57" borderId="0" xfId="7328" applyFont="1" applyFill="1"/>
    <xf numFmtId="41" fontId="131" fillId="58" borderId="0" xfId="7328" applyFont="1" applyFill="1"/>
    <xf numFmtId="41" fontId="131" fillId="59" borderId="0" xfId="7328" applyFont="1" applyFill="1"/>
    <xf numFmtId="41" fontId="131" fillId="57" borderId="0" xfId="7328" applyFont="1" applyFill="1" applyBorder="1" applyAlignment="1">
      <alignment horizontal="center"/>
    </xf>
    <xf numFmtId="165" fontId="109" fillId="0" borderId="12" xfId="4735" quotePrefix="1" applyNumberFormat="1" applyFont="1" applyFill="1" applyBorder="1" applyAlignment="1">
      <alignment horizontal="center"/>
    </xf>
    <xf numFmtId="41" fontId="112" fillId="0" borderId="0" xfId="1" applyFont="1" applyBorder="1" applyAlignment="1">
      <alignment horizontal="center"/>
    </xf>
    <xf numFmtId="0" fontId="108" fillId="0" borderId="12" xfId="2" applyFont="1" applyBorder="1"/>
    <xf numFmtId="41" fontId="114" fillId="0" borderId="12" xfId="1" applyFont="1" applyFill="1" applyBorder="1" applyAlignment="1">
      <alignment vertical="center"/>
    </xf>
    <xf numFmtId="41" fontId="108" fillId="0" borderId="0" xfId="1" applyFont="1" applyFill="1" applyAlignment="1">
      <alignment horizontal="right"/>
    </xf>
    <xf numFmtId="165" fontId="108" fillId="0" borderId="0" xfId="4735" applyNumberFormat="1" applyFont="1" applyFill="1" applyBorder="1" applyAlignment="1">
      <alignment vertical="center"/>
    </xf>
    <xf numFmtId="0" fontId="108" fillId="0" borderId="0" xfId="0" applyFont="1" applyFill="1" applyAlignment="1">
      <alignment horizontal="center"/>
    </xf>
    <xf numFmtId="165" fontId="123" fillId="0" borderId="0" xfId="4735" applyNumberFormat="1" applyFont="1" applyFill="1"/>
    <xf numFmtId="165" fontId="114" fillId="0" borderId="0" xfId="4735" applyNumberFormat="1" applyFont="1" applyFill="1" applyBorder="1" applyAlignment="1">
      <alignment vertical="center"/>
    </xf>
    <xf numFmtId="165" fontId="30" fillId="0" borderId="0" xfId="4735" applyNumberFormat="1" applyFont="1" applyFill="1" applyAlignment="1">
      <alignment horizontal="left"/>
    </xf>
    <xf numFmtId="165" fontId="108" fillId="0" borderId="0" xfId="0" applyNumberFormat="1" applyFont="1" applyFill="1" applyAlignment="1">
      <alignment horizontal="center"/>
    </xf>
    <xf numFmtId="41" fontId="108" fillId="0" borderId="0" xfId="1" applyFont="1" applyFill="1" applyAlignment="1">
      <alignment horizontal="center"/>
    </xf>
    <xf numFmtId="17" fontId="109" fillId="0" borderId="12" xfId="1" applyNumberFormat="1" applyFont="1" applyFill="1" applyBorder="1" applyAlignment="1">
      <alignment horizontal="center"/>
    </xf>
    <xf numFmtId="41" fontId="108" fillId="0" borderId="12" xfId="1" applyFont="1" applyFill="1" applyBorder="1" applyAlignment="1">
      <alignment horizontal="center"/>
    </xf>
    <xf numFmtId="41" fontId="108" fillId="0" borderId="0" xfId="0" applyNumberFormat="1" applyFont="1" applyFill="1" applyAlignment="1">
      <alignment horizontal="center"/>
    </xf>
    <xf numFmtId="0" fontId="108" fillId="0" borderId="12" xfId="0" applyFont="1" applyFill="1" applyBorder="1" applyAlignment="1">
      <alignment horizontal="center"/>
    </xf>
    <xf numFmtId="165" fontId="108" fillId="0" borderId="0" xfId="0" applyNumberFormat="1" applyFont="1" applyFill="1" applyBorder="1" applyAlignment="1">
      <alignment horizontal="center"/>
    </xf>
    <xf numFmtId="165" fontId="109" fillId="0" borderId="0" xfId="4735" applyNumberFormat="1" applyFont="1" applyFill="1" applyBorder="1"/>
    <xf numFmtId="165" fontId="109" fillId="0" borderId="44" xfId="4735" applyNumberFormat="1" applyFont="1" applyFill="1" applyBorder="1"/>
    <xf numFmtId="0" fontId="108" fillId="0" borderId="0" xfId="0" applyFont="1" applyFill="1" applyBorder="1" applyAlignment="1">
      <alignment horizontal="center"/>
    </xf>
    <xf numFmtId="0" fontId="109" fillId="0" borderId="0" xfId="0" applyFont="1" applyFill="1" applyBorder="1"/>
    <xf numFmtId="165" fontId="108" fillId="0" borderId="0" xfId="0" applyNumberFormat="1" applyFont="1" applyFill="1" applyBorder="1"/>
    <xf numFmtId="165" fontId="109" fillId="0" borderId="44" xfId="0" applyNumberFormat="1" applyFont="1" applyFill="1" applyBorder="1" applyAlignment="1">
      <alignment horizontal="center"/>
    </xf>
    <xf numFmtId="41" fontId="108" fillId="0" borderId="0" xfId="1" applyNumberFormat="1" applyFont="1" applyFill="1" applyAlignment="1">
      <alignment horizontal="center"/>
    </xf>
    <xf numFmtId="41" fontId="108" fillId="0" borderId="0" xfId="4735" applyNumberFormat="1" applyFont="1" applyFill="1"/>
    <xf numFmtId="41" fontId="108" fillId="0" borderId="12" xfId="4735" applyNumberFormat="1" applyFont="1" applyFill="1" applyBorder="1"/>
    <xf numFmtId="41" fontId="108" fillId="0" borderId="12" xfId="1" applyNumberFormat="1" applyFont="1" applyFill="1" applyBorder="1" applyAlignment="1">
      <alignment horizontal="center"/>
    </xf>
    <xf numFmtId="43" fontId="108" fillId="0" borderId="0" xfId="1" applyNumberFormat="1" applyFont="1" applyFill="1" applyAlignment="1">
      <alignment horizontal="center"/>
    </xf>
    <xf numFmtId="17" fontId="109" fillId="0" borderId="0" xfId="1" applyNumberFormat="1" applyFont="1" applyFill="1" applyAlignment="1">
      <alignment horizontal="center"/>
    </xf>
    <xf numFmtId="43" fontId="108" fillId="0" borderId="0" xfId="0" applyNumberFormat="1" applyFont="1" applyFill="1" applyAlignment="1">
      <alignment horizontal="center"/>
    </xf>
    <xf numFmtId="165" fontId="108" fillId="0" borderId="0" xfId="1" applyNumberFormat="1" applyFont="1" applyFill="1" applyAlignment="1">
      <alignment horizontal="center"/>
    </xf>
    <xf numFmtId="41" fontId="108" fillId="0" borderId="14" xfId="1" applyNumberFormat="1" applyFont="1" applyFill="1" applyBorder="1" applyAlignment="1">
      <alignment horizontal="center"/>
    </xf>
    <xf numFmtId="165" fontId="108" fillId="0" borderId="12" xfId="1" applyNumberFormat="1" applyFont="1" applyFill="1" applyBorder="1" applyAlignment="1">
      <alignment horizontal="center"/>
    </xf>
    <xf numFmtId="43" fontId="129" fillId="0" borderId="0" xfId="4735" applyNumberFormat="1" applyFont="1" applyFill="1"/>
    <xf numFmtId="0" fontId="108" fillId="0" borderId="31" xfId="0" applyFont="1" applyFill="1" applyBorder="1" applyAlignment="1">
      <alignment horizontal="center"/>
    </xf>
    <xf numFmtId="41" fontId="108" fillId="0" borderId="12" xfId="0" applyNumberFormat="1" applyFont="1" applyFill="1" applyBorder="1" applyAlignment="1">
      <alignment horizontal="center"/>
    </xf>
    <xf numFmtId="41" fontId="108" fillId="0" borderId="0" xfId="0" applyNumberFormat="1" applyFont="1" applyFill="1" applyBorder="1" applyAlignment="1">
      <alignment horizontal="center"/>
    </xf>
    <xf numFmtId="41" fontId="109" fillId="0" borderId="44" xfId="0" applyNumberFormat="1" applyFont="1" applyFill="1" applyBorder="1" applyAlignment="1">
      <alignment horizontal="center"/>
    </xf>
    <xf numFmtId="168" fontId="108" fillId="0" borderId="0" xfId="1" applyNumberFormat="1" applyFont="1" applyFill="1" applyAlignment="1">
      <alignment horizontal="center"/>
    </xf>
    <xf numFmtId="168" fontId="108" fillId="0" borderId="0" xfId="0" applyNumberFormat="1" applyFont="1" applyFill="1" applyAlignment="1">
      <alignment horizontal="center"/>
    </xf>
    <xf numFmtId="41" fontId="108" fillId="0" borderId="14" xfId="1" applyFont="1" applyFill="1" applyBorder="1" applyAlignment="1">
      <alignment horizontal="center"/>
    </xf>
    <xf numFmtId="0" fontId="109" fillId="0" borderId="12" xfId="2" applyFont="1" applyFill="1" applyBorder="1" applyAlignment="1">
      <alignment horizontal="center"/>
    </xf>
    <xf numFmtId="0" fontId="108" fillId="0" borderId="0" xfId="0" applyFont="1" applyFill="1" applyAlignment="1">
      <alignment horizontal="left" indent="2"/>
    </xf>
    <xf numFmtId="165" fontId="109" fillId="0" borderId="0" xfId="3" applyNumberFormat="1" applyFont="1" applyFill="1" applyProtection="1"/>
    <xf numFmtId="165" fontId="108" fillId="0" borderId="0" xfId="3" applyNumberFormat="1" applyFont="1" applyFill="1" applyProtection="1"/>
    <xf numFmtId="166" fontId="108" fillId="0" borderId="0" xfId="2" applyNumberFormat="1" applyFont="1" applyFill="1" applyAlignment="1">
      <alignment horizontal="left" indent="1"/>
    </xf>
    <xf numFmtId="0" fontId="129" fillId="0" borderId="0" xfId="0" applyFont="1" applyFill="1"/>
    <xf numFmtId="0" fontId="129" fillId="0" borderId="0" xfId="0" applyFont="1" applyFill="1" applyAlignment="1">
      <alignment horizontal="center"/>
    </xf>
    <xf numFmtId="220" fontId="129" fillId="0" borderId="0" xfId="4735" applyNumberFormat="1" applyFont="1" applyFill="1"/>
    <xf numFmtId="168" fontId="108" fillId="0" borderId="0" xfId="1" applyNumberFormat="1" applyFont="1" applyFill="1"/>
    <xf numFmtId="9" fontId="108" fillId="0" borderId="0" xfId="4736" applyFont="1" applyFill="1"/>
    <xf numFmtId="9" fontId="108" fillId="0" borderId="14" xfId="4736" applyFont="1" applyFill="1" applyBorder="1"/>
    <xf numFmtId="9" fontId="108" fillId="0" borderId="12" xfId="4736" applyFont="1" applyFill="1" applyBorder="1"/>
    <xf numFmtId="9" fontId="108" fillId="0" borderId="38" xfId="4736" applyFont="1" applyFill="1" applyBorder="1"/>
    <xf numFmtId="165" fontId="108" fillId="0" borderId="31" xfId="4735" applyNumberFormat="1" applyFont="1" applyFill="1" applyBorder="1"/>
    <xf numFmtId="41" fontId="108" fillId="0" borderId="0" xfId="1" applyNumberFormat="1" applyFont="1" applyFill="1"/>
    <xf numFmtId="41" fontId="108" fillId="0" borderId="12" xfId="1" applyNumberFormat="1" applyFont="1" applyFill="1" applyBorder="1"/>
    <xf numFmtId="43" fontId="108" fillId="0" borderId="0" xfId="0" applyNumberFormat="1" applyFont="1" applyFill="1"/>
    <xf numFmtId="165" fontId="109" fillId="0" borderId="0" xfId="4735" applyNumberFormat="1" applyFont="1" applyFill="1" applyBorder="1" applyAlignment="1">
      <alignment horizontal="center" vertical="center"/>
    </xf>
    <xf numFmtId="165" fontId="109" fillId="0" borderId="0" xfId="4735" applyNumberFormat="1" applyFont="1" applyFill="1" applyAlignment="1">
      <alignment horizontal="center"/>
    </xf>
    <xf numFmtId="165" fontId="109" fillId="0" borderId="12" xfId="4735" applyNumberFormat="1" applyFont="1" applyFill="1" applyBorder="1" applyAlignment="1">
      <alignment horizontal="center"/>
    </xf>
    <xf numFmtId="165" fontId="109" fillId="0" borderId="12" xfId="3" quotePrefix="1" applyNumberFormat="1" applyFont="1" applyFill="1" applyBorder="1" applyAlignment="1">
      <alignment horizontal="center"/>
    </xf>
    <xf numFmtId="165" fontId="109" fillId="0" borderId="31" xfId="4735" applyNumberFormat="1" applyFont="1" applyFill="1" applyBorder="1" applyAlignment="1">
      <alignment horizontal="center"/>
    </xf>
    <xf numFmtId="165" fontId="109" fillId="0" borderId="63" xfId="4735" applyNumberFormat="1" applyFont="1" applyFill="1" applyBorder="1"/>
    <xf numFmtId="41" fontId="108" fillId="0" borderId="0" xfId="0" applyNumberFormat="1" applyFont="1" applyFill="1"/>
    <xf numFmtId="9" fontId="129" fillId="0" borderId="0" xfId="4736" applyFont="1" applyFill="1"/>
    <xf numFmtId="41" fontId="129" fillId="0" borderId="0" xfId="1" applyFont="1" applyFill="1"/>
    <xf numFmtId="9" fontId="108" fillId="0" borderId="31" xfId="4736" applyFont="1" applyFill="1" applyBorder="1"/>
    <xf numFmtId="165" fontId="109" fillId="0" borderId="38" xfId="4735" applyNumberFormat="1" applyFont="1" applyFill="1" applyBorder="1" applyAlignment="1">
      <alignment horizontal="center"/>
    </xf>
    <xf numFmtId="10" fontId="108" fillId="0" borderId="0" xfId="4736" applyNumberFormat="1" applyFont="1" applyFill="1"/>
    <xf numFmtId="9" fontId="108" fillId="0" borderId="0" xfId="4736" applyFont="1" applyFill="1" applyBorder="1"/>
    <xf numFmtId="9" fontId="108" fillId="0" borderId="44" xfId="4736" applyFont="1" applyFill="1" applyBorder="1"/>
    <xf numFmtId="41" fontId="109" fillId="0" borderId="0" xfId="1" applyFont="1" applyFill="1" applyBorder="1" applyAlignment="1">
      <alignment horizontal="center" vertical="center"/>
    </xf>
    <xf numFmtId="0" fontId="0" fillId="0" borderId="0" xfId="0" applyFill="1"/>
    <xf numFmtId="0" fontId="109" fillId="0" borderId="0" xfId="2" applyFont="1" applyFill="1" applyAlignment="1">
      <alignment horizontal="right"/>
    </xf>
    <xf numFmtId="41" fontId="108" fillId="0" borderId="63" xfId="1" applyFont="1" applyFill="1" applyBorder="1"/>
    <xf numFmtId="0" fontId="109" fillId="0" borderId="0" xfId="0" applyFont="1" applyFill="1" applyAlignment="1">
      <alignment horizontal="right"/>
    </xf>
    <xf numFmtId="165" fontId="30" fillId="0" borderId="0" xfId="4735" applyNumberFormat="1" applyFont="1" applyFill="1" applyBorder="1" applyAlignment="1">
      <alignment horizontal="left"/>
    </xf>
    <xf numFmtId="0" fontId="30" fillId="0" borderId="0" xfId="0" applyFont="1" applyFill="1" applyBorder="1" applyAlignment="1">
      <alignment horizontal="left"/>
    </xf>
    <xf numFmtId="41" fontId="108" fillId="0" borderId="12" xfId="0" applyNumberFormat="1" applyFont="1" applyFill="1" applyBorder="1"/>
    <xf numFmtId="0" fontId="109" fillId="0" borderId="0" xfId="0" applyFont="1" applyFill="1" applyAlignment="1">
      <alignment horizontal="left"/>
    </xf>
    <xf numFmtId="9" fontId="108" fillId="0" borderId="0" xfId="4736" applyNumberFormat="1" applyFont="1" applyFill="1"/>
    <xf numFmtId="165" fontId="114" fillId="0" borderId="12" xfId="4735" applyNumberFormat="1" applyFont="1" applyFill="1" applyBorder="1" applyAlignment="1">
      <alignment vertical="center"/>
    </xf>
    <xf numFmtId="165" fontId="112" fillId="0" borderId="0" xfId="4735" applyNumberFormat="1" applyFont="1" applyFill="1" applyBorder="1" applyAlignment="1"/>
    <xf numFmtId="165" fontId="129" fillId="0" borderId="0" xfId="0" applyNumberFormat="1" applyFont="1" applyFill="1" applyAlignment="1">
      <alignment horizontal="center"/>
    </xf>
    <xf numFmtId="165" fontId="150" fillId="0" borderId="0" xfId="4735" applyNumberFormat="1" applyFont="1" applyFill="1" applyBorder="1"/>
    <xf numFmtId="0" fontId="109" fillId="0" borderId="38" xfId="0" applyFont="1" applyFill="1" applyBorder="1" applyAlignment="1">
      <alignment horizontal="center"/>
    </xf>
    <xf numFmtId="9" fontId="109" fillId="0" borderId="38" xfId="4736" applyFont="1" applyFill="1" applyBorder="1" applyAlignment="1">
      <alignment horizontal="center"/>
    </xf>
    <xf numFmtId="9" fontId="109" fillId="0" borderId="0" xfId="4736" applyFont="1" applyFill="1"/>
    <xf numFmtId="168" fontId="108" fillId="0" borderId="0" xfId="0" applyNumberFormat="1" applyFont="1" applyFill="1"/>
    <xf numFmtId="9" fontId="108" fillId="0" borderId="0" xfId="4736" applyFont="1" applyFill="1" applyAlignment="1">
      <alignment horizontal="right"/>
    </xf>
    <xf numFmtId="9" fontId="108" fillId="0" borderId="12" xfId="4736" applyFont="1" applyFill="1" applyBorder="1" applyAlignment="1">
      <alignment horizontal="right"/>
    </xf>
    <xf numFmtId="41" fontId="108" fillId="0" borderId="63" xfId="1" applyNumberFormat="1" applyFont="1" applyFill="1" applyBorder="1"/>
    <xf numFmtId="41" fontId="108" fillId="0" borderId="0" xfId="1" applyNumberFormat="1" applyFont="1" applyFill="1" applyBorder="1"/>
    <xf numFmtId="0" fontId="109" fillId="0" borderId="0" xfId="0" applyFont="1" applyFill="1" applyAlignment="1">
      <alignment horizontal="left" indent="10"/>
    </xf>
    <xf numFmtId="0" fontId="108" fillId="0" borderId="0" xfId="0" applyFont="1" applyFill="1" applyAlignment="1">
      <alignment horizontal="right"/>
    </xf>
    <xf numFmtId="0" fontId="110" fillId="0" borderId="0" xfId="0" applyFont="1" applyFill="1"/>
    <xf numFmtId="0" fontId="108" fillId="0" borderId="0" xfId="0" quotePrefix="1" applyFont="1" applyFill="1"/>
    <xf numFmtId="41" fontId="108" fillId="0" borderId="0" xfId="1" quotePrefix="1" applyFont="1" applyFill="1"/>
    <xf numFmtId="0" fontId="110" fillId="0" borderId="0" xfId="0" quotePrefix="1" applyFont="1" applyFill="1"/>
    <xf numFmtId="0" fontId="108" fillId="0" borderId="0" xfId="0" quotePrefix="1" applyFont="1" applyFill="1" applyBorder="1"/>
    <xf numFmtId="41" fontId="108" fillId="0" borderId="0" xfId="1" quotePrefix="1" applyFont="1" applyFill="1" applyBorder="1"/>
    <xf numFmtId="41" fontId="108" fillId="0" borderId="12" xfId="1" quotePrefix="1" applyFont="1" applyFill="1" applyBorder="1"/>
    <xf numFmtId="0" fontId="108" fillId="0" borderId="0" xfId="0" quotePrefix="1" applyFont="1" applyFill="1" applyBorder="1" applyAlignment="1">
      <alignment horizontal="right"/>
    </xf>
    <xf numFmtId="41" fontId="108" fillId="0" borderId="0" xfId="1" quotePrefix="1" applyFont="1" applyFill="1" applyBorder="1" applyAlignment="1">
      <alignment horizontal="right"/>
    </xf>
    <xf numFmtId="41" fontId="108" fillId="0" borderId="63" xfId="1" quotePrefix="1" applyFont="1" applyFill="1" applyBorder="1" applyAlignment="1">
      <alignment horizontal="center"/>
    </xf>
    <xf numFmtId="41" fontId="108" fillId="0" borderId="0" xfId="1" quotePrefix="1" applyFont="1" applyFill="1" applyBorder="1" applyAlignment="1">
      <alignment horizontal="center"/>
    </xf>
    <xf numFmtId="9" fontId="108" fillId="0" borderId="0" xfId="4736" applyFont="1" applyFill="1" applyBorder="1" applyAlignment="1">
      <alignment horizontal="right"/>
    </xf>
    <xf numFmtId="165" fontId="30" fillId="0" borderId="12" xfId="4735" applyNumberFormat="1" applyFont="1" applyFill="1" applyBorder="1" applyAlignment="1">
      <alignment horizontal="left"/>
    </xf>
    <xf numFmtId="41" fontId="108" fillId="0" borderId="0" xfId="1" applyNumberFormat="1" applyFont="1" applyFill="1" applyAlignment="1">
      <alignment horizontal="right"/>
    </xf>
    <xf numFmtId="0" fontId="30" fillId="0" borderId="0" xfId="0" applyFont="1" applyFill="1" applyAlignment="1">
      <alignment horizontal="left" indent="1"/>
    </xf>
    <xf numFmtId="0" fontId="108" fillId="0" borderId="0" xfId="0" applyFont="1" applyFill="1" applyAlignment="1">
      <alignment horizontal="right" indent="1"/>
    </xf>
    <xf numFmtId="41" fontId="109" fillId="0" borderId="0" xfId="1" applyFont="1" applyFill="1" applyBorder="1" applyAlignment="1">
      <alignment horizontal="center"/>
    </xf>
    <xf numFmtId="41" fontId="111" fillId="0" borderId="0" xfId="1" applyFont="1" applyFill="1" applyBorder="1" applyAlignment="1">
      <alignment horizontal="center"/>
    </xf>
    <xf numFmtId="165" fontId="109" fillId="0" borderId="0" xfId="4735" applyNumberFormat="1" applyFont="1" applyFill="1" applyBorder="1" applyAlignment="1">
      <alignment horizontal="center"/>
    </xf>
    <xf numFmtId="165" fontId="111" fillId="0" borderId="0" xfId="4735" applyNumberFormat="1" applyFont="1" applyFill="1" applyBorder="1" applyAlignment="1">
      <alignment horizontal="center"/>
    </xf>
    <xf numFmtId="0" fontId="109" fillId="0" borderId="0" xfId="0" applyFont="1" applyFill="1" applyBorder="1" applyAlignment="1">
      <alignment horizontal="center"/>
    </xf>
    <xf numFmtId="165" fontId="108" fillId="0" borderId="0" xfId="4735" applyNumberFormat="1" applyFont="1" applyFill="1" applyBorder="1" applyAlignment="1">
      <alignment horizontal="center"/>
    </xf>
    <xf numFmtId="0" fontId="108" fillId="0" borderId="0" xfId="0" applyFont="1" applyFill="1" applyBorder="1" applyAlignment="1">
      <alignment horizontal="right"/>
    </xf>
    <xf numFmtId="41" fontId="108" fillId="0" borderId="63" xfId="1" applyFont="1" applyFill="1" applyBorder="1" applyAlignment="1">
      <alignment horizontal="right"/>
    </xf>
    <xf numFmtId="165" fontId="108" fillId="0" borderId="0" xfId="4735" applyNumberFormat="1" applyFont="1" applyFill="1" applyBorder="1" applyAlignment="1">
      <alignment horizontal="left"/>
    </xf>
    <xf numFmtId="41" fontId="108" fillId="0" borderId="0" xfId="1" applyFont="1" applyFill="1" applyBorder="1" applyAlignment="1">
      <alignment horizontal="right"/>
    </xf>
    <xf numFmtId="0" fontId="109" fillId="0" borderId="0" xfId="0" applyFont="1" applyFill="1" applyBorder="1" applyAlignment="1">
      <alignment horizontal="right"/>
    </xf>
    <xf numFmtId="41" fontId="109" fillId="0" borderId="0" xfId="1" applyFont="1" applyFill="1" applyBorder="1" applyAlignment="1">
      <alignment horizontal="right"/>
    </xf>
    <xf numFmtId="165" fontId="108" fillId="0" borderId="0" xfId="3" applyNumberFormat="1" applyFont="1" applyFill="1" applyBorder="1"/>
    <xf numFmtId="165" fontId="109" fillId="0" borderId="0" xfId="3" applyNumberFormat="1" applyFont="1" applyFill="1" applyBorder="1" applyAlignment="1">
      <alignment horizontal="left"/>
    </xf>
    <xf numFmtId="41" fontId="108" fillId="34" borderId="12" xfId="1" applyFont="1" applyFill="1" applyBorder="1"/>
    <xf numFmtId="0" fontId="109" fillId="52" borderId="0" xfId="2" applyFont="1" applyFill="1" applyBorder="1" applyAlignment="1">
      <alignment horizontal="center" vertical="center"/>
    </xf>
    <xf numFmtId="0" fontId="108" fillId="52" borderId="0" xfId="0" applyFont="1" applyFill="1"/>
    <xf numFmtId="17" fontId="109" fillId="52" borderId="0" xfId="1" applyNumberFormat="1" applyFont="1" applyFill="1" applyAlignment="1">
      <alignment horizontal="center"/>
    </xf>
    <xf numFmtId="43" fontId="108" fillId="52" borderId="0" xfId="4735" applyFont="1" applyFill="1"/>
    <xf numFmtId="41" fontId="108" fillId="52" borderId="0" xfId="1" applyNumberFormat="1" applyFont="1" applyFill="1"/>
    <xf numFmtId="41" fontId="109" fillId="52" borderId="14" xfId="1" applyNumberFormat="1" applyFont="1" applyFill="1" applyBorder="1"/>
    <xf numFmtId="41" fontId="108" fillId="52" borderId="15" xfId="1" applyNumberFormat="1" applyFont="1" applyFill="1" applyBorder="1"/>
    <xf numFmtId="43" fontId="109" fillId="52" borderId="12" xfId="4735" quotePrefix="1" applyFont="1" applyFill="1" applyBorder="1" applyAlignment="1">
      <alignment horizontal="center"/>
    </xf>
    <xf numFmtId="165" fontId="108" fillId="52" borderId="0" xfId="4735" applyNumberFormat="1" applyFont="1" applyFill="1"/>
    <xf numFmtId="165" fontId="108" fillId="52" borderId="12" xfId="4735" applyNumberFormat="1" applyFont="1" applyFill="1" applyBorder="1"/>
    <xf numFmtId="165" fontId="108" fillId="52" borderId="0" xfId="4735" applyNumberFormat="1" applyFont="1" applyFill="1" applyBorder="1"/>
    <xf numFmtId="165" fontId="109" fillId="52" borderId="0" xfId="4735" applyNumberFormat="1" applyFont="1" applyFill="1"/>
    <xf numFmtId="165" fontId="109" fillId="52" borderId="44" xfId="4735" applyNumberFormat="1" applyFont="1" applyFill="1" applyBorder="1"/>
    <xf numFmtId="168" fontId="129" fillId="0" borderId="0" xfId="4735" applyNumberFormat="1" applyFont="1" applyFill="1"/>
    <xf numFmtId="168" fontId="129" fillId="0" borderId="0" xfId="1" applyNumberFormat="1" applyFont="1" applyFill="1"/>
    <xf numFmtId="41" fontId="109" fillId="0" borderId="14" xfId="1" applyFont="1" applyFill="1" applyBorder="1"/>
    <xf numFmtId="41" fontId="108" fillId="0" borderId="14" xfId="1" applyFont="1" applyFill="1" applyBorder="1"/>
    <xf numFmtId="41" fontId="129" fillId="0" borderId="0" xfId="1" applyFont="1" applyFill="1" applyBorder="1"/>
    <xf numFmtId="0" fontId="129" fillId="0" borderId="0" xfId="0" applyFont="1" applyFill="1" applyBorder="1"/>
    <xf numFmtId="41" fontId="108" fillId="0" borderId="0" xfId="0" applyNumberFormat="1" applyFont="1" applyFill="1" applyBorder="1"/>
    <xf numFmtId="17" fontId="109" fillId="0" borderId="0" xfId="1" applyNumberFormat="1" applyFont="1" applyFill="1" applyAlignment="1">
      <alignment horizontal="center"/>
    </xf>
    <xf numFmtId="0" fontId="109" fillId="0" borderId="0" xfId="2" applyFont="1" applyFill="1" applyBorder="1" applyAlignment="1">
      <alignment horizontal="center" vertical="center"/>
    </xf>
    <xf numFmtId="41" fontId="108" fillId="0" borderId="31" xfId="1" applyFont="1" applyFill="1" applyBorder="1"/>
    <xf numFmtId="17" fontId="109" fillId="0" borderId="0" xfId="1" applyNumberFormat="1" applyFont="1" applyFill="1" applyAlignment="1">
      <alignment horizontal="center"/>
    </xf>
    <xf numFmtId="0" fontId="109" fillId="0" borderId="0" xfId="2" applyFont="1" applyFill="1" applyBorder="1" applyAlignment="1">
      <alignment horizontal="center" vertical="center"/>
    </xf>
    <xf numFmtId="41" fontId="112" fillId="0" borderId="0" xfId="1" applyFont="1" applyBorder="1" applyAlignment="1"/>
    <xf numFmtId="41" fontId="108" fillId="0" borderId="0" xfId="1" applyNumberFormat="1" applyFont="1" applyFill="1" applyBorder="1" applyAlignment="1">
      <alignment horizontal="center"/>
    </xf>
    <xf numFmtId="41" fontId="108" fillId="0" borderId="38" xfId="1" applyNumberFormat="1" applyFont="1" applyFill="1" applyBorder="1" applyAlignment="1">
      <alignment horizontal="center"/>
    </xf>
    <xf numFmtId="41" fontId="131" fillId="0" borderId="0" xfId="1" applyFont="1" applyFill="1"/>
    <xf numFmtId="41" fontId="131" fillId="34" borderId="0" xfId="1" applyFont="1" applyFill="1"/>
    <xf numFmtId="41" fontId="133" fillId="0" borderId="0" xfId="1" applyFont="1" applyFill="1" applyAlignment="1"/>
    <xf numFmtId="41" fontId="137" fillId="0" borderId="0" xfId="1" quotePrefix="1" applyFont="1" applyFill="1" applyBorder="1" applyAlignment="1">
      <alignment horizontal="center"/>
    </xf>
    <xf numFmtId="41" fontId="134" fillId="0" borderId="0" xfId="1" applyFont="1" applyFill="1" applyBorder="1" applyAlignment="1">
      <alignment horizontal="center"/>
    </xf>
    <xf numFmtId="41" fontId="137" fillId="0" borderId="0" xfId="1" applyFont="1" applyFill="1" applyBorder="1"/>
    <xf numFmtId="41" fontId="134" fillId="0" borderId="0" xfId="1" applyFont="1" applyFill="1" applyBorder="1"/>
    <xf numFmtId="41" fontId="137" fillId="0" borderId="0" xfId="1" applyFont="1" applyFill="1"/>
    <xf numFmtId="41" fontId="134" fillId="0" borderId="0" xfId="1" applyFont="1" applyFill="1"/>
    <xf numFmtId="41" fontId="140" fillId="0" borderId="0" xfId="1" applyFont="1" applyFill="1" applyAlignment="1">
      <alignment horizontal="center"/>
    </xf>
    <xf numFmtId="41" fontId="133" fillId="0" borderId="0" xfId="1" applyFont="1" applyFill="1"/>
    <xf numFmtId="41" fontId="131" fillId="0" borderId="38" xfId="1" applyFont="1" applyFill="1" applyBorder="1"/>
    <xf numFmtId="41" fontId="131" fillId="0" borderId="0" xfId="1" applyFont="1" applyFill="1" applyBorder="1"/>
    <xf numFmtId="41" fontId="147" fillId="0" borderId="0" xfId="1" applyFont="1" applyFill="1" applyBorder="1"/>
    <xf numFmtId="41" fontId="133" fillId="0" borderId="38" xfId="1" applyFont="1" applyFill="1" applyBorder="1" applyAlignment="1">
      <alignment horizontal="left" indent="1"/>
    </xf>
    <xf numFmtId="41" fontId="131" fillId="0" borderId="63" xfId="1" applyFont="1" applyFill="1" applyBorder="1" applyAlignment="1">
      <alignment horizontal="left" indent="1"/>
    </xf>
    <xf numFmtId="41" fontId="148" fillId="0" borderId="0" xfId="1" applyFont="1" applyFill="1" applyBorder="1" applyAlignment="1">
      <alignment horizontal="right" indent="1"/>
    </xf>
    <xf numFmtId="41" fontId="131" fillId="0" borderId="0" xfId="1" applyFont="1" applyFill="1" applyBorder="1" applyAlignment="1">
      <alignment horizontal="left" indent="1"/>
    </xf>
    <xf numFmtId="41" fontId="148" fillId="0" borderId="12" xfId="1" applyFont="1" applyFill="1" applyBorder="1" applyAlignment="1">
      <alignment horizontal="right" indent="1"/>
    </xf>
    <xf numFmtId="41" fontId="133" fillId="0" borderId="38" xfId="1" applyFont="1" applyFill="1" applyBorder="1" applyAlignment="1">
      <alignment horizontal="center"/>
    </xf>
    <xf numFmtId="41" fontId="133" fillId="0" borderId="0" xfId="1" applyFont="1" applyFill="1" applyBorder="1" applyAlignment="1">
      <alignment horizontal="center"/>
    </xf>
    <xf numFmtId="41" fontId="140" fillId="0" borderId="63" xfId="1" applyFont="1" applyFill="1" applyBorder="1" applyAlignment="1">
      <alignment horizontal="left" indent="1"/>
    </xf>
    <xf numFmtId="41" fontId="133" fillId="0" borderId="63" xfId="1" applyFont="1" applyFill="1" applyBorder="1" applyAlignment="1">
      <alignment horizontal="left" indent="1"/>
    </xf>
    <xf numFmtId="41" fontId="133" fillId="33" borderId="0" xfId="1" applyFont="1" applyFill="1" applyBorder="1" applyAlignment="1">
      <alignment horizontal="left" indent="1"/>
    </xf>
    <xf numFmtId="41" fontId="133" fillId="33" borderId="63" xfId="1" applyFont="1" applyFill="1" applyBorder="1" applyAlignment="1">
      <alignment horizontal="left" indent="1"/>
    </xf>
    <xf numFmtId="41" fontId="140" fillId="0" borderId="0" xfId="1" applyFont="1" applyFill="1" applyBorder="1" applyAlignment="1">
      <alignment horizontal="left" indent="1"/>
    </xf>
    <xf numFmtId="41" fontId="135" fillId="0" borderId="12" xfId="1" applyFont="1" applyFill="1" applyBorder="1"/>
    <xf numFmtId="41" fontId="133" fillId="0" borderId="0" xfId="1" applyFont="1" applyFill="1" applyBorder="1" applyAlignment="1">
      <alignment horizontal="left" indent="1"/>
    </xf>
    <xf numFmtId="168" fontId="108" fillId="0" borderId="0" xfId="2" applyNumberFormat="1" applyFont="1" applyFill="1"/>
    <xf numFmtId="168" fontId="108" fillId="52" borderId="0" xfId="4735" applyNumberFormat="1" applyFont="1" applyFill="1"/>
    <xf numFmtId="165" fontId="108" fillId="52" borderId="0" xfId="0" applyNumberFormat="1" applyFont="1" applyFill="1"/>
    <xf numFmtId="165" fontId="135" fillId="0" borderId="0" xfId="7326" applyNumberFormat="1" applyFont="1" applyFill="1" applyBorder="1"/>
    <xf numFmtId="17" fontId="109" fillId="0" borderId="0" xfId="1" applyNumberFormat="1" applyFont="1" applyFill="1" applyAlignment="1">
      <alignment horizontal="center"/>
    </xf>
    <xf numFmtId="0" fontId="109" fillId="0" borderId="0" xfId="2" applyFont="1" applyFill="1" applyBorder="1" applyAlignment="1">
      <alignment horizontal="center" vertical="center"/>
    </xf>
    <xf numFmtId="0" fontId="133" fillId="0" borderId="64" xfId="7325" applyFont="1" applyFill="1" applyBorder="1" applyAlignment="1"/>
    <xf numFmtId="0" fontId="133" fillId="0" borderId="38" xfId="7325" applyFont="1" applyFill="1" applyBorder="1" applyAlignment="1"/>
    <xf numFmtId="0" fontId="133" fillId="0" borderId="65" xfId="7325" applyFont="1" applyFill="1" applyBorder="1" applyAlignment="1"/>
    <xf numFmtId="41" fontId="108" fillId="51" borderId="0" xfId="1" applyFont="1" applyFill="1"/>
    <xf numFmtId="17" fontId="109" fillId="0" borderId="0" xfId="1" applyNumberFormat="1" applyFont="1" applyFill="1" applyAlignment="1">
      <alignment horizontal="center"/>
    </xf>
    <xf numFmtId="0" fontId="109" fillId="0" borderId="0" xfId="2" applyFont="1" applyFill="1" applyBorder="1" applyAlignment="1">
      <alignment horizontal="center" vertical="center"/>
    </xf>
    <xf numFmtId="165" fontId="108" fillId="0" borderId="0" xfId="3" applyNumberFormat="1" applyFont="1" applyFill="1" applyAlignment="1">
      <alignment horizontal="right" vertical="center" wrapText="1" readingOrder="1"/>
    </xf>
    <xf numFmtId="165" fontId="109" fillId="34" borderId="0" xfId="4735" applyNumberFormat="1" applyFont="1" applyFill="1" applyBorder="1" applyAlignment="1">
      <alignment horizontal="center" vertical="center"/>
    </xf>
    <xf numFmtId="17" fontId="109" fillId="34" borderId="12" xfId="1" applyNumberFormat="1" applyFont="1" applyFill="1" applyBorder="1" applyAlignment="1">
      <alignment horizontal="center"/>
    </xf>
    <xf numFmtId="165" fontId="108" fillId="34" borderId="0" xfId="4735" applyNumberFormat="1" applyFont="1" applyFill="1"/>
    <xf numFmtId="165" fontId="108" fillId="34" borderId="0" xfId="4735" applyNumberFormat="1" applyFont="1" applyFill="1" applyBorder="1"/>
    <xf numFmtId="165" fontId="108" fillId="34" borderId="12" xfId="4735" applyNumberFormat="1" applyFont="1" applyFill="1" applyBorder="1"/>
    <xf numFmtId="165" fontId="112" fillId="34" borderId="0" xfId="4735" applyNumberFormat="1" applyFont="1" applyFill="1" applyBorder="1" applyAlignment="1">
      <alignment horizontal="center"/>
    </xf>
    <xf numFmtId="0" fontId="0" fillId="34" borderId="0" xfId="0" applyFill="1" applyAlignment="1">
      <alignment vertical="center" wrapText="1"/>
    </xf>
    <xf numFmtId="41" fontId="108" fillId="34" borderId="0" xfId="1" quotePrefix="1" applyFont="1" applyFill="1" applyBorder="1" applyAlignment="1">
      <alignment horizontal="center"/>
    </xf>
    <xf numFmtId="41" fontId="108" fillId="34" borderId="0" xfId="1" applyNumberFormat="1" applyFont="1" applyFill="1"/>
    <xf numFmtId="41" fontId="108" fillId="34" borderId="0" xfId="1" applyFont="1" applyFill="1" applyBorder="1"/>
    <xf numFmtId="41" fontId="109" fillId="34" borderId="0" xfId="1" applyFont="1" applyFill="1" applyBorder="1" applyAlignment="1">
      <alignment horizontal="center"/>
    </xf>
    <xf numFmtId="41" fontId="108" fillId="34" borderId="63" xfId="1" applyFont="1" applyFill="1" applyBorder="1" applyAlignment="1">
      <alignment horizontal="right"/>
    </xf>
    <xf numFmtId="41" fontId="108" fillId="34" borderId="0" xfId="1" applyFont="1" applyFill="1" applyBorder="1" applyAlignment="1">
      <alignment horizontal="right"/>
    </xf>
    <xf numFmtId="41" fontId="109" fillId="34" borderId="0" xfId="1" applyFont="1" applyFill="1" applyBorder="1" applyAlignment="1">
      <alignment horizontal="right"/>
    </xf>
    <xf numFmtId="41" fontId="109" fillId="34" borderId="0" xfId="1" applyFont="1" applyFill="1" applyBorder="1"/>
    <xf numFmtId="165" fontId="109" fillId="34" borderId="12" xfId="4735" quotePrefix="1" applyNumberFormat="1" applyFont="1" applyFill="1" applyBorder="1" applyAlignment="1">
      <alignment horizontal="center"/>
    </xf>
    <xf numFmtId="41" fontId="129" fillId="0" borderId="0" xfId="1" applyNumberFormat="1" applyFont="1" applyFill="1"/>
    <xf numFmtId="0" fontId="30" fillId="0" borderId="0" xfId="0" applyFont="1" applyFill="1" applyAlignment="1">
      <alignment horizontal="left" wrapText="1"/>
    </xf>
    <xf numFmtId="0" fontId="30" fillId="0" borderId="0" xfId="2457" applyFont="1" applyFill="1" applyAlignment="1">
      <alignment horizontal="right"/>
    </xf>
    <xf numFmtId="165" fontId="30" fillId="0" borderId="0" xfId="588" applyNumberFormat="1" applyFont="1" applyFill="1" applyAlignment="1">
      <alignment horizontal="right"/>
    </xf>
    <xf numFmtId="41" fontId="30" fillId="0" borderId="0" xfId="1" applyFont="1" applyFill="1" applyAlignment="1">
      <alignment horizontal="right"/>
    </xf>
    <xf numFmtId="41" fontId="30" fillId="0" borderId="0" xfId="1" applyFont="1" applyFill="1"/>
    <xf numFmtId="165" fontId="114" fillId="0" borderId="0" xfId="588" applyNumberFormat="1" applyFont="1" applyFill="1"/>
    <xf numFmtId="41" fontId="30" fillId="0" borderId="0" xfId="0" applyNumberFormat="1" applyFont="1" applyFill="1"/>
    <xf numFmtId="0" fontId="30" fillId="0" borderId="0" xfId="2457" applyFont="1" applyFill="1" applyAlignment="1">
      <alignment horizontal="left"/>
    </xf>
    <xf numFmtId="165" fontId="30" fillId="0" borderId="12" xfId="588" applyNumberFormat="1" applyFont="1" applyFill="1" applyBorder="1" applyAlignment="1">
      <alignment horizontal="center"/>
    </xf>
    <xf numFmtId="41" fontId="30" fillId="0" borderId="12" xfId="1" applyFont="1" applyFill="1" applyBorder="1" applyAlignment="1">
      <alignment horizontal="center"/>
    </xf>
    <xf numFmtId="165" fontId="30" fillId="0" borderId="0" xfId="0" applyNumberFormat="1" applyFont="1" applyFill="1"/>
    <xf numFmtId="0" fontId="30" fillId="0" borderId="0" xfId="2457" applyFont="1" applyFill="1" applyAlignment="1">
      <alignment horizontal="center"/>
    </xf>
    <xf numFmtId="43" fontId="30" fillId="0" borderId="0" xfId="0" applyNumberFormat="1" applyFont="1" applyFill="1"/>
    <xf numFmtId="0" fontId="30" fillId="0" borderId="0" xfId="2638" applyFont="1" applyFill="1"/>
    <xf numFmtId="3" fontId="30" fillId="0" borderId="0" xfId="0" applyNumberFormat="1" applyFont="1" applyFill="1"/>
    <xf numFmtId="43" fontId="30" fillId="0" borderId="0" xfId="8" applyFont="1" applyFill="1"/>
    <xf numFmtId="0" fontId="30" fillId="0" borderId="0" xfId="2638" applyFont="1" applyFill="1" applyAlignment="1">
      <alignment horizontal="center"/>
    </xf>
    <xf numFmtId="41" fontId="30" fillId="0" borderId="0" xfId="1" applyFont="1" applyFill="1" applyBorder="1"/>
    <xf numFmtId="0" fontId="30" fillId="52" borderId="0" xfId="0" applyFont="1" applyFill="1" applyAlignment="1">
      <alignment horizontal="left"/>
    </xf>
    <xf numFmtId="0" fontId="30" fillId="61" borderId="0" xfId="0" applyFont="1" applyFill="1" applyAlignment="1">
      <alignment horizontal="left"/>
    </xf>
    <xf numFmtId="41" fontId="30" fillId="0" borderId="12" xfId="1" applyFont="1" applyFill="1" applyBorder="1"/>
    <xf numFmtId="165" fontId="114" fillId="0" borderId="12" xfId="588" applyNumberFormat="1" applyFont="1" applyFill="1" applyBorder="1" applyAlignment="1">
      <alignment horizontal="right"/>
    </xf>
    <xf numFmtId="165" fontId="30" fillId="0" borderId="0" xfId="4735" applyNumberFormat="1" applyFont="1" applyFill="1"/>
    <xf numFmtId="165" fontId="30" fillId="0" borderId="0" xfId="588" applyNumberFormat="1" applyFont="1" applyFill="1"/>
    <xf numFmtId="165" fontId="108" fillId="60" borderId="0" xfId="588" applyNumberFormat="1" applyFont="1" applyFill="1"/>
    <xf numFmtId="0" fontId="30" fillId="0" borderId="0" xfId="0" applyFont="1" applyFill="1" applyBorder="1"/>
    <xf numFmtId="41" fontId="30" fillId="0" borderId="0" xfId="0" applyNumberFormat="1" applyFont="1" applyFill="1" applyBorder="1"/>
    <xf numFmtId="165" fontId="30" fillId="0" borderId="0" xfId="0" applyNumberFormat="1" applyFont="1" applyFill="1" applyBorder="1"/>
    <xf numFmtId="165" fontId="114" fillId="0" borderId="0" xfId="0" applyNumberFormat="1" applyFont="1" applyFill="1"/>
    <xf numFmtId="0" fontId="114" fillId="0" borderId="0" xfId="0" applyFont="1" applyFill="1"/>
    <xf numFmtId="41" fontId="114" fillId="0" borderId="0" xfId="1" applyFont="1" applyFill="1"/>
    <xf numFmtId="41" fontId="30" fillId="0" borderId="12" xfId="1" applyFont="1" applyFill="1" applyBorder="1" applyAlignment="1">
      <alignment horizontal="right"/>
    </xf>
    <xf numFmtId="165" fontId="30" fillId="0" borderId="0" xfId="588" applyNumberFormat="1" applyFont="1" applyFill="1" applyBorder="1" applyAlignment="1">
      <alignment horizontal="right"/>
    </xf>
    <xf numFmtId="41" fontId="30" fillId="0" borderId="0" xfId="1" applyFont="1" applyFill="1" applyBorder="1" applyAlignment="1">
      <alignment horizontal="right"/>
    </xf>
    <xf numFmtId="0" fontId="30" fillId="0" borderId="12" xfId="0" applyFont="1" applyFill="1" applyBorder="1"/>
    <xf numFmtId="0" fontId="30" fillId="0" borderId="12" xfId="0" applyFont="1" applyFill="1" applyBorder="1" applyAlignment="1">
      <alignment horizontal="left"/>
    </xf>
    <xf numFmtId="165" fontId="109" fillId="0" borderId="0" xfId="0" applyNumberFormat="1" applyFont="1" applyFill="1" applyBorder="1" applyAlignment="1">
      <alignment horizontal="center"/>
    </xf>
    <xf numFmtId="165" fontId="109" fillId="52" borderId="0" xfId="4735" applyNumberFormat="1" applyFont="1" applyFill="1" applyBorder="1"/>
    <xf numFmtId="0" fontId="108" fillId="0" borderId="44" xfId="0" applyFont="1" applyFill="1" applyBorder="1"/>
    <xf numFmtId="165" fontId="129" fillId="0" borderId="44" xfId="0" applyNumberFormat="1" applyFont="1" applyFill="1" applyBorder="1" applyAlignment="1">
      <alignment horizontal="center"/>
    </xf>
    <xf numFmtId="41" fontId="108" fillId="52" borderId="12" xfId="1" applyNumberFormat="1" applyFont="1" applyFill="1" applyBorder="1"/>
    <xf numFmtId="215" fontId="109" fillId="0" borderId="0" xfId="0" quotePrefix="1" applyNumberFormat="1" applyFont="1" applyAlignment="1">
      <alignment horizontal="center"/>
    </xf>
    <xf numFmtId="165" fontId="108" fillId="0" borderId="12" xfId="588" applyNumberFormat="1" applyFont="1" applyFill="1" applyBorder="1"/>
    <xf numFmtId="165" fontId="114" fillId="0" borderId="0" xfId="588" applyNumberFormat="1" applyFont="1" applyFill="1" applyBorder="1" applyAlignment="1">
      <alignment horizontal="right"/>
    </xf>
    <xf numFmtId="165" fontId="30" fillId="0" borderId="0" xfId="588" applyNumberFormat="1" applyFont="1" applyFill="1" applyBorder="1"/>
    <xf numFmtId="0" fontId="30" fillId="0" borderId="0" xfId="2638" applyFont="1" applyFill="1" applyBorder="1" applyAlignment="1">
      <alignment horizontal="center"/>
    </xf>
    <xf numFmtId="43" fontId="30" fillId="0" borderId="0" xfId="8" applyFont="1" applyFill="1" applyBorder="1"/>
    <xf numFmtId="0" fontId="0" fillId="0" borderId="0" xfId="0" applyBorder="1"/>
    <xf numFmtId="165" fontId="109" fillId="52" borderId="12" xfId="4" quotePrefix="1" applyNumberFormat="1" applyFont="1" applyFill="1" applyBorder="1" applyAlignment="1">
      <alignment horizontal="center"/>
    </xf>
    <xf numFmtId="43" fontId="108" fillId="52" borderId="12" xfId="4735" applyFont="1" applyFill="1" applyBorder="1"/>
    <xf numFmtId="165" fontId="108" fillId="52" borderId="0" xfId="0" applyNumberFormat="1" applyFont="1" applyFill="1" applyBorder="1"/>
    <xf numFmtId="0" fontId="108" fillId="52" borderId="0" xfId="0" applyFont="1" applyFill="1" applyBorder="1"/>
    <xf numFmtId="0" fontId="108" fillId="52" borderId="12" xfId="0" applyFont="1" applyFill="1" applyBorder="1"/>
    <xf numFmtId="165" fontId="109" fillId="52" borderId="44" xfId="0" applyNumberFormat="1" applyFont="1" applyFill="1" applyBorder="1"/>
    <xf numFmtId="165" fontId="109" fillId="52" borderId="0" xfId="0" applyNumberFormat="1" applyFont="1" applyFill="1" applyBorder="1"/>
    <xf numFmtId="41" fontId="109" fillId="52" borderId="0" xfId="0" applyNumberFormat="1" applyFont="1" applyFill="1" applyAlignment="1">
      <alignment horizontal="center"/>
    </xf>
    <xf numFmtId="165" fontId="114" fillId="0" borderId="12" xfId="588" applyNumberFormat="1" applyFont="1" applyFill="1" applyBorder="1" applyAlignment="1">
      <alignment horizontal="center"/>
    </xf>
    <xf numFmtId="41" fontId="108" fillId="0" borderId="31" xfId="4735" applyNumberFormat="1" applyFont="1" applyFill="1" applyBorder="1"/>
    <xf numFmtId="165" fontId="114" fillId="52" borderId="0" xfId="588" applyNumberFormat="1" applyFont="1" applyFill="1" applyBorder="1" applyAlignment="1">
      <alignment horizontal="right"/>
    </xf>
    <xf numFmtId="0" fontId="30" fillId="52" borderId="0" xfId="2457" applyFont="1" applyFill="1" applyAlignment="1">
      <alignment horizontal="center"/>
    </xf>
    <xf numFmtId="165" fontId="30" fillId="52" borderId="0" xfId="588" applyNumberFormat="1" applyFont="1" applyFill="1" applyAlignment="1">
      <alignment horizontal="right"/>
    </xf>
    <xf numFmtId="41" fontId="30" fillId="52" borderId="0" xfId="1" applyFont="1" applyFill="1" applyBorder="1" applyAlignment="1">
      <alignment horizontal="right"/>
    </xf>
    <xf numFmtId="0" fontId="30" fillId="52" borderId="0" xfId="0" applyFont="1" applyFill="1"/>
    <xf numFmtId="41" fontId="108" fillId="52" borderId="0" xfId="1" applyFont="1" applyFill="1" applyBorder="1"/>
    <xf numFmtId="43" fontId="30" fillId="52" borderId="0" xfId="0" applyNumberFormat="1" applyFont="1" applyFill="1"/>
    <xf numFmtId="0" fontId="0" fillId="52" borderId="0" xfId="0" applyFill="1"/>
    <xf numFmtId="165" fontId="30" fillId="52" borderId="0" xfId="0" applyNumberFormat="1" applyFont="1" applyFill="1"/>
    <xf numFmtId="0" fontId="0" fillId="60" borderId="0" xfId="0" applyFill="1"/>
    <xf numFmtId="41" fontId="30" fillId="52" borderId="0" xfId="1" applyFont="1" applyFill="1"/>
    <xf numFmtId="41" fontId="30" fillId="52" borderId="0" xfId="0" applyNumberFormat="1" applyFont="1" applyFill="1"/>
    <xf numFmtId="41" fontId="30" fillId="52" borderId="0" xfId="552" applyFont="1" applyFill="1" applyAlignment="1">
      <alignment horizontal="right"/>
    </xf>
    <xf numFmtId="41" fontId="108" fillId="52" borderId="0" xfId="1" applyFont="1" applyFill="1"/>
    <xf numFmtId="41" fontId="109" fillId="52" borderId="0" xfId="1" applyFont="1" applyFill="1"/>
    <xf numFmtId="41" fontId="109" fillId="52" borderId="0" xfId="645" applyFont="1" applyFill="1"/>
    <xf numFmtId="41" fontId="111" fillId="52" borderId="0" xfId="662" applyFont="1" applyFill="1"/>
    <xf numFmtId="0" fontId="111" fillId="52" borderId="0" xfId="2638" applyFont="1" applyFill="1"/>
    <xf numFmtId="0" fontId="30" fillId="52" borderId="0" xfId="2638" applyFont="1" applyFill="1"/>
    <xf numFmtId="41" fontId="30" fillId="52" borderId="0" xfId="2457" applyNumberFormat="1" applyFont="1" applyFill="1" applyAlignment="1">
      <alignment horizontal="center"/>
    </xf>
    <xf numFmtId="41" fontId="30" fillId="52" borderId="0" xfId="2638" applyNumberFormat="1" applyFont="1" applyFill="1"/>
    <xf numFmtId="3" fontId="30" fillId="52" borderId="0" xfId="0" applyNumberFormat="1" applyFont="1" applyFill="1"/>
    <xf numFmtId="43" fontId="30" fillId="52" borderId="0" xfId="8" applyFont="1" applyFill="1"/>
    <xf numFmtId="41" fontId="108" fillId="52" borderId="0" xfId="1" applyFont="1" applyFill="1" applyAlignment="1">
      <alignment horizontal="left"/>
    </xf>
    <xf numFmtId="0" fontId="30" fillId="52" borderId="0" xfId="0" applyFont="1" applyFill="1" applyBorder="1" applyAlignment="1">
      <alignment horizontal="left"/>
    </xf>
    <xf numFmtId="0" fontId="108" fillId="52" borderId="0" xfId="0" applyFont="1" applyFill="1" applyAlignment="1">
      <alignment horizontal="left"/>
    </xf>
    <xf numFmtId="0" fontId="30" fillId="52" borderId="0" xfId="0" applyFont="1" applyFill="1" applyAlignment="1">
      <alignment horizontal="center"/>
    </xf>
    <xf numFmtId="0" fontId="30" fillId="52" borderId="0" xfId="2638" applyFont="1" applyFill="1" applyAlignment="1">
      <alignment horizontal="center"/>
    </xf>
    <xf numFmtId="43" fontId="30" fillId="52" borderId="0" xfId="8" applyNumberFormat="1" applyFont="1" applyFill="1"/>
    <xf numFmtId="165" fontId="30" fillId="52" borderId="0" xfId="0" applyNumberFormat="1" applyFont="1" applyFill="1" applyBorder="1"/>
    <xf numFmtId="0" fontId="30" fillId="52" borderId="0" xfId="0" applyFont="1" applyFill="1" applyBorder="1"/>
    <xf numFmtId="43" fontId="30" fillId="52" borderId="0" xfId="8" applyFont="1" applyFill="1" applyAlignment="1">
      <alignment horizontal="right"/>
    </xf>
    <xf numFmtId="41" fontId="30" fillId="52" borderId="0" xfId="0" applyNumberFormat="1" applyFont="1" applyFill="1" applyBorder="1"/>
    <xf numFmtId="0" fontId="42" fillId="0" borderId="0" xfId="11479" applyNumberFormat="1" applyFont="1"/>
    <xf numFmtId="0" fontId="42" fillId="0" borderId="0" xfId="11479" applyNumberFormat="1" applyFont="1" applyAlignment="1">
      <alignment horizontal="left"/>
    </xf>
    <xf numFmtId="221" fontId="42" fillId="0" borderId="0" xfId="11479" applyNumberFormat="1" applyFont="1"/>
    <xf numFmtId="0" fontId="152" fillId="0" borderId="0" xfId="11479" applyNumberFormat="1" applyFont="1"/>
    <xf numFmtId="0" fontId="153" fillId="0" borderId="0" xfId="11479" applyNumberFormat="1" applyFont="1"/>
    <xf numFmtId="4" fontId="152" fillId="0" borderId="0" xfId="11479" applyNumberFormat="1" applyFont="1"/>
    <xf numFmtId="4" fontId="42" fillId="0" borderId="0" xfId="11479" applyNumberFormat="1" applyFont="1" applyAlignment="1">
      <alignment horizontal="left"/>
    </xf>
    <xf numFmtId="0" fontId="154" fillId="0" borderId="0" xfId="11479" applyNumberFormat="1" applyFont="1"/>
    <xf numFmtId="4" fontId="42" fillId="0" borderId="0" xfId="11479" applyNumberFormat="1" applyFont="1"/>
    <xf numFmtId="0" fontId="108" fillId="0" borderId="0" xfId="11479" applyFont="1" applyFill="1"/>
    <xf numFmtId="43" fontId="152" fillId="0" borderId="0" xfId="1092" applyFont="1"/>
    <xf numFmtId="0" fontId="108" fillId="0" borderId="0" xfId="11479" applyFont="1" applyFill="1" applyAlignment="1">
      <alignment horizontal="left"/>
    </xf>
    <xf numFmtId="0" fontId="152" fillId="0" borderId="0" xfId="11479" applyNumberFormat="1" applyFont="1" applyAlignment="1">
      <alignment horizontal="left"/>
    </xf>
    <xf numFmtId="0" fontId="108" fillId="52" borderId="0" xfId="11479" applyFont="1" applyFill="1" applyAlignment="1">
      <alignment horizontal="left"/>
    </xf>
    <xf numFmtId="0" fontId="30" fillId="0" borderId="0" xfId="11479" applyFont="1" applyFill="1" applyBorder="1" applyAlignment="1">
      <alignment horizontal="left"/>
    </xf>
    <xf numFmtId="0" fontId="42" fillId="0" borderId="0" xfId="11479" applyNumberFormat="1" applyFont="1" applyAlignment="1"/>
    <xf numFmtId="0" fontId="151" fillId="0" borderId="0" xfId="11479" applyNumberFormat="1" applyFont="1" applyAlignment="1">
      <alignment horizontal="center"/>
    </xf>
    <xf numFmtId="43" fontId="108" fillId="0" borderId="0" xfId="4735" applyFont="1" applyFill="1" applyBorder="1"/>
    <xf numFmtId="43" fontId="109" fillId="0" borderId="0" xfId="4735" applyFont="1" applyFill="1" applyBorder="1" applyAlignment="1">
      <alignment horizontal="center"/>
    </xf>
    <xf numFmtId="0" fontId="6" fillId="60" borderId="0" xfId="0" applyFont="1" applyFill="1"/>
    <xf numFmtId="0" fontId="6" fillId="0" borderId="0" xfId="0" applyFont="1"/>
    <xf numFmtId="0" fontId="8" fillId="0" borderId="0" xfId="2" applyFont="1" applyFill="1" applyAlignment="1">
      <alignment horizontal="center" vertical="center"/>
    </xf>
    <xf numFmtId="0" fontId="8" fillId="0" borderId="0" xfId="2" applyFont="1" applyFill="1" applyAlignment="1">
      <alignment horizontal="center"/>
    </xf>
    <xf numFmtId="0" fontId="9" fillId="0" borderId="10" xfId="2" applyFont="1" applyFill="1" applyBorder="1" applyAlignment="1">
      <alignment horizontal="center" vertical="center"/>
    </xf>
    <xf numFmtId="0" fontId="9" fillId="0" borderId="10" xfId="2" applyFont="1" applyFill="1" applyBorder="1" applyAlignment="1">
      <alignment horizontal="center"/>
    </xf>
    <xf numFmtId="165" fontId="18" fillId="0" borderId="0" xfId="3" applyNumberFormat="1" applyFont="1" applyFill="1" applyAlignment="1">
      <alignment horizontal="center"/>
    </xf>
    <xf numFmtId="165" fontId="18" fillId="0" borderId="0" xfId="3" applyNumberFormat="1" applyFont="1" applyFill="1" applyBorder="1" applyAlignment="1">
      <alignment horizontal="center"/>
    </xf>
    <xf numFmtId="166" fontId="108" fillId="0" borderId="0" xfId="4737" applyFont="1" applyFill="1" applyAlignment="1">
      <alignment horizontal="center"/>
    </xf>
    <xf numFmtId="166" fontId="119" fillId="0" borderId="0" xfId="4737" applyFont="1" applyFill="1" applyAlignment="1">
      <alignment horizontal="center" vertical="center"/>
    </xf>
    <xf numFmtId="166" fontId="120" fillId="0" borderId="0" xfId="4737" applyFont="1" applyFill="1" applyAlignment="1">
      <alignment horizontal="center" vertical="center"/>
    </xf>
    <xf numFmtId="0" fontId="109" fillId="0" borderId="0" xfId="2" applyFont="1" applyFill="1" applyAlignment="1">
      <alignment horizontal="center" vertical="center"/>
    </xf>
    <xf numFmtId="17" fontId="109" fillId="0" borderId="0" xfId="1" applyNumberFormat="1" applyFont="1" applyFill="1" applyAlignment="1">
      <alignment horizontal="center"/>
    </xf>
    <xf numFmtId="0" fontId="109" fillId="0" borderId="31" xfId="2" applyFont="1" applyFill="1" applyBorder="1" applyAlignment="1">
      <alignment horizontal="center" vertical="center"/>
    </xf>
    <xf numFmtId="17" fontId="109" fillId="52" borderId="0" xfId="1" applyNumberFormat="1" applyFont="1" applyFill="1" applyAlignment="1">
      <alignment horizontal="center"/>
    </xf>
    <xf numFmtId="0" fontId="109" fillId="0" borderId="0" xfId="2" applyFont="1" applyFill="1" applyBorder="1" applyAlignment="1">
      <alignment horizontal="center" vertical="center"/>
    </xf>
    <xf numFmtId="17" fontId="109" fillId="34" borderId="0" xfId="1" applyNumberFormat="1" applyFont="1" applyFill="1" applyAlignment="1">
      <alignment horizontal="center"/>
    </xf>
    <xf numFmtId="0" fontId="125" fillId="50" borderId="45" xfId="2479" applyFont="1" applyFill="1" applyBorder="1" applyAlignment="1">
      <alignment horizontal="left"/>
    </xf>
    <xf numFmtId="0" fontId="125" fillId="50" borderId="13" xfId="2479" applyFont="1" applyFill="1" applyBorder="1" applyAlignment="1">
      <alignment horizontal="left"/>
    </xf>
    <xf numFmtId="0" fontId="125" fillId="50" borderId="46" xfId="2479" applyFont="1" applyFill="1" applyBorder="1" applyAlignment="1">
      <alignment horizontal="left"/>
    </xf>
    <xf numFmtId="0" fontId="125" fillId="0" borderId="17" xfId="2479" applyFont="1" applyBorder="1" applyAlignment="1">
      <alignment horizontal="center" vertical="center"/>
    </xf>
    <xf numFmtId="0" fontId="125" fillId="0" borderId="18" xfId="2479" applyFont="1" applyBorder="1" applyAlignment="1">
      <alignment horizontal="center" vertical="center"/>
    </xf>
    <xf numFmtId="0" fontId="125" fillId="34" borderId="45" xfId="2479" applyFont="1" applyFill="1" applyBorder="1" applyAlignment="1">
      <alignment horizontal="center"/>
    </xf>
    <xf numFmtId="0" fontId="125" fillId="34" borderId="46" xfId="2479" applyFont="1" applyFill="1" applyBorder="1" applyAlignment="1">
      <alignment horizontal="center"/>
    </xf>
    <xf numFmtId="165" fontId="109" fillId="0" borderId="19" xfId="3" applyNumberFormat="1" applyFont="1" applyFill="1" applyBorder="1" applyAlignment="1">
      <alignment horizontal="center" vertical="center"/>
    </xf>
    <xf numFmtId="165" fontId="109" fillId="0" borderId="36" xfId="3" applyNumberFormat="1" applyFont="1" applyFill="1" applyBorder="1" applyAlignment="1">
      <alignment horizontal="center" vertical="center"/>
    </xf>
    <xf numFmtId="165" fontId="109" fillId="0" borderId="48" xfId="3" applyNumberFormat="1" applyFont="1" applyFill="1" applyBorder="1" applyAlignment="1">
      <alignment horizontal="center" vertical="center"/>
    </xf>
    <xf numFmtId="165" fontId="109" fillId="0" borderId="31" xfId="3" applyNumberFormat="1" applyFont="1" applyFill="1" applyBorder="1" applyAlignment="1">
      <alignment horizontal="center" vertical="center"/>
    </xf>
  </cellXfs>
  <cellStyles count="11480">
    <cellStyle name="_x000a_386grabber=M" xfId="9"/>
    <cellStyle name="_x000a_386grabber=M 2" xfId="4738"/>
    <cellStyle name="_x000a_386grabber=M 2 2" xfId="9844"/>
    <cellStyle name="_x000a_386grabber=M 3" xfId="7791"/>
    <cellStyle name="% 5" xfId="10"/>
    <cellStyle name="% 5 2" xfId="7792"/>
    <cellStyle name="% 6" xfId="11"/>
    <cellStyle name="?_x001d_­ &amp;ì - Style1" xfId="12"/>
    <cellStyle name="?_x001d_­ &amp;ì - Style1 2" xfId="4739"/>
    <cellStyle name="?_x001d_­ &amp;ì - Style2" xfId="13"/>
    <cellStyle name="?_x001d_­ &amp;ì - Style2 2" xfId="4740"/>
    <cellStyle name="?_x001d_­ &amp;ì - Style3" xfId="14"/>
    <cellStyle name="?_x001d_­ &amp;ì - Style3 2" xfId="4741"/>
    <cellStyle name="?_x001d_­ &amp;ì - Style4" xfId="15"/>
    <cellStyle name="?_x001d_­ &amp;ì - Style4 2" xfId="4742"/>
    <cellStyle name="\¦ÏÝÌnCp[N" xfId="16"/>
    <cellStyle name="\¦ÏÝÌnCp[N 2" xfId="4743"/>
    <cellStyle name="nCp[N" xfId="17"/>
    <cellStyle name="nCp[N 2" xfId="4744"/>
    <cellStyle name="20% - Accent1 2" xfId="18"/>
    <cellStyle name="20% - Accent1 2 2" xfId="4745"/>
    <cellStyle name="20% - Accent1 3" xfId="19"/>
    <cellStyle name="20% - Accent1 3 2" xfId="4746"/>
    <cellStyle name="20% - Accent1 4" xfId="20"/>
    <cellStyle name="20% - Accent1 4 2" xfId="4747"/>
    <cellStyle name="20% - Accent1 5" xfId="21"/>
    <cellStyle name="20% - Accent1 5 2" xfId="4748"/>
    <cellStyle name="20% - Accent1 5 2 2" xfId="9845"/>
    <cellStyle name="20% - Accent1 5 3" xfId="7793"/>
    <cellStyle name="20% - Accent1 6" xfId="22"/>
    <cellStyle name="20% - Accent1 6 2" xfId="4749"/>
    <cellStyle name="20% - Accent1 6 2 2" xfId="9846"/>
    <cellStyle name="20% - Accent1 6 3" xfId="7794"/>
    <cellStyle name="20% - Accent1 7" xfId="23"/>
    <cellStyle name="20% - Accent1 7 2" xfId="4750"/>
    <cellStyle name="20% - Accent1 7 2 2" xfId="9847"/>
    <cellStyle name="20% - Accent1 7 3" xfId="7795"/>
    <cellStyle name="20% - Accent1 8" xfId="24"/>
    <cellStyle name="20% - Accent1 8 2" xfId="4751"/>
    <cellStyle name="20% - Accent1 8 2 2" xfId="9848"/>
    <cellStyle name="20% - Accent1 8 3" xfId="7796"/>
    <cellStyle name="20% - Accent1 9" xfId="25"/>
    <cellStyle name="20% - Accent1 9 2" xfId="4752"/>
    <cellStyle name="20% - Accent2 2" xfId="26"/>
    <cellStyle name="20% - Accent2 2 2" xfId="4753"/>
    <cellStyle name="20% - Accent2 3" xfId="27"/>
    <cellStyle name="20% - Accent2 3 2" xfId="4754"/>
    <cellStyle name="20% - Accent2 4" xfId="28"/>
    <cellStyle name="20% - Accent2 4 2" xfId="4755"/>
    <cellStyle name="20% - Accent2 5" xfId="29"/>
    <cellStyle name="20% - Accent2 5 2" xfId="4756"/>
    <cellStyle name="20% - Accent2 5 2 2" xfId="9849"/>
    <cellStyle name="20% - Accent2 5 3" xfId="7797"/>
    <cellStyle name="20% - Accent2 6" xfId="30"/>
    <cellStyle name="20% - Accent2 6 2" xfId="4757"/>
    <cellStyle name="20% - Accent2 6 2 2" xfId="9850"/>
    <cellStyle name="20% - Accent2 6 3" xfId="7798"/>
    <cellStyle name="20% - Accent2 7" xfId="31"/>
    <cellStyle name="20% - Accent2 7 2" xfId="4758"/>
    <cellStyle name="20% - Accent2 7 2 2" xfId="9851"/>
    <cellStyle name="20% - Accent2 7 3" xfId="7799"/>
    <cellStyle name="20% - Accent2 8" xfId="32"/>
    <cellStyle name="20% - Accent2 8 2" xfId="4759"/>
    <cellStyle name="20% - Accent2 8 2 2" xfId="9852"/>
    <cellStyle name="20% - Accent2 8 3" xfId="7800"/>
    <cellStyle name="20% - Accent2 9" xfId="33"/>
    <cellStyle name="20% - Accent2 9 2" xfId="4760"/>
    <cellStyle name="20% - Accent3 2" xfId="34"/>
    <cellStyle name="20% - Accent3 2 2" xfId="4761"/>
    <cellStyle name="20% - Accent3 3" xfId="35"/>
    <cellStyle name="20% - Accent3 3 2" xfId="4762"/>
    <cellStyle name="20% - Accent3 4" xfId="36"/>
    <cellStyle name="20% - Accent3 4 2" xfId="4763"/>
    <cellStyle name="20% - Accent3 5" xfId="37"/>
    <cellStyle name="20% - Accent3 5 2" xfId="4764"/>
    <cellStyle name="20% - Accent3 5 2 2" xfId="9853"/>
    <cellStyle name="20% - Accent3 5 3" xfId="7801"/>
    <cellStyle name="20% - Accent3 6" xfId="38"/>
    <cellStyle name="20% - Accent3 6 2" xfId="4765"/>
    <cellStyle name="20% - Accent3 6 2 2" xfId="9854"/>
    <cellStyle name="20% - Accent3 6 3" xfId="7802"/>
    <cellStyle name="20% - Accent3 7" xfId="39"/>
    <cellStyle name="20% - Accent3 7 2" xfId="4766"/>
    <cellStyle name="20% - Accent3 7 2 2" xfId="9855"/>
    <cellStyle name="20% - Accent3 7 3" xfId="7803"/>
    <cellStyle name="20% - Accent3 8" xfId="40"/>
    <cellStyle name="20% - Accent3 8 2" xfId="4767"/>
    <cellStyle name="20% - Accent3 8 2 2" xfId="9856"/>
    <cellStyle name="20% - Accent3 8 3" xfId="7804"/>
    <cellStyle name="20% - Accent3 9" xfId="41"/>
    <cellStyle name="20% - Accent3 9 2" xfId="4768"/>
    <cellStyle name="20% - Accent4 2" xfId="42"/>
    <cellStyle name="20% - Accent4 2 2" xfId="4769"/>
    <cellStyle name="20% - Accent4 3" xfId="43"/>
    <cellStyle name="20% - Accent4 3 2" xfId="4770"/>
    <cellStyle name="20% - Accent4 4" xfId="44"/>
    <cellStyle name="20% - Accent4 4 2" xfId="4771"/>
    <cellStyle name="20% - Accent4 5" xfId="45"/>
    <cellStyle name="20% - Accent4 5 2" xfId="4772"/>
    <cellStyle name="20% - Accent4 5 2 2" xfId="9857"/>
    <cellStyle name="20% - Accent4 5 3" xfId="7805"/>
    <cellStyle name="20% - Accent4 6" xfId="46"/>
    <cellStyle name="20% - Accent4 6 2" xfId="4773"/>
    <cellStyle name="20% - Accent4 6 2 2" xfId="9858"/>
    <cellStyle name="20% - Accent4 6 3" xfId="7806"/>
    <cellStyle name="20% - Accent4 7" xfId="47"/>
    <cellStyle name="20% - Accent4 7 2" xfId="4774"/>
    <cellStyle name="20% - Accent4 7 2 2" xfId="9859"/>
    <cellStyle name="20% - Accent4 7 3" xfId="7807"/>
    <cellStyle name="20% - Accent4 8" xfId="48"/>
    <cellStyle name="20% - Accent4 8 2" xfId="4775"/>
    <cellStyle name="20% - Accent4 8 2 2" xfId="9860"/>
    <cellStyle name="20% - Accent4 8 3" xfId="7808"/>
    <cellStyle name="20% - Accent4 9" xfId="49"/>
    <cellStyle name="20% - Accent4 9 2" xfId="4776"/>
    <cellStyle name="20% - Accent5 2" xfId="50"/>
    <cellStyle name="20% - Accent5 2 2" xfId="4777"/>
    <cellStyle name="20% - Accent5 3" xfId="51"/>
    <cellStyle name="20% - Accent5 3 2" xfId="4778"/>
    <cellStyle name="20% - Accent5 4" xfId="52"/>
    <cellStyle name="20% - Accent5 4 2" xfId="4779"/>
    <cellStyle name="20% - Accent5 5" xfId="53"/>
    <cellStyle name="20% - Accent5 5 2" xfId="4780"/>
    <cellStyle name="20% - Accent5 5 2 2" xfId="9861"/>
    <cellStyle name="20% - Accent5 5 3" xfId="7809"/>
    <cellStyle name="20% - Accent5 6" xfId="54"/>
    <cellStyle name="20% - Accent5 6 2" xfId="4781"/>
    <cellStyle name="20% - Accent5 6 2 2" xfId="9862"/>
    <cellStyle name="20% - Accent5 6 3" xfId="7810"/>
    <cellStyle name="20% - Accent5 7" xfId="55"/>
    <cellStyle name="20% - Accent5 7 2" xfId="4782"/>
    <cellStyle name="20% - Accent5 7 2 2" xfId="9863"/>
    <cellStyle name="20% - Accent5 7 3" xfId="7811"/>
    <cellStyle name="20% - Accent5 8" xfId="56"/>
    <cellStyle name="20% - Accent5 8 2" xfId="4783"/>
    <cellStyle name="20% - Accent5 8 2 2" xfId="9864"/>
    <cellStyle name="20% - Accent5 8 3" xfId="7812"/>
    <cellStyle name="20% - Accent5 9" xfId="57"/>
    <cellStyle name="20% - Accent5 9 2" xfId="4784"/>
    <cellStyle name="20% - Accent6 2" xfId="58"/>
    <cellStyle name="20% - Accent6 2 2" xfId="4785"/>
    <cellStyle name="20% - Accent6 3" xfId="59"/>
    <cellStyle name="20% - Accent6 3 2" xfId="4786"/>
    <cellStyle name="20% - Accent6 4" xfId="60"/>
    <cellStyle name="20% - Accent6 4 2" xfId="4787"/>
    <cellStyle name="20% - Accent6 5" xfId="61"/>
    <cellStyle name="20% - Accent6 5 2" xfId="4788"/>
    <cellStyle name="20% - Accent6 5 2 2" xfId="9865"/>
    <cellStyle name="20% - Accent6 5 3" xfId="7813"/>
    <cellStyle name="20% - Accent6 6" xfId="62"/>
    <cellStyle name="20% - Accent6 6 2" xfId="4789"/>
    <cellStyle name="20% - Accent6 6 2 2" xfId="9866"/>
    <cellStyle name="20% - Accent6 6 3" xfId="7814"/>
    <cellStyle name="20% - Accent6 7" xfId="63"/>
    <cellStyle name="20% - Accent6 7 2" xfId="4790"/>
    <cellStyle name="20% - Accent6 7 2 2" xfId="9867"/>
    <cellStyle name="20% - Accent6 7 3" xfId="7815"/>
    <cellStyle name="20% - Accent6 8" xfId="64"/>
    <cellStyle name="20% - Accent6 8 2" xfId="4791"/>
    <cellStyle name="20% - Accent6 8 2 2" xfId="9868"/>
    <cellStyle name="20% - Accent6 8 3" xfId="7816"/>
    <cellStyle name="20% - Accent6 9" xfId="65"/>
    <cellStyle name="20% - Accent6 9 2" xfId="4792"/>
    <cellStyle name="2decimal" xfId="66"/>
    <cellStyle name="40% - Accent1 2" xfId="67"/>
    <cellStyle name="40% - Accent1 2 2" xfId="4793"/>
    <cellStyle name="40% - Accent1 3" xfId="68"/>
    <cellStyle name="40% - Accent1 3 2" xfId="4794"/>
    <cellStyle name="40% - Accent1 4" xfId="69"/>
    <cellStyle name="40% - Accent1 4 2" xfId="4795"/>
    <cellStyle name="40% - Accent1 5" xfId="70"/>
    <cellStyle name="40% - Accent1 5 2" xfId="4796"/>
    <cellStyle name="40% - Accent1 5 2 2" xfId="9869"/>
    <cellStyle name="40% - Accent1 5 3" xfId="7817"/>
    <cellStyle name="40% - Accent1 6" xfId="71"/>
    <cellStyle name="40% - Accent1 6 2" xfId="4797"/>
    <cellStyle name="40% - Accent1 6 2 2" xfId="9870"/>
    <cellStyle name="40% - Accent1 6 3" xfId="7818"/>
    <cellStyle name="40% - Accent1 7" xfId="72"/>
    <cellStyle name="40% - Accent1 7 2" xfId="4798"/>
    <cellStyle name="40% - Accent1 7 2 2" xfId="9871"/>
    <cellStyle name="40% - Accent1 7 3" xfId="7819"/>
    <cellStyle name="40% - Accent1 8" xfId="73"/>
    <cellStyle name="40% - Accent1 8 2" xfId="4799"/>
    <cellStyle name="40% - Accent1 8 2 2" xfId="9872"/>
    <cellStyle name="40% - Accent1 8 3" xfId="7820"/>
    <cellStyle name="40% - Accent1 9" xfId="74"/>
    <cellStyle name="40% - Accent1 9 2" xfId="4800"/>
    <cellStyle name="40% - Accent2 2" xfId="75"/>
    <cellStyle name="40% - Accent2 2 2" xfId="4801"/>
    <cellStyle name="40% - Accent2 3" xfId="76"/>
    <cellStyle name="40% - Accent2 3 2" xfId="4802"/>
    <cellStyle name="40% - Accent2 4" xfId="77"/>
    <cellStyle name="40% - Accent2 4 2" xfId="4803"/>
    <cellStyle name="40% - Accent2 5" xfId="78"/>
    <cellStyle name="40% - Accent2 5 2" xfId="4804"/>
    <cellStyle name="40% - Accent2 5 2 2" xfId="9873"/>
    <cellStyle name="40% - Accent2 5 3" xfId="7821"/>
    <cellStyle name="40% - Accent2 6" xfId="79"/>
    <cellStyle name="40% - Accent2 6 2" xfId="4805"/>
    <cellStyle name="40% - Accent2 6 2 2" xfId="9874"/>
    <cellStyle name="40% - Accent2 6 3" xfId="7822"/>
    <cellStyle name="40% - Accent2 7" xfId="80"/>
    <cellStyle name="40% - Accent2 7 2" xfId="4806"/>
    <cellStyle name="40% - Accent2 7 2 2" xfId="9875"/>
    <cellStyle name="40% - Accent2 7 3" xfId="7823"/>
    <cellStyle name="40% - Accent2 8" xfId="81"/>
    <cellStyle name="40% - Accent2 8 2" xfId="4807"/>
    <cellStyle name="40% - Accent2 8 2 2" xfId="9876"/>
    <cellStyle name="40% - Accent2 8 3" xfId="7824"/>
    <cellStyle name="40% - Accent2 9" xfId="82"/>
    <cellStyle name="40% - Accent2 9 2" xfId="4808"/>
    <cellStyle name="40% - Accent3 2" xfId="83"/>
    <cellStyle name="40% - Accent3 2 2" xfId="4809"/>
    <cellStyle name="40% - Accent3 3" xfId="84"/>
    <cellStyle name="40% - Accent3 3 2" xfId="4810"/>
    <cellStyle name="40% - Accent3 4" xfId="85"/>
    <cellStyle name="40% - Accent3 4 2" xfId="4811"/>
    <cellStyle name="40% - Accent3 5" xfId="86"/>
    <cellStyle name="40% - Accent3 5 2" xfId="4812"/>
    <cellStyle name="40% - Accent3 5 2 2" xfId="9877"/>
    <cellStyle name="40% - Accent3 5 3" xfId="7825"/>
    <cellStyle name="40% - Accent3 6" xfId="87"/>
    <cellStyle name="40% - Accent3 6 2" xfId="4813"/>
    <cellStyle name="40% - Accent3 6 2 2" xfId="9878"/>
    <cellStyle name="40% - Accent3 6 3" xfId="7826"/>
    <cellStyle name="40% - Accent3 7" xfId="88"/>
    <cellStyle name="40% - Accent3 7 2" xfId="4814"/>
    <cellStyle name="40% - Accent3 7 2 2" xfId="9879"/>
    <cellStyle name="40% - Accent3 7 3" xfId="7827"/>
    <cellStyle name="40% - Accent3 8" xfId="89"/>
    <cellStyle name="40% - Accent3 8 2" xfId="4815"/>
    <cellStyle name="40% - Accent3 8 2 2" xfId="9880"/>
    <cellStyle name="40% - Accent3 8 3" xfId="7828"/>
    <cellStyle name="40% - Accent3 9" xfId="90"/>
    <cellStyle name="40% - Accent3 9 2" xfId="4816"/>
    <cellStyle name="40% - Accent4 2" xfId="91"/>
    <cellStyle name="40% - Accent4 2 2" xfId="4817"/>
    <cellStyle name="40% - Accent4 3" xfId="92"/>
    <cellStyle name="40% - Accent4 3 2" xfId="4818"/>
    <cellStyle name="40% - Accent4 4" xfId="93"/>
    <cellStyle name="40% - Accent4 4 2" xfId="4819"/>
    <cellStyle name="40% - Accent4 5" xfId="94"/>
    <cellStyle name="40% - Accent4 5 2" xfId="4820"/>
    <cellStyle name="40% - Accent4 5 2 2" xfId="9881"/>
    <cellStyle name="40% - Accent4 5 3" xfId="7829"/>
    <cellStyle name="40% - Accent4 6" xfId="95"/>
    <cellStyle name="40% - Accent4 6 2" xfId="4821"/>
    <cellStyle name="40% - Accent4 6 2 2" xfId="9882"/>
    <cellStyle name="40% - Accent4 6 3" xfId="7830"/>
    <cellStyle name="40% - Accent4 7" xfId="96"/>
    <cellStyle name="40% - Accent4 7 2" xfId="4822"/>
    <cellStyle name="40% - Accent4 7 2 2" xfId="9883"/>
    <cellStyle name="40% - Accent4 7 3" xfId="7831"/>
    <cellStyle name="40% - Accent4 8" xfId="97"/>
    <cellStyle name="40% - Accent4 8 2" xfId="4823"/>
    <cellStyle name="40% - Accent4 8 2 2" xfId="9884"/>
    <cellStyle name="40% - Accent4 8 3" xfId="7832"/>
    <cellStyle name="40% - Accent4 9" xfId="98"/>
    <cellStyle name="40% - Accent4 9 2" xfId="4824"/>
    <cellStyle name="40% - Accent5 2" xfId="99"/>
    <cellStyle name="40% - Accent5 2 2" xfId="4825"/>
    <cellStyle name="40% - Accent5 3" xfId="100"/>
    <cellStyle name="40% - Accent5 3 2" xfId="4826"/>
    <cellStyle name="40% - Accent5 4" xfId="101"/>
    <cellStyle name="40% - Accent5 4 2" xfId="4827"/>
    <cellStyle name="40% - Accent5 5" xfId="102"/>
    <cellStyle name="40% - Accent5 5 2" xfId="4828"/>
    <cellStyle name="40% - Accent5 5 2 2" xfId="9885"/>
    <cellStyle name="40% - Accent5 5 3" xfId="7833"/>
    <cellStyle name="40% - Accent5 6" xfId="103"/>
    <cellStyle name="40% - Accent5 6 2" xfId="4829"/>
    <cellStyle name="40% - Accent5 6 2 2" xfId="9886"/>
    <cellStyle name="40% - Accent5 6 3" xfId="7834"/>
    <cellStyle name="40% - Accent5 7" xfId="104"/>
    <cellStyle name="40% - Accent5 7 2" xfId="4830"/>
    <cellStyle name="40% - Accent5 7 2 2" xfId="9887"/>
    <cellStyle name="40% - Accent5 7 3" xfId="7835"/>
    <cellStyle name="40% - Accent5 8" xfId="105"/>
    <cellStyle name="40% - Accent5 8 2" xfId="4831"/>
    <cellStyle name="40% - Accent5 8 2 2" xfId="9888"/>
    <cellStyle name="40% - Accent5 8 3" xfId="7836"/>
    <cellStyle name="40% - Accent5 9" xfId="106"/>
    <cellStyle name="40% - Accent5 9 2" xfId="4832"/>
    <cellStyle name="40% - Accent6 2" xfId="107"/>
    <cellStyle name="40% - Accent6 2 2" xfId="4833"/>
    <cellStyle name="40% - Accent6 3" xfId="108"/>
    <cellStyle name="40% - Accent6 3 2" xfId="4834"/>
    <cellStyle name="40% - Accent6 4" xfId="109"/>
    <cellStyle name="40% - Accent6 4 2" xfId="4835"/>
    <cellStyle name="40% - Accent6 5" xfId="110"/>
    <cellStyle name="40% - Accent6 5 2" xfId="4836"/>
    <cellStyle name="40% - Accent6 5 2 2" xfId="9889"/>
    <cellStyle name="40% - Accent6 5 3" xfId="7837"/>
    <cellStyle name="40% - Accent6 6" xfId="111"/>
    <cellStyle name="40% - Accent6 6 2" xfId="4837"/>
    <cellStyle name="40% - Accent6 6 2 2" xfId="9890"/>
    <cellStyle name="40% - Accent6 6 3" xfId="7838"/>
    <cellStyle name="40% - Accent6 7" xfId="112"/>
    <cellStyle name="40% - Accent6 7 2" xfId="4838"/>
    <cellStyle name="40% - Accent6 7 2 2" xfId="9891"/>
    <cellStyle name="40% - Accent6 7 3" xfId="7839"/>
    <cellStyle name="40% - Accent6 8" xfId="113"/>
    <cellStyle name="40% - Accent6 8 2" xfId="4839"/>
    <cellStyle name="40% - Accent6 8 2 2" xfId="9892"/>
    <cellStyle name="40% - Accent6 8 3" xfId="7840"/>
    <cellStyle name="40% - Accent6 9" xfId="114"/>
    <cellStyle name="40% - Accent6 9 2" xfId="4840"/>
    <cellStyle name="60% - Accent1 2" xfId="115"/>
    <cellStyle name="60% - Accent1 2 2" xfId="4841"/>
    <cellStyle name="60% - Accent1 3" xfId="116"/>
    <cellStyle name="60% - Accent1 3 2" xfId="4842"/>
    <cellStyle name="60% - Accent1 4" xfId="117"/>
    <cellStyle name="60% - Accent1 4 2" xfId="4843"/>
    <cellStyle name="60% - Accent1 5" xfId="118"/>
    <cellStyle name="60% - Accent1 5 2" xfId="4844"/>
    <cellStyle name="60% - Accent1 5 2 2" xfId="9893"/>
    <cellStyle name="60% - Accent1 5 3" xfId="7841"/>
    <cellStyle name="60% - Accent1 6" xfId="119"/>
    <cellStyle name="60% - Accent1 6 2" xfId="4845"/>
    <cellStyle name="60% - Accent1 6 2 2" xfId="9894"/>
    <cellStyle name="60% - Accent1 6 3" xfId="7842"/>
    <cellStyle name="60% - Accent1 7" xfId="120"/>
    <cellStyle name="60% - Accent1 7 2" xfId="4846"/>
    <cellStyle name="60% - Accent1 7 2 2" xfId="9895"/>
    <cellStyle name="60% - Accent1 7 3" xfId="7843"/>
    <cellStyle name="60% - Accent1 8" xfId="121"/>
    <cellStyle name="60% - Accent1 8 2" xfId="4847"/>
    <cellStyle name="60% - Accent1 8 2 2" xfId="9896"/>
    <cellStyle name="60% - Accent1 8 3" xfId="7844"/>
    <cellStyle name="60% - Accent1 9" xfId="122"/>
    <cellStyle name="60% - Accent1 9 2" xfId="4848"/>
    <cellStyle name="60% - Accent2 2" xfId="123"/>
    <cellStyle name="60% - Accent2 2 2" xfId="4849"/>
    <cellStyle name="60% - Accent2 3" xfId="124"/>
    <cellStyle name="60% - Accent2 3 2" xfId="4850"/>
    <cellStyle name="60% - Accent2 4" xfId="125"/>
    <cellStyle name="60% - Accent2 4 2" xfId="4851"/>
    <cellStyle name="60% - Accent2 5" xfId="126"/>
    <cellStyle name="60% - Accent2 5 2" xfId="4852"/>
    <cellStyle name="60% - Accent2 5 2 2" xfId="9897"/>
    <cellStyle name="60% - Accent2 5 3" xfId="7845"/>
    <cellStyle name="60% - Accent2 6" xfId="127"/>
    <cellStyle name="60% - Accent2 6 2" xfId="4853"/>
    <cellStyle name="60% - Accent2 6 2 2" xfId="9898"/>
    <cellStyle name="60% - Accent2 6 3" xfId="7846"/>
    <cellStyle name="60% - Accent2 7" xfId="128"/>
    <cellStyle name="60% - Accent2 7 2" xfId="4854"/>
    <cellStyle name="60% - Accent2 7 2 2" xfId="9899"/>
    <cellStyle name="60% - Accent2 7 3" xfId="7847"/>
    <cellStyle name="60% - Accent2 8" xfId="129"/>
    <cellStyle name="60% - Accent2 8 2" xfId="4855"/>
    <cellStyle name="60% - Accent2 8 2 2" xfId="9900"/>
    <cellStyle name="60% - Accent2 8 3" xfId="7848"/>
    <cellStyle name="60% - Accent2 9" xfId="130"/>
    <cellStyle name="60% - Accent2 9 2" xfId="4856"/>
    <cellStyle name="60% - Accent3 2" xfId="131"/>
    <cellStyle name="60% - Accent3 2 2" xfId="4857"/>
    <cellStyle name="60% - Accent3 3" xfId="132"/>
    <cellStyle name="60% - Accent3 3 2" xfId="4858"/>
    <cellStyle name="60% - Accent3 4" xfId="133"/>
    <cellStyle name="60% - Accent3 4 2" xfId="4859"/>
    <cellStyle name="60% - Accent3 5" xfId="134"/>
    <cellStyle name="60% - Accent3 5 2" xfId="4860"/>
    <cellStyle name="60% - Accent3 5 2 2" xfId="9901"/>
    <cellStyle name="60% - Accent3 5 3" xfId="7849"/>
    <cellStyle name="60% - Accent3 6" xfId="135"/>
    <cellStyle name="60% - Accent3 6 2" xfId="4861"/>
    <cellStyle name="60% - Accent3 6 2 2" xfId="9902"/>
    <cellStyle name="60% - Accent3 6 3" xfId="7850"/>
    <cellStyle name="60% - Accent3 7" xfId="136"/>
    <cellStyle name="60% - Accent3 7 2" xfId="4862"/>
    <cellStyle name="60% - Accent3 7 2 2" xfId="9903"/>
    <cellStyle name="60% - Accent3 7 3" xfId="7851"/>
    <cellStyle name="60% - Accent3 8" xfId="137"/>
    <cellStyle name="60% - Accent3 8 2" xfId="4863"/>
    <cellStyle name="60% - Accent3 8 2 2" xfId="9904"/>
    <cellStyle name="60% - Accent3 8 3" xfId="7852"/>
    <cellStyle name="60% - Accent3 9" xfId="138"/>
    <cellStyle name="60% - Accent3 9 2" xfId="4864"/>
    <cellStyle name="60% - Accent4 2" xfId="139"/>
    <cellStyle name="60% - Accent4 2 2" xfId="4865"/>
    <cellStyle name="60% - Accent4 3" xfId="140"/>
    <cellStyle name="60% - Accent4 3 2" xfId="4866"/>
    <cellStyle name="60% - Accent4 4" xfId="141"/>
    <cellStyle name="60% - Accent4 4 2" xfId="4867"/>
    <cellStyle name="60% - Accent4 5" xfId="142"/>
    <cellStyle name="60% - Accent4 5 2" xfId="4868"/>
    <cellStyle name="60% - Accent4 5 2 2" xfId="9905"/>
    <cellStyle name="60% - Accent4 5 3" xfId="7853"/>
    <cellStyle name="60% - Accent4 6" xfId="143"/>
    <cellStyle name="60% - Accent4 6 2" xfId="4869"/>
    <cellStyle name="60% - Accent4 6 2 2" xfId="9906"/>
    <cellStyle name="60% - Accent4 6 3" xfId="7854"/>
    <cellStyle name="60% - Accent4 7" xfId="144"/>
    <cellStyle name="60% - Accent4 7 2" xfId="4870"/>
    <cellStyle name="60% - Accent4 7 2 2" xfId="9907"/>
    <cellStyle name="60% - Accent4 7 3" xfId="7855"/>
    <cellStyle name="60% - Accent4 8" xfId="145"/>
    <cellStyle name="60% - Accent4 8 2" xfId="4871"/>
    <cellStyle name="60% - Accent4 8 2 2" xfId="9908"/>
    <cellStyle name="60% - Accent4 8 3" xfId="7856"/>
    <cellStyle name="60% - Accent4 9" xfId="146"/>
    <cellStyle name="60% - Accent4 9 2" xfId="4872"/>
    <cellStyle name="60% - Accent5 2" xfId="147"/>
    <cellStyle name="60% - Accent5 2 2" xfId="4873"/>
    <cellStyle name="60% - Accent5 3" xfId="148"/>
    <cellStyle name="60% - Accent5 3 2" xfId="4874"/>
    <cellStyle name="60% - Accent5 4" xfId="149"/>
    <cellStyle name="60% - Accent5 4 2" xfId="4875"/>
    <cellStyle name="60% - Accent5 5" xfId="150"/>
    <cellStyle name="60% - Accent5 5 2" xfId="4876"/>
    <cellStyle name="60% - Accent5 5 2 2" xfId="9909"/>
    <cellStyle name="60% - Accent5 5 3" xfId="7857"/>
    <cellStyle name="60% - Accent5 6" xfId="151"/>
    <cellStyle name="60% - Accent5 6 2" xfId="4877"/>
    <cellStyle name="60% - Accent5 6 2 2" xfId="9910"/>
    <cellStyle name="60% - Accent5 6 3" xfId="7858"/>
    <cellStyle name="60% - Accent5 7" xfId="152"/>
    <cellStyle name="60% - Accent5 7 2" xfId="4878"/>
    <cellStyle name="60% - Accent5 7 2 2" xfId="9911"/>
    <cellStyle name="60% - Accent5 7 3" xfId="7859"/>
    <cellStyle name="60% - Accent5 8" xfId="153"/>
    <cellStyle name="60% - Accent5 8 2" xfId="4879"/>
    <cellStyle name="60% - Accent5 8 2 2" xfId="9912"/>
    <cellStyle name="60% - Accent5 8 3" xfId="7860"/>
    <cellStyle name="60% - Accent5 9" xfId="154"/>
    <cellStyle name="60% - Accent5 9 2" xfId="4880"/>
    <cellStyle name="60% - Accent6 2" xfId="155"/>
    <cellStyle name="60% - Accent6 2 2" xfId="4881"/>
    <cellStyle name="60% - Accent6 3" xfId="156"/>
    <cellStyle name="60% - Accent6 3 2" xfId="4882"/>
    <cellStyle name="60% - Accent6 4" xfId="157"/>
    <cellStyle name="60% - Accent6 4 2" xfId="4883"/>
    <cellStyle name="60% - Accent6 5" xfId="158"/>
    <cellStyle name="60% - Accent6 5 2" xfId="4884"/>
    <cellStyle name="60% - Accent6 5 2 2" xfId="9913"/>
    <cellStyle name="60% - Accent6 5 3" xfId="7861"/>
    <cellStyle name="60% - Accent6 6" xfId="159"/>
    <cellStyle name="60% - Accent6 6 2" xfId="4885"/>
    <cellStyle name="60% - Accent6 6 2 2" xfId="9914"/>
    <cellStyle name="60% - Accent6 6 3" xfId="7862"/>
    <cellStyle name="60% - Accent6 7" xfId="160"/>
    <cellStyle name="60% - Accent6 7 2" xfId="4886"/>
    <cellStyle name="60% - Accent6 7 2 2" xfId="9915"/>
    <cellStyle name="60% - Accent6 7 3" xfId="7863"/>
    <cellStyle name="60% - Accent6 8" xfId="161"/>
    <cellStyle name="60% - Accent6 8 2" xfId="4887"/>
    <cellStyle name="60% - Accent6 8 2 2" xfId="9916"/>
    <cellStyle name="60% - Accent6 8 3" xfId="7864"/>
    <cellStyle name="60% - Accent6 9" xfId="162"/>
    <cellStyle name="60% - Accent6 9 2" xfId="4888"/>
    <cellStyle name="Accent1 2" xfId="163"/>
    <cellStyle name="Accent1 2 2" xfId="4889"/>
    <cellStyle name="Accent1 3" xfId="164"/>
    <cellStyle name="Accent1 3 2" xfId="4890"/>
    <cellStyle name="Accent1 4" xfId="165"/>
    <cellStyle name="Accent1 4 2" xfId="4891"/>
    <cellStyle name="Accent1 5" xfId="166"/>
    <cellStyle name="Accent1 5 2" xfId="4892"/>
    <cellStyle name="Accent1 5 2 2" xfId="9917"/>
    <cellStyle name="Accent1 5 3" xfId="7865"/>
    <cellStyle name="Accent1 6" xfId="167"/>
    <cellStyle name="Accent1 6 2" xfId="4893"/>
    <cellStyle name="Accent1 6 2 2" xfId="9918"/>
    <cellStyle name="Accent1 6 3" xfId="7866"/>
    <cellStyle name="Accent1 7" xfId="168"/>
    <cellStyle name="Accent1 7 2" xfId="4894"/>
    <cellStyle name="Accent1 7 2 2" xfId="9919"/>
    <cellStyle name="Accent1 7 3" xfId="7867"/>
    <cellStyle name="Accent1 8" xfId="169"/>
    <cellStyle name="Accent1 8 2" xfId="4895"/>
    <cellStyle name="Accent1 8 2 2" xfId="9920"/>
    <cellStyle name="Accent1 8 3" xfId="7868"/>
    <cellStyle name="Accent1 9" xfId="170"/>
    <cellStyle name="Accent1 9 2" xfId="4896"/>
    <cellStyle name="Accent2 2" xfId="171"/>
    <cellStyle name="Accent2 2 2" xfId="4897"/>
    <cellStyle name="Accent2 3" xfId="172"/>
    <cellStyle name="Accent2 3 2" xfId="4898"/>
    <cellStyle name="Accent2 4" xfId="173"/>
    <cellStyle name="Accent2 4 2" xfId="4899"/>
    <cellStyle name="Accent2 5" xfId="174"/>
    <cellStyle name="Accent2 5 2" xfId="4900"/>
    <cellStyle name="Accent2 5 2 2" xfId="9921"/>
    <cellStyle name="Accent2 5 3" xfId="7869"/>
    <cellStyle name="Accent2 6" xfId="175"/>
    <cellStyle name="Accent2 6 2" xfId="4901"/>
    <cellStyle name="Accent2 6 2 2" xfId="9922"/>
    <cellStyle name="Accent2 6 3" xfId="7870"/>
    <cellStyle name="Accent2 7" xfId="176"/>
    <cellStyle name="Accent2 7 2" xfId="4902"/>
    <cellStyle name="Accent2 7 2 2" xfId="9923"/>
    <cellStyle name="Accent2 7 3" xfId="7871"/>
    <cellStyle name="Accent2 8" xfId="177"/>
    <cellStyle name="Accent2 8 2" xfId="4903"/>
    <cellStyle name="Accent2 8 2 2" xfId="9924"/>
    <cellStyle name="Accent2 8 3" xfId="7872"/>
    <cellStyle name="Accent2 9" xfId="178"/>
    <cellStyle name="Accent2 9 2" xfId="4904"/>
    <cellStyle name="Accent3 2" xfId="179"/>
    <cellStyle name="Accent3 2 2" xfId="4905"/>
    <cellStyle name="Accent3 3" xfId="180"/>
    <cellStyle name="Accent3 3 2" xfId="4906"/>
    <cellStyle name="Accent3 4" xfId="181"/>
    <cellStyle name="Accent3 4 2" xfId="4907"/>
    <cellStyle name="Accent3 5" xfId="182"/>
    <cellStyle name="Accent3 5 2" xfId="4908"/>
    <cellStyle name="Accent3 5 2 2" xfId="9925"/>
    <cellStyle name="Accent3 5 3" xfId="7873"/>
    <cellStyle name="Accent3 6" xfId="183"/>
    <cellStyle name="Accent3 6 2" xfId="4909"/>
    <cellStyle name="Accent3 6 2 2" xfId="9926"/>
    <cellStyle name="Accent3 6 3" xfId="7874"/>
    <cellStyle name="Accent3 7" xfId="184"/>
    <cellStyle name="Accent3 7 2" xfId="4910"/>
    <cellStyle name="Accent3 7 2 2" xfId="9927"/>
    <cellStyle name="Accent3 7 3" xfId="7875"/>
    <cellStyle name="Accent3 8" xfId="185"/>
    <cellStyle name="Accent3 8 2" xfId="4911"/>
    <cellStyle name="Accent3 8 2 2" xfId="9928"/>
    <cellStyle name="Accent3 8 3" xfId="7876"/>
    <cellStyle name="Accent3 9" xfId="186"/>
    <cellStyle name="Accent3 9 2" xfId="4912"/>
    <cellStyle name="Accent4 2" xfId="187"/>
    <cellStyle name="Accent4 2 2" xfId="4913"/>
    <cellStyle name="Accent4 3" xfId="188"/>
    <cellStyle name="Accent4 3 2" xfId="4914"/>
    <cellStyle name="Accent4 4" xfId="189"/>
    <cellStyle name="Accent4 4 2" xfId="4915"/>
    <cellStyle name="Accent4 5" xfId="190"/>
    <cellStyle name="Accent4 5 2" xfId="4916"/>
    <cellStyle name="Accent4 5 2 2" xfId="9929"/>
    <cellStyle name="Accent4 5 3" xfId="7877"/>
    <cellStyle name="Accent4 6" xfId="191"/>
    <cellStyle name="Accent4 6 2" xfId="4917"/>
    <cellStyle name="Accent4 6 2 2" xfId="9930"/>
    <cellStyle name="Accent4 6 3" xfId="7878"/>
    <cellStyle name="Accent4 7" xfId="192"/>
    <cellStyle name="Accent4 7 2" xfId="4918"/>
    <cellStyle name="Accent4 7 2 2" xfId="9931"/>
    <cellStyle name="Accent4 7 3" xfId="7879"/>
    <cellStyle name="Accent4 8" xfId="193"/>
    <cellStyle name="Accent4 8 2" xfId="4919"/>
    <cellStyle name="Accent4 8 2 2" xfId="9932"/>
    <cellStyle name="Accent4 8 3" xfId="7880"/>
    <cellStyle name="Accent4 9" xfId="194"/>
    <cellStyle name="Accent4 9 2" xfId="4920"/>
    <cellStyle name="Accent5 2" xfId="195"/>
    <cellStyle name="Accent5 2 2" xfId="4921"/>
    <cellStyle name="Accent5 3" xfId="196"/>
    <cellStyle name="Accent5 3 2" xfId="4922"/>
    <cellStyle name="Accent5 4" xfId="197"/>
    <cellStyle name="Accent5 4 2" xfId="4923"/>
    <cellStyle name="Accent5 5" xfId="198"/>
    <cellStyle name="Accent5 5 2" xfId="4924"/>
    <cellStyle name="Accent5 5 2 2" xfId="9933"/>
    <cellStyle name="Accent5 5 3" xfId="7881"/>
    <cellStyle name="Accent5 6" xfId="199"/>
    <cellStyle name="Accent5 6 2" xfId="4925"/>
    <cellStyle name="Accent5 6 2 2" xfId="9934"/>
    <cellStyle name="Accent5 6 3" xfId="7882"/>
    <cellStyle name="Accent5 7" xfId="200"/>
    <cellStyle name="Accent5 7 2" xfId="4926"/>
    <cellStyle name="Accent5 7 2 2" xfId="9935"/>
    <cellStyle name="Accent5 7 3" xfId="7883"/>
    <cellStyle name="Accent5 8" xfId="201"/>
    <cellStyle name="Accent5 8 2" xfId="4927"/>
    <cellStyle name="Accent5 8 2 2" xfId="9936"/>
    <cellStyle name="Accent5 8 3" xfId="7884"/>
    <cellStyle name="Accent5 9" xfId="202"/>
    <cellStyle name="Accent5 9 2" xfId="4928"/>
    <cellStyle name="Accent6 2" xfId="203"/>
    <cellStyle name="Accent6 2 2" xfId="4929"/>
    <cellStyle name="Accent6 3" xfId="204"/>
    <cellStyle name="Accent6 3 2" xfId="4930"/>
    <cellStyle name="Accent6 4" xfId="205"/>
    <cellStyle name="Accent6 4 2" xfId="4931"/>
    <cellStyle name="Accent6 5" xfId="206"/>
    <cellStyle name="Accent6 5 2" xfId="4932"/>
    <cellStyle name="Accent6 5 2 2" xfId="9937"/>
    <cellStyle name="Accent6 5 3" xfId="7885"/>
    <cellStyle name="Accent6 6" xfId="207"/>
    <cellStyle name="Accent6 6 2" xfId="4933"/>
    <cellStyle name="Accent6 6 2 2" xfId="9938"/>
    <cellStyle name="Accent6 6 3" xfId="7886"/>
    <cellStyle name="Accent6 7" xfId="208"/>
    <cellStyle name="Accent6 7 2" xfId="4934"/>
    <cellStyle name="Accent6 7 2 2" xfId="9939"/>
    <cellStyle name="Accent6 7 3" xfId="7887"/>
    <cellStyle name="Accent6 8" xfId="209"/>
    <cellStyle name="Accent6 8 2" xfId="4935"/>
    <cellStyle name="Accent6 8 2 2" xfId="9940"/>
    <cellStyle name="Accent6 8 3" xfId="7888"/>
    <cellStyle name="Accent6 9" xfId="210"/>
    <cellStyle name="Accent6 9 2" xfId="4936"/>
    <cellStyle name="AeE­ [0]_INQUIRY ¿?¾÷AßAø " xfId="211"/>
    <cellStyle name="AeE­_INQUIRY ¿?¾÷AßAø " xfId="212"/>
    <cellStyle name="args.style" xfId="213"/>
    <cellStyle name="args.style 10" xfId="214"/>
    <cellStyle name="args.style 11" xfId="215"/>
    <cellStyle name="args.style 12" xfId="216"/>
    <cellStyle name="args.style 13" xfId="217"/>
    <cellStyle name="args.style 14" xfId="218"/>
    <cellStyle name="args.style 15" xfId="219"/>
    <cellStyle name="args.style 16" xfId="220"/>
    <cellStyle name="args.style 17" xfId="221"/>
    <cellStyle name="args.style 18" xfId="222"/>
    <cellStyle name="args.style 19" xfId="223"/>
    <cellStyle name="args.style 2" xfId="224"/>
    <cellStyle name="args.style 20" xfId="225"/>
    <cellStyle name="args.style 21" xfId="226"/>
    <cellStyle name="args.style 22" xfId="4937"/>
    <cellStyle name="args.style 3" xfId="227"/>
    <cellStyle name="args.style 4" xfId="228"/>
    <cellStyle name="args.style 5" xfId="229"/>
    <cellStyle name="args.style 6" xfId="230"/>
    <cellStyle name="args.style 7" xfId="231"/>
    <cellStyle name="args.style 8" xfId="232"/>
    <cellStyle name="args.style 9" xfId="233"/>
    <cellStyle name="AÞ¸¶ [0]_INQUIRY ¿?¾÷AßAø " xfId="234"/>
    <cellStyle name="AÞ¸¶_INQUIRY ¿?¾÷AßAø " xfId="235"/>
    <cellStyle name="B" xfId="236"/>
    <cellStyle name="B 2" xfId="4938"/>
    <cellStyle name="B 2 2" xfId="9941"/>
    <cellStyle name="B 3" xfId="7889"/>
    <cellStyle name="Bad 2" xfId="237"/>
    <cellStyle name="Bad 2 2" xfId="4939"/>
    <cellStyle name="Bad 3" xfId="238"/>
    <cellStyle name="Bad 3 2" xfId="4940"/>
    <cellStyle name="Bad 4" xfId="239"/>
    <cellStyle name="Bad 4 2" xfId="4941"/>
    <cellStyle name="Bad 5" xfId="240"/>
    <cellStyle name="Bad 5 2" xfId="4942"/>
    <cellStyle name="Bad 5 2 2" xfId="9942"/>
    <cellStyle name="Bad 5 3" xfId="7890"/>
    <cellStyle name="Bad 6" xfId="241"/>
    <cellStyle name="Bad 6 2" xfId="4943"/>
    <cellStyle name="Bad 6 2 2" xfId="9943"/>
    <cellStyle name="Bad 6 3" xfId="7891"/>
    <cellStyle name="Bad 7" xfId="242"/>
    <cellStyle name="Bad 7 2" xfId="4944"/>
    <cellStyle name="Bad 7 2 2" xfId="9944"/>
    <cellStyle name="Bad 7 3" xfId="7892"/>
    <cellStyle name="Bad 8" xfId="243"/>
    <cellStyle name="Bad 8 2" xfId="4945"/>
    <cellStyle name="Bad 8 2 2" xfId="9945"/>
    <cellStyle name="Bad 8 3" xfId="7893"/>
    <cellStyle name="Bad 9" xfId="244"/>
    <cellStyle name="Bad 9 2" xfId="4946"/>
    <cellStyle name="Blue" xfId="245"/>
    <cellStyle name="Blue 10" xfId="246"/>
    <cellStyle name="Blue 10 2" xfId="4947"/>
    <cellStyle name="Blue 11" xfId="247"/>
    <cellStyle name="Blue 11 2" xfId="4948"/>
    <cellStyle name="Blue 12" xfId="248"/>
    <cellStyle name="Blue 12 2" xfId="4949"/>
    <cellStyle name="Blue 13" xfId="249"/>
    <cellStyle name="Blue 13 2" xfId="4950"/>
    <cellStyle name="Blue 14" xfId="250"/>
    <cellStyle name="Blue 14 2" xfId="4951"/>
    <cellStyle name="Blue 15" xfId="251"/>
    <cellStyle name="Blue 15 2" xfId="4952"/>
    <cellStyle name="Blue 16" xfId="252"/>
    <cellStyle name="Blue 16 2" xfId="4953"/>
    <cellStyle name="Blue 17" xfId="253"/>
    <cellStyle name="Blue 17 2" xfId="4954"/>
    <cellStyle name="Blue 18" xfId="254"/>
    <cellStyle name="Blue 18 2" xfId="4955"/>
    <cellStyle name="Blue 19" xfId="255"/>
    <cellStyle name="Blue 19 2" xfId="4956"/>
    <cellStyle name="Blue 2" xfId="256"/>
    <cellStyle name="Blue 2 2" xfId="4957"/>
    <cellStyle name="Blue 20" xfId="257"/>
    <cellStyle name="Blue 20 2" xfId="4958"/>
    <cellStyle name="Blue 21" xfId="258"/>
    <cellStyle name="Blue 21 2" xfId="4959"/>
    <cellStyle name="Blue 3" xfId="259"/>
    <cellStyle name="Blue 3 2" xfId="4960"/>
    <cellStyle name="Blue 4" xfId="260"/>
    <cellStyle name="Blue 4 2" xfId="4961"/>
    <cellStyle name="Blue 5" xfId="261"/>
    <cellStyle name="Blue 5 2" xfId="4962"/>
    <cellStyle name="Blue 6" xfId="262"/>
    <cellStyle name="Blue 6 2" xfId="4963"/>
    <cellStyle name="Blue 7" xfId="263"/>
    <cellStyle name="Blue 7 2" xfId="4964"/>
    <cellStyle name="Blue 8" xfId="264"/>
    <cellStyle name="Blue 8 2" xfId="4965"/>
    <cellStyle name="Blue 9" xfId="265"/>
    <cellStyle name="Blue 9 2" xfId="4966"/>
    <cellStyle name="C?AØ_¿?¾÷CoE² " xfId="266"/>
    <cellStyle name="C￥AØ_¿μ¾÷CoE² " xfId="267"/>
    <cellStyle name="Calc Currency (0)" xfId="268"/>
    <cellStyle name="Calc Currency (0) 10" xfId="269"/>
    <cellStyle name="Calc Currency (0) 10 2" xfId="7894"/>
    <cellStyle name="Calc Currency (0) 11" xfId="270"/>
    <cellStyle name="Calc Currency (0) 11 2" xfId="7895"/>
    <cellStyle name="Calc Currency (0) 12" xfId="271"/>
    <cellStyle name="Calc Currency (0) 12 2" xfId="7896"/>
    <cellStyle name="Calc Currency (0) 13" xfId="272"/>
    <cellStyle name="Calc Currency (0) 13 2" xfId="7897"/>
    <cellStyle name="Calc Currency (0) 14" xfId="273"/>
    <cellStyle name="Calc Currency (0) 14 2" xfId="7898"/>
    <cellStyle name="Calc Currency (0) 15" xfId="274"/>
    <cellStyle name="Calc Currency (0) 15 2" xfId="7899"/>
    <cellStyle name="Calc Currency (0) 16" xfId="275"/>
    <cellStyle name="Calc Currency (0) 16 2" xfId="7900"/>
    <cellStyle name="Calc Currency (0) 17" xfId="276"/>
    <cellStyle name="Calc Currency (0) 17 2" xfId="7901"/>
    <cellStyle name="Calc Currency (0) 18" xfId="277"/>
    <cellStyle name="Calc Currency (0) 18 2" xfId="7902"/>
    <cellStyle name="Calc Currency (0) 19" xfId="278"/>
    <cellStyle name="Calc Currency (0) 19 2" xfId="7903"/>
    <cellStyle name="Calc Currency (0) 2" xfId="279"/>
    <cellStyle name="Calc Currency (0) 2 2" xfId="7904"/>
    <cellStyle name="Calc Currency (0) 20" xfId="280"/>
    <cellStyle name="Calc Currency (0) 20 2" xfId="7905"/>
    <cellStyle name="Calc Currency (0) 21" xfId="281"/>
    <cellStyle name="Calc Currency (0) 21 2" xfId="7906"/>
    <cellStyle name="Calc Currency (0) 22" xfId="4967"/>
    <cellStyle name="Calc Currency (0) 3" xfId="282"/>
    <cellStyle name="Calc Currency (0) 3 2" xfId="7907"/>
    <cellStyle name="Calc Currency (0) 4" xfId="283"/>
    <cellStyle name="Calc Currency (0) 4 2" xfId="7908"/>
    <cellStyle name="Calc Currency (0) 5" xfId="284"/>
    <cellStyle name="Calc Currency (0) 5 2" xfId="7909"/>
    <cellStyle name="Calc Currency (0) 6" xfId="285"/>
    <cellStyle name="Calc Currency (0) 6 2" xfId="7910"/>
    <cellStyle name="Calc Currency (0) 7" xfId="286"/>
    <cellStyle name="Calc Currency (0) 7 2" xfId="7911"/>
    <cellStyle name="Calc Currency (0) 8" xfId="287"/>
    <cellStyle name="Calc Currency (0) 8 2" xfId="7912"/>
    <cellStyle name="Calc Currency (0) 9" xfId="288"/>
    <cellStyle name="Calc Currency (0) 9 2" xfId="7913"/>
    <cellStyle name="Calc Currency (2)" xfId="289"/>
    <cellStyle name="Calc Percent (0)" xfId="290"/>
    <cellStyle name="Calc Percent (1)" xfId="291"/>
    <cellStyle name="Calc Percent (2)" xfId="292"/>
    <cellStyle name="Calc Units (0)" xfId="293"/>
    <cellStyle name="Calc Units (1)" xfId="294"/>
    <cellStyle name="Calc Units (2)" xfId="295"/>
    <cellStyle name="Calculation 2" xfId="296"/>
    <cellStyle name="Calculation 2 2" xfId="4968"/>
    <cellStyle name="Calculation 3" xfId="297"/>
    <cellStyle name="Calculation 3 2" xfId="4969"/>
    <cellStyle name="Calculation 4" xfId="298"/>
    <cellStyle name="Calculation 4 2" xfId="4970"/>
    <cellStyle name="Calculation 5" xfId="299"/>
    <cellStyle name="Calculation 5 2" xfId="4971"/>
    <cellStyle name="Calculation 5 2 2" xfId="9946"/>
    <cellStyle name="Calculation 5 3" xfId="7914"/>
    <cellStyle name="Calculation 6" xfId="300"/>
    <cellStyle name="Calculation 6 2" xfId="4972"/>
    <cellStyle name="Calculation 6 2 2" xfId="9947"/>
    <cellStyle name="Calculation 6 3" xfId="7915"/>
    <cellStyle name="Calculation 7" xfId="301"/>
    <cellStyle name="Calculation 7 2" xfId="4973"/>
    <cellStyle name="Calculation 7 2 2" xfId="9948"/>
    <cellStyle name="Calculation 7 3" xfId="7916"/>
    <cellStyle name="Calculation 8" xfId="302"/>
    <cellStyle name="Calculation 8 2" xfId="4974"/>
    <cellStyle name="Calculation 8 2 2" xfId="9949"/>
    <cellStyle name="Calculation 8 3" xfId="7917"/>
    <cellStyle name="Calculation 9" xfId="303"/>
    <cellStyle name="Calculation 9 2" xfId="4975"/>
    <cellStyle name="Check Cell 2" xfId="304"/>
    <cellStyle name="Check Cell 2 2" xfId="4976"/>
    <cellStyle name="Check Cell 3" xfId="305"/>
    <cellStyle name="Check Cell 3 2" xfId="4977"/>
    <cellStyle name="Check Cell 4" xfId="306"/>
    <cellStyle name="Check Cell 4 2" xfId="4978"/>
    <cellStyle name="Check Cell 5" xfId="307"/>
    <cellStyle name="Check Cell 5 2" xfId="4979"/>
    <cellStyle name="Check Cell 5 2 2" xfId="9950"/>
    <cellStyle name="Check Cell 5 3" xfId="7918"/>
    <cellStyle name="Check Cell 6" xfId="308"/>
    <cellStyle name="Check Cell 6 2" xfId="4980"/>
    <cellStyle name="Check Cell 6 2 2" xfId="9951"/>
    <cellStyle name="Check Cell 6 3" xfId="7919"/>
    <cellStyle name="Check Cell 7" xfId="309"/>
    <cellStyle name="Check Cell 7 2" xfId="4981"/>
    <cellStyle name="Check Cell 7 2 2" xfId="9952"/>
    <cellStyle name="Check Cell 7 3" xfId="7920"/>
    <cellStyle name="Check Cell 8" xfId="310"/>
    <cellStyle name="Check Cell 8 2" xfId="4982"/>
    <cellStyle name="Check Cell 8 2 2" xfId="9953"/>
    <cellStyle name="Check Cell 8 3" xfId="7921"/>
    <cellStyle name="Check Cell 9" xfId="311"/>
    <cellStyle name="Check Cell 9 2" xfId="4983"/>
    <cellStyle name="Comma" xfId="4735" builtinId="3"/>
    <cellStyle name="Comma  - Style1" xfId="312"/>
    <cellStyle name="Comma  - Style1 10" xfId="313"/>
    <cellStyle name="Comma  - Style1 11" xfId="314"/>
    <cellStyle name="Comma  - Style1 12" xfId="315"/>
    <cellStyle name="Comma  - Style1 13" xfId="316"/>
    <cellStyle name="Comma  - Style1 14" xfId="317"/>
    <cellStyle name="Comma  - Style1 15" xfId="318"/>
    <cellStyle name="Comma  - Style1 16" xfId="319"/>
    <cellStyle name="Comma  - Style1 17" xfId="320"/>
    <cellStyle name="Comma  - Style1 18" xfId="321"/>
    <cellStyle name="Comma  - Style1 19" xfId="322"/>
    <cellStyle name="Comma  - Style1 2" xfId="323"/>
    <cellStyle name="Comma  - Style1 20" xfId="324"/>
    <cellStyle name="Comma  - Style1 21" xfId="325"/>
    <cellStyle name="Comma  - Style1 3" xfId="326"/>
    <cellStyle name="Comma  - Style1 4" xfId="327"/>
    <cellStyle name="Comma  - Style1 5" xfId="328"/>
    <cellStyle name="Comma  - Style1 6" xfId="329"/>
    <cellStyle name="Comma  - Style1 7" xfId="330"/>
    <cellStyle name="Comma  - Style1 8" xfId="331"/>
    <cellStyle name="Comma  - Style1 9" xfId="332"/>
    <cellStyle name="Comma  - Style2" xfId="333"/>
    <cellStyle name="Comma  - Style2 10" xfId="334"/>
    <cellStyle name="Comma  - Style2 11" xfId="335"/>
    <cellStyle name="Comma  - Style2 12" xfId="336"/>
    <cellStyle name="Comma  - Style2 13" xfId="337"/>
    <cellStyle name="Comma  - Style2 14" xfId="338"/>
    <cellStyle name="Comma  - Style2 15" xfId="339"/>
    <cellStyle name="Comma  - Style2 16" xfId="340"/>
    <cellStyle name="Comma  - Style2 17" xfId="341"/>
    <cellStyle name="Comma  - Style2 18" xfId="342"/>
    <cellStyle name="Comma  - Style2 19" xfId="343"/>
    <cellStyle name="Comma  - Style2 2" xfId="344"/>
    <cellStyle name="Comma  - Style2 20" xfId="345"/>
    <cellStyle name="Comma  - Style2 21" xfId="346"/>
    <cellStyle name="Comma  - Style2 3" xfId="347"/>
    <cellStyle name="Comma  - Style2 4" xfId="348"/>
    <cellStyle name="Comma  - Style2 5" xfId="349"/>
    <cellStyle name="Comma  - Style2 6" xfId="350"/>
    <cellStyle name="Comma  - Style2 7" xfId="351"/>
    <cellStyle name="Comma  - Style2 8" xfId="352"/>
    <cellStyle name="Comma  - Style2 9" xfId="353"/>
    <cellStyle name="Comma  - Style3" xfId="354"/>
    <cellStyle name="Comma  - Style3 10" xfId="355"/>
    <cellStyle name="Comma  - Style3 11" xfId="356"/>
    <cellStyle name="Comma  - Style3 12" xfId="357"/>
    <cellStyle name="Comma  - Style3 13" xfId="358"/>
    <cellStyle name="Comma  - Style3 14" xfId="359"/>
    <cellStyle name="Comma  - Style3 15" xfId="360"/>
    <cellStyle name="Comma  - Style3 16" xfId="361"/>
    <cellStyle name="Comma  - Style3 17" xfId="362"/>
    <cellStyle name="Comma  - Style3 18" xfId="363"/>
    <cellStyle name="Comma  - Style3 19" xfId="364"/>
    <cellStyle name="Comma  - Style3 2" xfId="365"/>
    <cellStyle name="Comma  - Style3 20" xfId="366"/>
    <cellStyle name="Comma  - Style3 21" xfId="367"/>
    <cellStyle name="Comma  - Style3 3" xfId="368"/>
    <cellStyle name="Comma  - Style3 4" xfId="369"/>
    <cellStyle name="Comma  - Style3 5" xfId="370"/>
    <cellStyle name="Comma  - Style3 6" xfId="371"/>
    <cellStyle name="Comma  - Style3 7" xfId="372"/>
    <cellStyle name="Comma  - Style3 8" xfId="373"/>
    <cellStyle name="Comma  - Style3 9" xfId="374"/>
    <cellStyle name="Comma  - Style4" xfId="375"/>
    <cellStyle name="Comma  - Style4 10" xfId="376"/>
    <cellStyle name="Comma  - Style4 11" xfId="377"/>
    <cellStyle name="Comma  - Style4 12" xfId="378"/>
    <cellStyle name="Comma  - Style4 13" xfId="379"/>
    <cellStyle name="Comma  - Style4 14" xfId="380"/>
    <cellStyle name="Comma  - Style4 15" xfId="381"/>
    <cellStyle name="Comma  - Style4 16" xfId="382"/>
    <cellStyle name="Comma  - Style4 17" xfId="383"/>
    <cellStyle name="Comma  - Style4 18" xfId="384"/>
    <cellStyle name="Comma  - Style4 19" xfId="385"/>
    <cellStyle name="Comma  - Style4 2" xfId="386"/>
    <cellStyle name="Comma  - Style4 20" xfId="387"/>
    <cellStyle name="Comma  - Style4 21" xfId="388"/>
    <cellStyle name="Comma  - Style4 3" xfId="389"/>
    <cellStyle name="Comma  - Style4 4" xfId="390"/>
    <cellStyle name="Comma  - Style4 5" xfId="391"/>
    <cellStyle name="Comma  - Style4 6" xfId="392"/>
    <cellStyle name="Comma  - Style4 7" xfId="393"/>
    <cellStyle name="Comma  - Style4 8" xfId="394"/>
    <cellStyle name="Comma  - Style4 9" xfId="395"/>
    <cellStyle name="Comma  - Style5" xfId="396"/>
    <cellStyle name="Comma  - Style5 10" xfId="397"/>
    <cellStyle name="Comma  - Style5 11" xfId="398"/>
    <cellStyle name="Comma  - Style5 12" xfId="399"/>
    <cellStyle name="Comma  - Style5 13" xfId="400"/>
    <cellStyle name="Comma  - Style5 14" xfId="401"/>
    <cellStyle name="Comma  - Style5 15" xfId="402"/>
    <cellStyle name="Comma  - Style5 16" xfId="403"/>
    <cellStyle name="Comma  - Style5 17" xfId="404"/>
    <cellStyle name="Comma  - Style5 18" xfId="405"/>
    <cellStyle name="Comma  - Style5 19" xfId="406"/>
    <cellStyle name="Comma  - Style5 2" xfId="407"/>
    <cellStyle name="Comma  - Style5 20" xfId="408"/>
    <cellStyle name="Comma  - Style5 21" xfId="409"/>
    <cellStyle name="Comma  - Style5 3" xfId="410"/>
    <cellStyle name="Comma  - Style5 4" xfId="411"/>
    <cellStyle name="Comma  - Style5 5" xfId="412"/>
    <cellStyle name="Comma  - Style5 6" xfId="413"/>
    <cellStyle name="Comma  - Style5 7" xfId="414"/>
    <cellStyle name="Comma  - Style5 8" xfId="415"/>
    <cellStyle name="Comma  - Style5 9" xfId="416"/>
    <cellStyle name="Comma  - Style6" xfId="417"/>
    <cellStyle name="Comma  - Style6 10" xfId="418"/>
    <cellStyle name="Comma  - Style6 11" xfId="419"/>
    <cellStyle name="Comma  - Style6 12" xfId="420"/>
    <cellStyle name="Comma  - Style6 13" xfId="421"/>
    <cellStyle name="Comma  - Style6 14" xfId="422"/>
    <cellStyle name="Comma  - Style6 15" xfId="423"/>
    <cellStyle name="Comma  - Style6 16" xfId="424"/>
    <cellStyle name="Comma  - Style6 17" xfId="425"/>
    <cellStyle name="Comma  - Style6 18" xfId="426"/>
    <cellStyle name="Comma  - Style6 19" xfId="427"/>
    <cellStyle name="Comma  - Style6 2" xfId="428"/>
    <cellStyle name="Comma  - Style6 20" xfId="429"/>
    <cellStyle name="Comma  - Style6 21" xfId="430"/>
    <cellStyle name="Comma  - Style6 3" xfId="431"/>
    <cellStyle name="Comma  - Style6 4" xfId="432"/>
    <cellStyle name="Comma  - Style6 5" xfId="433"/>
    <cellStyle name="Comma  - Style6 6" xfId="434"/>
    <cellStyle name="Comma  - Style6 7" xfId="435"/>
    <cellStyle name="Comma  - Style6 8" xfId="436"/>
    <cellStyle name="Comma  - Style6 9" xfId="437"/>
    <cellStyle name="Comma  - Style7" xfId="438"/>
    <cellStyle name="Comma  - Style7 10" xfId="439"/>
    <cellStyle name="Comma  - Style7 11" xfId="440"/>
    <cellStyle name="Comma  - Style7 12" xfId="441"/>
    <cellStyle name="Comma  - Style7 13" xfId="442"/>
    <cellStyle name="Comma  - Style7 14" xfId="443"/>
    <cellStyle name="Comma  - Style7 15" xfId="444"/>
    <cellStyle name="Comma  - Style7 16" xfId="445"/>
    <cellStyle name="Comma  - Style7 17" xfId="446"/>
    <cellStyle name="Comma  - Style7 18" xfId="447"/>
    <cellStyle name="Comma  - Style7 19" xfId="448"/>
    <cellStyle name="Comma  - Style7 2" xfId="449"/>
    <cellStyle name="Comma  - Style7 20" xfId="450"/>
    <cellStyle name="Comma  - Style7 21" xfId="451"/>
    <cellStyle name="Comma  - Style7 3" xfId="452"/>
    <cellStyle name="Comma  - Style7 4" xfId="453"/>
    <cellStyle name="Comma  - Style7 5" xfId="454"/>
    <cellStyle name="Comma  - Style7 6" xfId="455"/>
    <cellStyle name="Comma  - Style7 7" xfId="456"/>
    <cellStyle name="Comma  - Style7 8" xfId="457"/>
    <cellStyle name="Comma  - Style7 9" xfId="458"/>
    <cellStyle name="Comma  - Style8" xfId="459"/>
    <cellStyle name="Comma  - Style8 10" xfId="460"/>
    <cellStyle name="Comma  - Style8 11" xfId="461"/>
    <cellStyle name="Comma  - Style8 12" xfId="462"/>
    <cellStyle name="Comma  - Style8 13" xfId="463"/>
    <cellStyle name="Comma  - Style8 14" xfId="464"/>
    <cellStyle name="Comma  - Style8 15" xfId="465"/>
    <cellStyle name="Comma  - Style8 16" xfId="466"/>
    <cellStyle name="Comma  - Style8 17" xfId="467"/>
    <cellStyle name="Comma  - Style8 18" xfId="468"/>
    <cellStyle name="Comma  - Style8 19" xfId="469"/>
    <cellStyle name="Comma  - Style8 2" xfId="470"/>
    <cellStyle name="Comma  - Style8 20" xfId="471"/>
    <cellStyle name="Comma  - Style8 21" xfId="472"/>
    <cellStyle name="Comma  - Style8 3" xfId="473"/>
    <cellStyle name="Comma  - Style8 4" xfId="474"/>
    <cellStyle name="Comma  - Style8 5" xfId="475"/>
    <cellStyle name="Comma  - Style8 6" xfId="476"/>
    <cellStyle name="Comma  - Style8 7" xfId="477"/>
    <cellStyle name="Comma  - Style8 8" xfId="478"/>
    <cellStyle name="Comma  - Style8 9" xfId="479"/>
    <cellStyle name="Comma - Style1" xfId="480"/>
    <cellStyle name="Comma - Style2" xfId="481"/>
    <cellStyle name="Comma - Style3" xfId="482"/>
    <cellStyle name="Comma - Style4" xfId="483"/>
    <cellStyle name="Comma - Style5" xfId="484"/>
    <cellStyle name="Comma - Style6" xfId="485"/>
    <cellStyle name="Comma - Style7" xfId="486"/>
    <cellStyle name="Comma - Style8" xfId="487"/>
    <cellStyle name="Comma [0]" xfId="1" builtinId="6"/>
    <cellStyle name="Comma [0] 10" xfId="488"/>
    <cellStyle name="Comma [0] 10 10" xfId="489"/>
    <cellStyle name="Comma [0] 10 10 2" xfId="7922"/>
    <cellStyle name="Comma [0] 10 11" xfId="490"/>
    <cellStyle name="Comma [0] 10 11 2" xfId="7923"/>
    <cellStyle name="Comma [0] 10 12" xfId="491"/>
    <cellStyle name="Comma [0] 10 12 2" xfId="7924"/>
    <cellStyle name="Comma [0] 10 13" xfId="492"/>
    <cellStyle name="Comma [0] 10 13 2" xfId="7925"/>
    <cellStyle name="Comma [0] 10 14" xfId="493"/>
    <cellStyle name="Comma [0] 10 14 2" xfId="7926"/>
    <cellStyle name="Comma [0] 10 15" xfId="494"/>
    <cellStyle name="Comma [0] 10 15 2" xfId="7927"/>
    <cellStyle name="Comma [0] 10 16" xfId="495"/>
    <cellStyle name="Comma [0] 10 16 2" xfId="7928"/>
    <cellStyle name="Comma [0] 10 17" xfId="496"/>
    <cellStyle name="Comma [0] 10 17 2" xfId="7929"/>
    <cellStyle name="Comma [0] 10 18" xfId="497"/>
    <cellStyle name="Comma [0] 10 18 2" xfId="7930"/>
    <cellStyle name="Comma [0] 10 19" xfId="498"/>
    <cellStyle name="Comma [0] 10 19 2" xfId="7931"/>
    <cellStyle name="Comma [0] 10 2" xfId="499"/>
    <cellStyle name="Comma [0] 10 2 2" xfId="7932"/>
    <cellStyle name="Comma [0] 10 20" xfId="500"/>
    <cellStyle name="Comma [0] 10 20 2" xfId="7933"/>
    <cellStyle name="Comma [0] 10 21" xfId="501"/>
    <cellStyle name="Comma [0] 10 21 2" xfId="7934"/>
    <cellStyle name="Comma [0] 10 3" xfId="502"/>
    <cellStyle name="Comma [0] 10 3 2" xfId="7935"/>
    <cellStyle name="Comma [0] 10 4" xfId="503"/>
    <cellStyle name="Comma [0] 10 4 2" xfId="7936"/>
    <cellStyle name="Comma [0] 10 5" xfId="504"/>
    <cellStyle name="Comma [0] 10 5 2" xfId="7937"/>
    <cellStyle name="Comma [0] 10 6" xfId="505"/>
    <cellStyle name="Comma [0] 10 6 2" xfId="7938"/>
    <cellStyle name="Comma [0] 10 7" xfId="506"/>
    <cellStyle name="Comma [0] 10 7 2" xfId="7939"/>
    <cellStyle name="Comma [0] 10 8" xfId="507"/>
    <cellStyle name="Comma [0] 10 8 2" xfId="7940"/>
    <cellStyle name="Comma [0] 10 9" xfId="508"/>
    <cellStyle name="Comma [0] 10 9 2" xfId="7941"/>
    <cellStyle name="Comma [0] 11" xfId="509"/>
    <cellStyle name="Comma [0] 11 2" xfId="7942"/>
    <cellStyle name="Comma [0] 12" xfId="510"/>
    <cellStyle name="Comma [0] 12 10" xfId="511"/>
    <cellStyle name="Comma [0] 12 10 2" xfId="512"/>
    <cellStyle name="Comma [0] 12 10 2 2" xfId="7334"/>
    <cellStyle name="Comma [0] 12 10 3" xfId="4984"/>
    <cellStyle name="Comma [0] 12 11" xfId="513"/>
    <cellStyle name="Comma [0] 12 11 2" xfId="514"/>
    <cellStyle name="Comma [0] 12 11 2 2" xfId="7335"/>
    <cellStyle name="Comma [0] 12 11 3" xfId="4985"/>
    <cellStyle name="Comma [0] 12 12" xfId="515"/>
    <cellStyle name="Comma [0] 12 12 2" xfId="516"/>
    <cellStyle name="Comma [0] 12 12 2 2" xfId="7336"/>
    <cellStyle name="Comma [0] 12 12 3" xfId="4986"/>
    <cellStyle name="Comma [0] 12 13" xfId="517"/>
    <cellStyle name="Comma [0] 12 13 2" xfId="518"/>
    <cellStyle name="Comma [0] 12 13 2 2" xfId="7337"/>
    <cellStyle name="Comma [0] 12 13 3" xfId="4987"/>
    <cellStyle name="Comma [0] 12 14" xfId="519"/>
    <cellStyle name="Comma [0] 12 14 2" xfId="520"/>
    <cellStyle name="Comma [0] 12 14 2 2" xfId="7338"/>
    <cellStyle name="Comma [0] 12 14 3" xfId="4988"/>
    <cellStyle name="Comma [0] 12 15" xfId="521"/>
    <cellStyle name="Comma [0] 12 15 2" xfId="522"/>
    <cellStyle name="Comma [0] 12 15 2 2" xfId="7339"/>
    <cellStyle name="Comma [0] 12 15 3" xfId="4989"/>
    <cellStyle name="Comma [0] 12 16" xfId="523"/>
    <cellStyle name="Comma [0] 12 16 2" xfId="524"/>
    <cellStyle name="Comma [0] 12 16 2 2" xfId="7340"/>
    <cellStyle name="Comma [0] 12 16 3" xfId="4990"/>
    <cellStyle name="Comma [0] 12 17" xfId="525"/>
    <cellStyle name="Comma [0] 12 17 2" xfId="526"/>
    <cellStyle name="Comma [0] 12 17 2 2" xfId="7341"/>
    <cellStyle name="Comma [0] 12 17 3" xfId="4991"/>
    <cellStyle name="Comma [0] 12 18" xfId="527"/>
    <cellStyle name="Comma [0] 12 18 2" xfId="528"/>
    <cellStyle name="Comma [0] 12 18 2 2" xfId="7342"/>
    <cellStyle name="Comma [0] 12 18 3" xfId="4992"/>
    <cellStyle name="Comma [0] 12 19" xfId="529"/>
    <cellStyle name="Comma [0] 12 19 2" xfId="530"/>
    <cellStyle name="Comma [0] 12 19 2 2" xfId="7343"/>
    <cellStyle name="Comma [0] 12 19 3" xfId="4993"/>
    <cellStyle name="Comma [0] 12 2" xfId="531"/>
    <cellStyle name="Comma [0] 12 2 2" xfId="532"/>
    <cellStyle name="Comma [0] 12 2 2 2" xfId="7344"/>
    <cellStyle name="Comma [0] 12 2 3" xfId="4994"/>
    <cellStyle name="Comma [0] 12 20" xfId="533"/>
    <cellStyle name="Comma [0] 12 20 2" xfId="534"/>
    <cellStyle name="Comma [0] 12 20 2 2" xfId="7345"/>
    <cellStyle name="Comma [0] 12 20 3" xfId="4995"/>
    <cellStyle name="Comma [0] 12 21" xfId="535"/>
    <cellStyle name="Comma [0] 12 21 2" xfId="536"/>
    <cellStyle name="Comma [0] 12 21 2 2" xfId="7346"/>
    <cellStyle name="Comma [0] 12 21 3" xfId="4996"/>
    <cellStyle name="Comma [0] 12 22" xfId="4997"/>
    <cellStyle name="Comma [0] 12 22 2" xfId="9954"/>
    <cellStyle name="Comma [0] 12 23" xfId="7943"/>
    <cellStyle name="Comma [0] 12 3" xfId="537"/>
    <cellStyle name="Comma [0] 12 3 2" xfId="538"/>
    <cellStyle name="Comma [0] 12 3 2 2" xfId="7347"/>
    <cellStyle name="Comma [0] 12 3 3" xfId="4998"/>
    <cellStyle name="Comma [0] 12 4" xfId="539"/>
    <cellStyle name="Comma [0] 12 4 2" xfId="540"/>
    <cellStyle name="Comma [0] 12 4 2 2" xfId="7348"/>
    <cellStyle name="Comma [0] 12 4 3" xfId="4999"/>
    <cellStyle name="Comma [0] 12 5" xfId="541"/>
    <cellStyle name="Comma [0] 12 5 2" xfId="542"/>
    <cellStyle name="Comma [0] 12 5 2 2" xfId="7349"/>
    <cellStyle name="Comma [0] 12 5 3" xfId="5000"/>
    <cellStyle name="Comma [0] 12 6" xfId="543"/>
    <cellStyle name="Comma [0] 12 6 2" xfId="544"/>
    <cellStyle name="Comma [0] 12 6 2 2" xfId="7350"/>
    <cellStyle name="Comma [0] 12 6 3" xfId="5001"/>
    <cellStyle name="Comma [0] 12 7" xfId="545"/>
    <cellStyle name="Comma [0] 12 7 2" xfId="546"/>
    <cellStyle name="Comma [0] 12 7 2 2" xfId="7351"/>
    <cellStyle name="Comma [0] 12 7 3" xfId="5002"/>
    <cellStyle name="Comma [0] 12 8" xfId="547"/>
    <cellStyle name="Comma [0] 12 8 2" xfId="548"/>
    <cellStyle name="Comma [0] 12 8 2 2" xfId="7352"/>
    <cellStyle name="Comma [0] 12 8 3" xfId="5003"/>
    <cellStyle name="Comma [0] 12 9" xfId="549"/>
    <cellStyle name="Comma [0] 12 9 2" xfId="550"/>
    <cellStyle name="Comma [0] 12 9 2 2" xfId="7353"/>
    <cellStyle name="Comma [0] 12 9 3" xfId="5004"/>
    <cellStyle name="Comma [0] 13" xfId="551"/>
    <cellStyle name="Comma [0] 14" xfId="552"/>
    <cellStyle name="Comma [0] 14 2" xfId="553"/>
    <cellStyle name="Comma [0] 14 2 2" xfId="7354"/>
    <cellStyle name="Comma [0] 14 3" xfId="5005"/>
    <cellStyle name="Comma [0] 15" xfId="554"/>
    <cellStyle name="Comma [0] 15 2" xfId="7944"/>
    <cellStyle name="Comma [0] 16" xfId="555"/>
    <cellStyle name="Comma [0] 16 2" xfId="5006"/>
    <cellStyle name="Comma [0] 16 2 2" xfId="7581"/>
    <cellStyle name="Comma [0] 16 3" xfId="7355"/>
    <cellStyle name="Comma [0] 17" xfId="556"/>
    <cellStyle name="Comma [0] 17 2" xfId="7945"/>
    <cellStyle name="Comma [0] 18" xfId="557"/>
    <cellStyle name="Comma [0] 18 2" xfId="7356"/>
    <cellStyle name="Comma [0] 18 2 2" xfId="11118"/>
    <cellStyle name="Comma [0] 18 3" xfId="10958"/>
    <cellStyle name="Comma [0] 19" xfId="558"/>
    <cellStyle name="Comma [0] 2" xfId="559"/>
    <cellStyle name="Comma [0] 2 10" xfId="560"/>
    <cellStyle name="Comma [0] 2 10 2" xfId="561"/>
    <cellStyle name="Comma [0] 2 10 2 2" xfId="7947"/>
    <cellStyle name="Comma [0] 2 10 3" xfId="7946"/>
    <cellStyle name="Comma [0] 2 11" xfId="562"/>
    <cellStyle name="Comma [0] 2 11 2" xfId="7948"/>
    <cellStyle name="Comma [0] 2 12" xfId="563"/>
    <cellStyle name="Comma [0] 2 12 2" xfId="7949"/>
    <cellStyle name="Comma [0] 2 13" xfId="564"/>
    <cellStyle name="Comma [0] 2 13 2" xfId="7950"/>
    <cellStyle name="Comma [0] 2 14" xfId="565"/>
    <cellStyle name="Comma [0] 2 14 2" xfId="7951"/>
    <cellStyle name="Comma [0] 2 15" xfId="566"/>
    <cellStyle name="Comma [0] 2 15 2" xfId="7952"/>
    <cellStyle name="Comma [0] 2 16" xfId="567"/>
    <cellStyle name="Comma [0] 2 16 2" xfId="7953"/>
    <cellStyle name="Comma [0] 2 17" xfId="568"/>
    <cellStyle name="Comma [0] 2 17 2" xfId="7954"/>
    <cellStyle name="Comma [0] 2 18" xfId="569"/>
    <cellStyle name="Comma [0] 2 18 2" xfId="7955"/>
    <cellStyle name="Comma [0] 2 19" xfId="570"/>
    <cellStyle name="Comma [0] 2 19 2" xfId="7956"/>
    <cellStyle name="Comma [0] 2 2" xfId="571"/>
    <cellStyle name="Comma [0] 2 2 10" xfId="572"/>
    <cellStyle name="Comma [0] 2 2 10 2" xfId="7958"/>
    <cellStyle name="Comma [0] 2 2 11" xfId="573"/>
    <cellStyle name="Comma [0] 2 2 11 2" xfId="7959"/>
    <cellStyle name="Comma [0] 2 2 12" xfId="574"/>
    <cellStyle name="Comma [0] 2 2 12 2" xfId="7960"/>
    <cellStyle name="Comma [0] 2 2 13" xfId="575"/>
    <cellStyle name="Comma [0] 2 2 13 2" xfId="7961"/>
    <cellStyle name="Comma [0] 2 2 14" xfId="576"/>
    <cellStyle name="Comma [0] 2 2 14 2" xfId="7962"/>
    <cellStyle name="Comma [0] 2 2 15" xfId="577"/>
    <cellStyle name="Comma [0] 2 2 15 2" xfId="7963"/>
    <cellStyle name="Comma [0] 2 2 16" xfId="578"/>
    <cellStyle name="Comma [0] 2 2 16 2" xfId="7964"/>
    <cellStyle name="Comma [0] 2 2 17" xfId="579"/>
    <cellStyle name="Comma [0] 2 2 17 2" xfId="7965"/>
    <cellStyle name="Comma [0] 2 2 18" xfId="580"/>
    <cellStyle name="Comma [0] 2 2 18 2" xfId="7966"/>
    <cellStyle name="Comma [0] 2 2 19" xfId="581"/>
    <cellStyle name="Comma [0] 2 2 19 2" xfId="7967"/>
    <cellStyle name="Comma [0] 2 2 2" xfId="582"/>
    <cellStyle name="Comma [0] 2 2 2 2" xfId="7968"/>
    <cellStyle name="Comma [0] 2 2 20" xfId="583"/>
    <cellStyle name="Comma [0] 2 2 20 2" xfId="7969"/>
    <cellStyle name="Comma [0] 2 2 21" xfId="584"/>
    <cellStyle name="Comma [0] 2 2 21 2" xfId="7970"/>
    <cellStyle name="Comma [0] 2 2 22" xfId="585"/>
    <cellStyle name="Comma [0] 2 2 22 2" xfId="7971"/>
    <cellStyle name="Comma [0] 2 2 23" xfId="586"/>
    <cellStyle name="Comma [0] 2 2 23 2" xfId="7972"/>
    <cellStyle name="Comma [0] 2 2 24" xfId="7957"/>
    <cellStyle name="Comma [0] 2 2 3" xfId="587"/>
    <cellStyle name="Comma [0] 2 2 3 2" xfId="588"/>
    <cellStyle name="Comma [0] 2 2 3 2 2" xfId="7974"/>
    <cellStyle name="Comma [0] 2 2 3 3" xfId="7973"/>
    <cellStyle name="Comma [0] 2 2 4" xfId="589"/>
    <cellStyle name="Comma [0] 2 2 4 2" xfId="7975"/>
    <cellStyle name="Comma [0] 2 2 5" xfId="590"/>
    <cellStyle name="Comma [0] 2 2 5 2" xfId="7976"/>
    <cellStyle name="Comma [0] 2 2 6" xfId="591"/>
    <cellStyle name="Comma [0] 2 2 6 2" xfId="7977"/>
    <cellStyle name="Comma [0] 2 2 7" xfId="592"/>
    <cellStyle name="Comma [0] 2 2 7 2" xfId="7978"/>
    <cellStyle name="Comma [0] 2 2 8" xfId="593"/>
    <cellStyle name="Comma [0] 2 2 8 2" xfId="7979"/>
    <cellStyle name="Comma [0] 2 2 9" xfId="594"/>
    <cellStyle name="Comma [0] 2 2 9 2" xfId="7980"/>
    <cellStyle name="Comma [0] 2 20" xfId="595"/>
    <cellStyle name="Comma [0] 2 20 2" xfId="7981"/>
    <cellStyle name="Comma [0] 2 21" xfId="596"/>
    <cellStyle name="Comma [0] 2 21 2" xfId="7982"/>
    <cellStyle name="Comma [0] 2 22" xfId="597"/>
    <cellStyle name="Comma [0] 2 22 2" xfId="7983"/>
    <cellStyle name="Comma [0] 2 23" xfId="598"/>
    <cellStyle name="Comma [0] 2 23 2" xfId="7984"/>
    <cellStyle name="Comma [0] 2 24" xfId="599"/>
    <cellStyle name="Comma [0] 2 24 2" xfId="7985"/>
    <cellStyle name="Comma [0] 2 25" xfId="600"/>
    <cellStyle name="Comma [0] 2 25 2" xfId="7986"/>
    <cellStyle name="Comma [0] 2 26" xfId="601"/>
    <cellStyle name="Comma [0] 2 26 2" xfId="7987"/>
    <cellStyle name="Comma [0] 2 27" xfId="602"/>
    <cellStyle name="Comma [0] 2 28" xfId="603"/>
    <cellStyle name="Comma [0] 2 28 2" xfId="604"/>
    <cellStyle name="Comma [0] 2 28 2 2" xfId="7358"/>
    <cellStyle name="Comma [0] 2 28 2 2 2" xfId="11120"/>
    <cellStyle name="Comma [0] 2 28 2 3" xfId="10960"/>
    <cellStyle name="Comma [0] 2 28 3" xfId="5007"/>
    <cellStyle name="Comma [0] 2 29" xfId="605"/>
    <cellStyle name="Comma [0] 2 29 2" xfId="606"/>
    <cellStyle name="Comma [0] 2 29 2 2" xfId="7359"/>
    <cellStyle name="Comma [0] 2 29 2 2 2" xfId="11121"/>
    <cellStyle name="Comma [0] 2 29 2 3" xfId="10961"/>
    <cellStyle name="Comma [0] 2 29 3" xfId="5008"/>
    <cellStyle name="Comma [0] 2 3" xfId="607"/>
    <cellStyle name="Comma [0] 2 3 2" xfId="7988"/>
    <cellStyle name="Comma [0] 2 30" xfId="608"/>
    <cellStyle name="Comma [0] 2 30 2" xfId="609"/>
    <cellStyle name="Comma [0] 2 30 2 2" xfId="7360"/>
    <cellStyle name="Comma [0] 2 30 2 2 2" xfId="11122"/>
    <cellStyle name="Comma [0] 2 30 2 3" xfId="10962"/>
    <cellStyle name="Comma [0] 2 30 3" xfId="5009"/>
    <cellStyle name="Comma [0] 2 31" xfId="610"/>
    <cellStyle name="Comma [0] 2 31 2" xfId="611"/>
    <cellStyle name="Comma [0] 2 31 2 2" xfId="7361"/>
    <cellStyle name="Comma [0] 2 31 2 2 2" xfId="11123"/>
    <cellStyle name="Comma [0] 2 31 2 3" xfId="10963"/>
    <cellStyle name="Comma [0] 2 31 3" xfId="5010"/>
    <cellStyle name="Comma [0] 2 32" xfId="612"/>
    <cellStyle name="Comma [0] 2 32 2" xfId="613"/>
    <cellStyle name="Comma [0] 2 32 2 2" xfId="7362"/>
    <cellStyle name="Comma [0] 2 32 2 2 2" xfId="11124"/>
    <cellStyle name="Comma [0] 2 32 2 3" xfId="10964"/>
    <cellStyle name="Comma [0] 2 32 3" xfId="5011"/>
    <cellStyle name="Comma [0] 2 33" xfId="614"/>
    <cellStyle name="Comma [0] 2 33 2" xfId="615"/>
    <cellStyle name="Comma [0] 2 33 2 2" xfId="7363"/>
    <cellStyle name="Comma [0] 2 33 2 2 2" xfId="11125"/>
    <cellStyle name="Comma [0] 2 33 2 3" xfId="10965"/>
    <cellStyle name="Comma [0] 2 33 3" xfId="5012"/>
    <cellStyle name="Comma [0] 2 34" xfId="616"/>
    <cellStyle name="Comma [0] 2 34 2" xfId="617"/>
    <cellStyle name="Comma [0] 2 34 2 2" xfId="7364"/>
    <cellStyle name="Comma [0] 2 34 2 2 2" xfId="11126"/>
    <cellStyle name="Comma [0] 2 34 2 3" xfId="10966"/>
    <cellStyle name="Comma [0] 2 34 3" xfId="5013"/>
    <cellStyle name="Comma [0] 2 35" xfId="618"/>
    <cellStyle name="Comma [0] 2 35 2" xfId="619"/>
    <cellStyle name="Comma [0] 2 35 2 2" xfId="7365"/>
    <cellStyle name="Comma [0] 2 35 2 2 2" xfId="11127"/>
    <cellStyle name="Comma [0] 2 35 2 3" xfId="10967"/>
    <cellStyle name="Comma [0] 2 35 3" xfId="5014"/>
    <cellStyle name="Comma [0] 2 36" xfId="620"/>
    <cellStyle name="Comma [0] 2 36 2" xfId="621"/>
    <cellStyle name="Comma [0] 2 36 2 2" xfId="7366"/>
    <cellStyle name="Comma [0] 2 36 2 2 2" xfId="11128"/>
    <cellStyle name="Comma [0] 2 36 2 3" xfId="10968"/>
    <cellStyle name="Comma [0] 2 36 3" xfId="5015"/>
    <cellStyle name="Comma [0] 2 37" xfId="622"/>
    <cellStyle name="Comma [0] 2 37 2" xfId="623"/>
    <cellStyle name="Comma [0] 2 37 2 2" xfId="7367"/>
    <cellStyle name="Comma [0] 2 37 2 2 2" xfId="11129"/>
    <cellStyle name="Comma [0] 2 37 2 3" xfId="10969"/>
    <cellStyle name="Comma [0] 2 37 3" xfId="5016"/>
    <cellStyle name="Comma [0] 2 38" xfId="624"/>
    <cellStyle name="Comma [0] 2 38 2" xfId="625"/>
    <cellStyle name="Comma [0] 2 38 2 2" xfId="7368"/>
    <cellStyle name="Comma [0] 2 38 2 2 2" xfId="11130"/>
    <cellStyle name="Comma [0] 2 38 2 3" xfId="10970"/>
    <cellStyle name="Comma [0] 2 38 3" xfId="5017"/>
    <cellStyle name="Comma [0] 2 39" xfId="626"/>
    <cellStyle name="Comma [0] 2 39 2" xfId="627"/>
    <cellStyle name="Comma [0] 2 39 2 2" xfId="7369"/>
    <cellStyle name="Comma [0] 2 39 2 2 2" xfId="11131"/>
    <cellStyle name="Comma [0] 2 39 2 3" xfId="10971"/>
    <cellStyle name="Comma [0] 2 39 3" xfId="5018"/>
    <cellStyle name="Comma [0] 2 4" xfId="628"/>
    <cellStyle name="Comma [0] 2 4 2" xfId="7989"/>
    <cellStyle name="Comma [0] 2 40" xfId="629"/>
    <cellStyle name="Comma [0] 2 40 2" xfId="630"/>
    <cellStyle name="Comma [0] 2 40 2 2" xfId="7370"/>
    <cellStyle name="Comma [0] 2 40 2 2 2" xfId="11132"/>
    <cellStyle name="Comma [0] 2 40 2 3" xfId="10972"/>
    <cellStyle name="Comma [0] 2 40 3" xfId="5019"/>
    <cellStyle name="Comma [0] 2 41" xfId="631"/>
    <cellStyle name="Comma [0] 2 41 2" xfId="632"/>
    <cellStyle name="Comma [0] 2 41 2 2" xfId="7371"/>
    <cellStyle name="Comma [0] 2 41 2 2 2" xfId="11133"/>
    <cellStyle name="Comma [0] 2 41 2 3" xfId="10973"/>
    <cellStyle name="Comma [0] 2 41 3" xfId="5020"/>
    <cellStyle name="Comma [0] 2 42" xfId="633"/>
    <cellStyle name="Comma [0] 2 42 2" xfId="634"/>
    <cellStyle name="Comma [0] 2 42 2 2" xfId="7372"/>
    <cellStyle name="Comma [0] 2 42 2 2 2" xfId="11134"/>
    <cellStyle name="Comma [0] 2 42 2 3" xfId="10974"/>
    <cellStyle name="Comma [0] 2 42 3" xfId="5021"/>
    <cellStyle name="Comma [0] 2 43" xfId="635"/>
    <cellStyle name="Comma [0] 2 43 2" xfId="636"/>
    <cellStyle name="Comma [0] 2 43 2 2" xfId="7373"/>
    <cellStyle name="Comma [0] 2 43 2 2 2" xfId="11135"/>
    <cellStyle name="Comma [0] 2 43 2 3" xfId="10975"/>
    <cellStyle name="Comma [0] 2 43 3" xfId="5022"/>
    <cellStyle name="Comma [0] 2 44" xfId="637"/>
    <cellStyle name="Comma [0] 2 44 2" xfId="638"/>
    <cellStyle name="Comma [0] 2 44 2 2" xfId="7374"/>
    <cellStyle name="Comma [0] 2 44 2 2 2" xfId="11136"/>
    <cellStyle name="Comma [0] 2 44 2 3" xfId="10976"/>
    <cellStyle name="Comma [0] 2 44 3" xfId="5023"/>
    <cellStyle name="Comma [0] 2 45" xfId="639"/>
    <cellStyle name="Comma [0] 2 45 2" xfId="640"/>
    <cellStyle name="Comma [0] 2 45 2 2" xfId="7375"/>
    <cellStyle name="Comma [0] 2 45 2 2 2" xfId="11137"/>
    <cellStyle name="Comma [0] 2 45 2 3" xfId="10977"/>
    <cellStyle name="Comma [0] 2 45 3" xfId="5024"/>
    <cellStyle name="Comma [0] 2 46" xfId="641"/>
    <cellStyle name="Comma [0] 2 46 2" xfId="642"/>
    <cellStyle name="Comma [0] 2 46 2 2" xfId="7376"/>
    <cellStyle name="Comma [0] 2 46 2 2 2" xfId="11138"/>
    <cellStyle name="Comma [0] 2 46 2 3" xfId="10978"/>
    <cellStyle name="Comma [0] 2 46 3" xfId="5025"/>
    <cellStyle name="Comma [0] 2 47" xfId="643"/>
    <cellStyle name="Comma [0] 2 47 2" xfId="644"/>
    <cellStyle name="Comma [0] 2 47 2 2" xfId="7377"/>
    <cellStyle name="Comma [0] 2 47 2 2 2" xfId="11139"/>
    <cellStyle name="Comma [0] 2 47 2 3" xfId="10979"/>
    <cellStyle name="Comma [0] 2 47 3" xfId="5026"/>
    <cellStyle name="Comma [0] 2 48" xfId="645"/>
    <cellStyle name="Comma [0] 2 49" xfId="7773"/>
    <cellStyle name="Comma [0] 2 5" xfId="646"/>
    <cellStyle name="Comma [0] 2 5 2" xfId="7990"/>
    <cellStyle name="Comma [0] 2 50" xfId="10946"/>
    <cellStyle name="Comma [0] 2 51" xfId="7357"/>
    <cellStyle name="Comma [0] 2 51 2" xfId="11119"/>
    <cellStyle name="Comma [0] 2 52" xfId="10959"/>
    <cellStyle name="Comma [0] 2 6" xfId="647"/>
    <cellStyle name="Comma [0] 2 6 2" xfId="7991"/>
    <cellStyle name="Comma [0] 2 7" xfId="648"/>
    <cellStyle name="Comma [0] 2 7 2" xfId="7992"/>
    <cellStyle name="Comma [0] 2 8" xfId="649"/>
    <cellStyle name="Comma [0] 2 8 2" xfId="7993"/>
    <cellStyle name="Comma [0] 2 9" xfId="650"/>
    <cellStyle name="Comma [0] 2 9 2" xfId="7994"/>
    <cellStyle name="Comma [0] 20" xfId="5027"/>
    <cellStyle name="Comma [0] 20 2" xfId="7582"/>
    <cellStyle name="Comma [0] 21" xfId="7328"/>
    <cellStyle name="Comma [0] 21 2" xfId="10907"/>
    <cellStyle name="Comma [0] 21 3" xfId="7787"/>
    <cellStyle name="Comma [0] 22" xfId="7333"/>
    <cellStyle name="Comma [0] 22 2" xfId="10772"/>
    <cellStyle name="Comma [0] 22 3" xfId="10760"/>
    <cellStyle name="Comma [0] 23" xfId="10957"/>
    <cellStyle name="Comma [0] 24" xfId="10955"/>
    <cellStyle name="Comma [0] 3" xfId="651"/>
    <cellStyle name="Comma [0] 3 10" xfId="652"/>
    <cellStyle name="Comma [0] 3 11" xfId="653"/>
    <cellStyle name="Comma [0] 3 12" xfId="654"/>
    <cellStyle name="Comma [0] 3 13" xfId="655"/>
    <cellStyle name="Comma [0] 3 14" xfId="656"/>
    <cellStyle name="Comma [0] 3 15" xfId="657"/>
    <cellStyle name="Comma [0] 3 16" xfId="658"/>
    <cellStyle name="Comma [0] 3 17" xfId="659"/>
    <cellStyle name="Comma [0] 3 18" xfId="660"/>
    <cellStyle name="Comma [0] 3 19" xfId="661"/>
    <cellStyle name="Comma [0] 3 2" xfId="662"/>
    <cellStyle name="Comma [0] 3 2 2" xfId="7995"/>
    <cellStyle name="Comma [0] 3 20" xfId="663"/>
    <cellStyle name="Comma [0] 3 21" xfId="664"/>
    <cellStyle name="Comma [0] 3 22" xfId="665"/>
    <cellStyle name="Comma [0] 3 23" xfId="666"/>
    <cellStyle name="Comma [0] 3 23 2" xfId="7996"/>
    <cellStyle name="Comma [0] 3 24" xfId="7774"/>
    <cellStyle name="Comma [0] 3 25" xfId="10947"/>
    <cellStyle name="Comma [0] 3 26" xfId="7378"/>
    <cellStyle name="Comma [0] 3 26 2" xfId="11140"/>
    <cellStyle name="Comma [0] 3 27" xfId="10980"/>
    <cellStyle name="Comma [0] 3 3" xfId="667"/>
    <cellStyle name="Comma [0] 3 4" xfId="668"/>
    <cellStyle name="Comma [0] 3 5" xfId="669"/>
    <cellStyle name="Comma [0] 3 6" xfId="670"/>
    <cellStyle name="Comma [0] 3 7" xfId="671"/>
    <cellStyle name="Comma [0] 3 8" xfId="672"/>
    <cellStyle name="Comma [0] 3 9" xfId="673"/>
    <cellStyle name="Comma [0] 4" xfId="674"/>
    <cellStyle name="Comma [0] 4 2" xfId="10945"/>
    <cellStyle name="Comma [0] 4 3" xfId="675"/>
    <cellStyle name="Comma [0] 4 3 2" xfId="7997"/>
    <cellStyle name="Comma [0] 4 4" xfId="7379"/>
    <cellStyle name="Comma [0] 5" xfId="676"/>
    <cellStyle name="Comma [0] 5 2" xfId="7998"/>
    <cellStyle name="Comma [0] 6" xfId="677"/>
    <cellStyle name="Comma [0] 6 10" xfId="678"/>
    <cellStyle name="Comma [0] 6 10 2" xfId="8000"/>
    <cellStyle name="Comma [0] 6 11" xfId="679"/>
    <cellStyle name="Comma [0] 6 11 2" xfId="8001"/>
    <cellStyle name="Comma [0] 6 12" xfId="680"/>
    <cellStyle name="Comma [0] 6 12 2" xfId="8002"/>
    <cellStyle name="Comma [0] 6 13" xfId="681"/>
    <cellStyle name="Comma [0] 6 13 2" xfId="8003"/>
    <cellStyle name="Comma [0] 6 14" xfId="682"/>
    <cellStyle name="Comma [0] 6 14 2" xfId="8004"/>
    <cellStyle name="Comma [0] 6 15" xfId="683"/>
    <cellStyle name="Comma [0] 6 15 2" xfId="8005"/>
    <cellStyle name="Comma [0] 6 16" xfId="684"/>
    <cellStyle name="Comma [0] 6 16 2" xfId="8006"/>
    <cellStyle name="Comma [0] 6 17" xfId="685"/>
    <cellStyle name="Comma [0] 6 17 2" xfId="8007"/>
    <cellStyle name="Comma [0] 6 18" xfId="686"/>
    <cellStyle name="Comma [0] 6 18 2" xfId="8008"/>
    <cellStyle name="Comma [0] 6 19" xfId="687"/>
    <cellStyle name="Comma [0] 6 19 2" xfId="8009"/>
    <cellStyle name="Comma [0] 6 2" xfId="688"/>
    <cellStyle name="Comma [0] 6 2 2" xfId="8010"/>
    <cellStyle name="Comma [0] 6 20" xfId="689"/>
    <cellStyle name="Comma [0] 6 20 2" xfId="8011"/>
    <cellStyle name="Comma [0] 6 21" xfId="690"/>
    <cellStyle name="Comma [0] 6 21 2" xfId="8012"/>
    <cellStyle name="Comma [0] 6 22" xfId="691"/>
    <cellStyle name="Comma [0] 6 22 2" xfId="8013"/>
    <cellStyle name="Comma [0] 6 23" xfId="692"/>
    <cellStyle name="Comma [0] 6 23 2" xfId="8014"/>
    <cellStyle name="Comma [0] 6 24" xfId="693"/>
    <cellStyle name="Comma [0] 6 24 2" xfId="8015"/>
    <cellStyle name="Comma [0] 6 25" xfId="694"/>
    <cellStyle name="Comma [0] 6 25 2" xfId="8016"/>
    <cellStyle name="Comma [0] 6 26" xfId="695"/>
    <cellStyle name="Comma [0] 6 26 2" xfId="8017"/>
    <cellStyle name="Comma [0] 6 27" xfId="696"/>
    <cellStyle name="Comma [0] 6 28" xfId="697"/>
    <cellStyle name="Comma [0] 6 29" xfId="698"/>
    <cellStyle name="Comma [0] 6 3" xfId="699"/>
    <cellStyle name="Comma [0] 6 3 2" xfId="8018"/>
    <cellStyle name="Comma [0] 6 30" xfId="700"/>
    <cellStyle name="Comma [0] 6 31" xfId="701"/>
    <cellStyle name="Comma [0] 6 32" xfId="702"/>
    <cellStyle name="Comma [0] 6 33" xfId="703"/>
    <cellStyle name="Comma [0] 6 34" xfId="704"/>
    <cellStyle name="Comma [0] 6 35" xfId="705"/>
    <cellStyle name="Comma [0] 6 36" xfId="706"/>
    <cellStyle name="Comma [0] 6 37" xfId="707"/>
    <cellStyle name="Comma [0] 6 38" xfId="708"/>
    <cellStyle name="Comma [0] 6 39" xfId="709"/>
    <cellStyle name="Comma [0] 6 4" xfId="710"/>
    <cellStyle name="Comma [0] 6 4 2" xfId="8019"/>
    <cellStyle name="Comma [0] 6 40" xfId="711"/>
    <cellStyle name="Comma [0] 6 41" xfId="712"/>
    <cellStyle name="Comma [0] 6 42" xfId="713"/>
    <cellStyle name="Comma [0] 6 43" xfId="714"/>
    <cellStyle name="Comma [0] 6 44" xfId="715"/>
    <cellStyle name="Comma [0] 6 45" xfId="716"/>
    <cellStyle name="Comma [0] 6 46" xfId="717"/>
    <cellStyle name="Comma [0] 6 47" xfId="7999"/>
    <cellStyle name="Comma [0] 6 5" xfId="718"/>
    <cellStyle name="Comma [0] 6 5 2" xfId="8020"/>
    <cellStyle name="Comma [0] 6 6" xfId="719"/>
    <cellStyle name="Comma [0] 6 6 2" xfId="8021"/>
    <cellStyle name="Comma [0] 6 7" xfId="720"/>
    <cellStyle name="Comma [0] 6 7 2" xfId="8022"/>
    <cellStyle name="Comma [0] 6 8" xfId="721"/>
    <cellStyle name="Comma [0] 6 8 2" xfId="8023"/>
    <cellStyle name="Comma [0] 6 9" xfId="722"/>
    <cellStyle name="Comma [0] 6 9 2" xfId="8024"/>
    <cellStyle name="Comma [0] 7" xfId="723"/>
    <cellStyle name="Comma [0] 7 10" xfId="724"/>
    <cellStyle name="Comma [0] 7 10 2" xfId="8025"/>
    <cellStyle name="Comma [0] 7 11" xfId="725"/>
    <cellStyle name="Comma [0] 7 11 2" xfId="8026"/>
    <cellStyle name="Comma [0] 7 12" xfId="726"/>
    <cellStyle name="Comma [0] 7 12 2" xfId="8027"/>
    <cellStyle name="Comma [0] 7 13" xfId="727"/>
    <cellStyle name="Comma [0] 7 13 2" xfId="8028"/>
    <cellStyle name="Comma [0] 7 14" xfId="728"/>
    <cellStyle name="Comma [0] 7 14 2" xfId="8029"/>
    <cellStyle name="Comma [0] 7 15" xfId="729"/>
    <cellStyle name="Comma [0] 7 15 2" xfId="8030"/>
    <cellStyle name="Comma [0] 7 16" xfId="730"/>
    <cellStyle name="Comma [0] 7 16 2" xfId="8031"/>
    <cellStyle name="Comma [0] 7 17" xfId="731"/>
    <cellStyle name="Comma [0] 7 17 2" xfId="8032"/>
    <cellStyle name="Comma [0] 7 18" xfId="732"/>
    <cellStyle name="Comma [0] 7 18 2" xfId="8033"/>
    <cellStyle name="Comma [0] 7 19" xfId="733"/>
    <cellStyle name="Comma [0] 7 19 2" xfId="8034"/>
    <cellStyle name="Comma [0] 7 2" xfId="734"/>
    <cellStyle name="Comma [0] 7 2 2" xfId="8035"/>
    <cellStyle name="Comma [0] 7 20" xfId="735"/>
    <cellStyle name="Comma [0] 7 20 2" xfId="8036"/>
    <cellStyle name="Comma [0] 7 21" xfId="736"/>
    <cellStyle name="Comma [0] 7 21 2" xfId="8037"/>
    <cellStyle name="Comma [0] 7 22" xfId="737"/>
    <cellStyle name="Comma [0] 7 22 2" xfId="8038"/>
    <cellStyle name="Comma [0] 7 3" xfId="738"/>
    <cellStyle name="Comma [0] 7 3 2" xfId="8039"/>
    <cellStyle name="Comma [0] 7 4" xfId="739"/>
    <cellStyle name="Comma [0] 7 4 2" xfId="8040"/>
    <cellStyle name="Comma [0] 7 5" xfId="740"/>
    <cellStyle name="Comma [0] 7 5 2" xfId="8041"/>
    <cellStyle name="Comma [0] 7 6" xfId="741"/>
    <cellStyle name="Comma [0] 7 6 2" xfId="8042"/>
    <cellStyle name="Comma [0] 7 7" xfId="742"/>
    <cellStyle name="Comma [0] 7 7 2" xfId="8043"/>
    <cellStyle name="Comma [0] 7 8" xfId="743"/>
    <cellStyle name="Comma [0] 7 8 2" xfId="8044"/>
    <cellStyle name="Comma [0] 7 9" xfId="744"/>
    <cellStyle name="Comma [0] 7 9 2" xfId="8045"/>
    <cellStyle name="Comma [0] 8" xfId="745"/>
    <cellStyle name="Comma [0] 8 10" xfId="746"/>
    <cellStyle name="Comma [0] 8 10 2" xfId="8047"/>
    <cellStyle name="Comma [0] 8 11" xfId="747"/>
    <cellStyle name="Comma [0] 8 11 2" xfId="8048"/>
    <cellStyle name="Comma [0] 8 12" xfId="748"/>
    <cellStyle name="Comma [0] 8 12 2" xfId="8049"/>
    <cellStyle name="Comma [0] 8 13" xfId="749"/>
    <cellStyle name="Comma [0] 8 13 2" xfId="8050"/>
    <cellStyle name="Comma [0] 8 14" xfId="750"/>
    <cellStyle name="Comma [0] 8 14 2" xfId="8051"/>
    <cellStyle name="Comma [0] 8 15" xfId="751"/>
    <cellStyle name="Comma [0] 8 15 2" xfId="8052"/>
    <cellStyle name="Comma [0] 8 16" xfId="752"/>
    <cellStyle name="Comma [0] 8 16 2" xfId="8053"/>
    <cellStyle name="Comma [0] 8 17" xfId="753"/>
    <cellStyle name="Comma [0] 8 17 2" xfId="8054"/>
    <cellStyle name="Comma [0] 8 18" xfId="754"/>
    <cellStyle name="Comma [0] 8 18 2" xfId="8055"/>
    <cellStyle name="Comma [0] 8 19" xfId="755"/>
    <cellStyle name="Comma [0] 8 19 2" xfId="8056"/>
    <cellStyle name="Comma [0] 8 2" xfId="756"/>
    <cellStyle name="Comma [0] 8 2 2" xfId="8057"/>
    <cellStyle name="Comma [0] 8 20" xfId="757"/>
    <cellStyle name="Comma [0] 8 20 2" xfId="8058"/>
    <cellStyle name="Comma [0] 8 21" xfId="758"/>
    <cellStyle name="Comma [0] 8 21 2" xfId="8059"/>
    <cellStyle name="Comma [0] 8 22" xfId="759"/>
    <cellStyle name="Comma [0] 8 22 2" xfId="8060"/>
    <cellStyle name="Comma [0] 8 23" xfId="760"/>
    <cellStyle name="Comma [0] 8 23 2" xfId="8061"/>
    <cellStyle name="Comma [0] 8 24" xfId="761"/>
    <cellStyle name="Comma [0] 8 24 2" xfId="8062"/>
    <cellStyle name="Comma [0] 8 25" xfId="762"/>
    <cellStyle name="Comma [0] 8 25 2" xfId="8063"/>
    <cellStyle name="Comma [0] 8 26" xfId="763"/>
    <cellStyle name="Comma [0] 8 26 2" xfId="8064"/>
    <cellStyle name="Comma [0] 8 27" xfId="8046"/>
    <cellStyle name="Comma [0] 8 3" xfId="764"/>
    <cellStyle name="Comma [0] 8 3 2" xfId="8065"/>
    <cellStyle name="Comma [0] 8 4" xfId="765"/>
    <cellStyle name="Comma [0] 8 4 2" xfId="8066"/>
    <cellStyle name="Comma [0] 8 5" xfId="766"/>
    <cellStyle name="Comma [0] 8 5 2" xfId="8067"/>
    <cellStyle name="Comma [0] 8 6" xfId="767"/>
    <cellStyle name="Comma [0] 8 6 2" xfId="8068"/>
    <cellStyle name="Comma [0] 8 7" xfId="768"/>
    <cellStyle name="Comma [0] 8 7 2" xfId="8069"/>
    <cellStyle name="Comma [0] 8 8" xfId="769"/>
    <cellStyle name="Comma [0] 8 8 2" xfId="8070"/>
    <cellStyle name="Comma [0] 8 9" xfId="770"/>
    <cellStyle name="Comma [0] 8 9 2" xfId="8071"/>
    <cellStyle name="Comma [0] 9" xfId="771"/>
    <cellStyle name="Comma [0] 9 10" xfId="772"/>
    <cellStyle name="Comma [0] 9 11" xfId="773"/>
    <cellStyle name="Comma [0] 9 12" xfId="774"/>
    <cellStyle name="Comma [0] 9 13" xfId="775"/>
    <cellStyle name="Comma [0] 9 14" xfId="776"/>
    <cellStyle name="Comma [0] 9 15" xfId="777"/>
    <cellStyle name="Comma [0] 9 16" xfId="778"/>
    <cellStyle name="Comma [0] 9 17" xfId="779"/>
    <cellStyle name="Comma [0] 9 18" xfId="780"/>
    <cellStyle name="Comma [0] 9 19" xfId="781"/>
    <cellStyle name="Comma [0] 9 2" xfId="782"/>
    <cellStyle name="Comma [0] 9 20" xfId="783"/>
    <cellStyle name="Comma [0] 9 21" xfId="784"/>
    <cellStyle name="Comma [0] 9 3" xfId="785"/>
    <cellStyle name="Comma [0] 9 4" xfId="786"/>
    <cellStyle name="Comma [0] 9 5" xfId="787"/>
    <cellStyle name="Comma [0] 9 6" xfId="788"/>
    <cellStyle name="Comma [0] 9 7" xfId="789"/>
    <cellStyle name="Comma [0] 9 8" xfId="790"/>
    <cellStyle name="Comma [0] 9 9" xfId="791"/>
    <cellStyle name="Comma [00]" xfId="792"/>
    <cellStyle name="Comma 0" xfId="793"/>
    <cellStyle name="Comma 0 10" xfId="794"/>
    <cellStyle name="Comma 0 10 2" xfId="8073"/>
    <cellStyle name="Comma 0 11" xfId="795"/>
    <cellStyle name="Comma 0 11 2" xfId="8074"/>
    <cellStyle name="Comma 0 12" xfId="796"/>
    <cellStyle name="Comma 0 12 2" xfId="8075"/>
    <cellStyle name="Comma 0 13" xfId="797"/>
    <cellStyle name="Comma 0 13 2" xfId="8076"/>
    <cellStyle name="Comma 0 14" xfId="798"/>
    <cellStyle name="Comma 0 14 2" xfId="8077"/>
    <cellStyle name="Comma 0 15" xfId="799"/>
    <cellStyle name="Comma 0 15 2" xfId="8078"/>
    <cellStyle name="Comma 0 16" xfId="800"/>
    <cellStyle name="Comma 0 16 2" xfId="8079"/>
    <cellStyle name="Comma 0 17" xfId="801"/>
    <cellStyle name="Comma 0 17 2" xfId="8080"/>
    <cellStyle name="Comma 0 18" xfId="802"/>
    <cellStyle name="Comma 0 18 2" xfId="8081"/>
    <cellStyle name="Comma 0 19" xfId="803"/>
    <cellStyle name="Comma 0 19 2" xfId="8082"/>
    <cellStyle name="Comma 0 2" xfId="804"/>
    <cellStyle name="Comma 0 2 2" xfId="8083"/>
    <cellStyle name="Comma 0 20" xfId="805"/>
    <cellStyle name="Comma 0 20 2" xfId="8084"/>
    <cellStyle name="Comma 0 21" xfId="806"/>
    <cellStyle name="Comma 0 21 2" xfId="8085"/>
    <cellStyle name="Comma 0 22" xfId="807"/>
    <cellStyle name="Comma 0 22 2" xfId="8086"/>
    <cellStyle name="Comma 0 23" xfId="808"/>
    <cellStyle name="Comma 0 23 2" xfId="8087"/>
    <cellStyle name="Comma 0 24" xfId="809"/>
    <cellStyle name="Comma 0 24 2" xfId="8088"/>
    <cellStyle name="Comma 0 25" xfId="810"/>
    <cellStyle name="Comma 0 25 2" xfId="8089"/>
    <cellStyle name="Comma 0 26" xfId="811"/>
    <cellStyle name="Comma 0 26 2" xfId="8090"/>
    <cellStyle name="Comma 0 27" xfId="8072"/>
    <cellStyle name="Comma 0 3" xfId="812"/>
    <cellStyle name="Comma 0 3 2" xfId="8091"/>
    <cellStyle name="Comma 0 4" xfId="813"/>
    <cellStyle name="Comma 0 4 2" xfId="8092"/>
    <cellStyle name="Comma 0 5" xfId="814"/>
    <cellStyle name="Comma 0 5 2" xfId="8093"/>
    <cellStyle name="Comma 0 6" xfId="815"/>
    <cellStyle name="Comma 0 6 2" xfId="8094"/>
    <cellStyle name="Comma 0 7" xfId="816"/>
    <cellStyle name="Comma 0 7 2" xfId="8095"/>
    <cellStyle name="Comma 0 8" xfId="817"/>
    <cellStyle name="Comma 0 8 2" xfId="8096"/>
    <cellStyle name="Comma 0 9" xfId="818"/>
    <cellStyle name="Comma 0 9 2" xfId="8097"/>
    <cellStyle name="Comma 10" xfId="819"/>
    <cellStyle name="Comma 10 10" xfId="820"/>
    <cellStyle name="Comma 10 10 2" xfId="8098"/>
    <cellStyle name="Comma 10 11" xfId="821"/>
    <cellStyle name="Comma 10 11 2" xfId="8099"/>
    <cellStyle name="Comma 10 12" xfId="822"/>
    <cellStyle name="Comma 10 12 2" xfId="8100"/>
    <cellStyle name="Comma 10 13" xfId="823"/>
    <cellStyle name="Comma 10 13 2" xfId="8101"/>
    <cellStyle name="Comma 10 14" xfId="824"/>
    <cellStyle name="Comma 10 14 2" xfId="8102"/>
    <cellStyle name="Comma 10 15" xfId="825"/>
    <cellStyle name="Comma 10 15 2" xfId="8103"/>
    <cellStyle name="Comma 10 16" xfId="826"/>
    <cellStyle name="Comma 10 16 2" xfId="8104"/>
    <cellStyle name="Comma 10 17" xfId="827"/>
    <cellStyle name="Comma 10 17 2" xfId="8105"/>
    <cellStyle name="Comma 10 18" xfId="828"/>
    <cellStyle name="Comma 10 18 2" xfId="8106"/>
    <cellStyle name="Comma 10 19" xfId="829"/>
    <cellStyle name="Comma 10 19 2" xfId="8107"/>
    <cellStyle name="Comma 10 2" xfId="830"/>
    <cellStyle name="Comma 10 2 2" xfId="8108"/>
    <cellStyle name="Comma 10 20" xfId="831"/>
    <cellStyle name="Comma 10 20 2" xfId="8109"/>
    <cellStyle name="Comma 10 21" xfId="832"/>
    <cellStyle name="Comma 10 21 2" xfId="8110"/>
    <cellStyle name="Comma 10 22" xfId="7380"/>
    <cellStyle name="Comma 10 3" xfId="833"/>
    <cellStyle name="Comma 10 3 2" xfId="8111"/>
    <cellStyle name="Comma 10 4" xfId="834"/>
    <cellStyle name="Comma 10 4 2" xfId="8112"/>
    <cellStyle name="Comma 10 5" xfId="835"/>
    <cellStyle name="Comma 10 5 2" xfId="8113"/>
    <cellStyle name="Comma 10 6" xfId="836"/>
    <cellStyle name="Comma 10 6 2" xfId="8114"/>
    <cellStyle name="Comma 10 7" xfId="837"/>
    <cellStyle name="Comma 10 7 2" xfId="8115"/>
    <cellStyle name="Comma 10 8" xfId="838"/>
    <cellStyle name="Comma 10 8 2" xfId="8116"/>
    <cellStyle name="Comma 10 9" xfId="839"/>
    <cellStyle name="Comma 10 9 2" xfId="8117"/>
    <cellStyle name="Comma 11" xfId="840"/>
    <cellStyle name="Comma 11 10" xfId="841"/>
    <cellStyle name="Comma 11 11" xfId="842"/>
    <cellStyle name="Comma 11 12" xfId="843"/>
    <cellStyle name="Comma 11 13" xfId="844"/>
    <cellStyle name="Comma 11 14" xfId="845"/>
    <cellStyle name="Comma 11 15" xfId="846"/>
    <cellStyle name="Comma 11 16" xfId="847"/>
    <cellStyle name="Comma 11 17" xfId="848"/>
    <cellStyle name="Comma 11 18" xfId="849"/>
    <cellStyle name="Comma 11 19" xfId="850"/>
    <cellStyle name="Comma 11 2" xfId="851"/>
    <cellStyle name="Comma 11 20" xfId="852"/>
    <cellStyle name="Comma 11 21" xfId="853"/>
    <cellStyle name="Comma 11 22" xfId="7381"/>
    <cellStyle name="Comma 11 3" xfId="854"/>
    <cellStyle name="Comma 11 4" xfId="855"/>
    <cellStyle name="Comma 11 5" xfId="856"/>
    <cellStyle name="Comma 11 6" xfId="857"/>
    <cellStyle name="Comma 11 7" xfId="858"/>
    <cellStyle name="Comma 11 8" xfId="859"/>
    <cellStyle name="Comma 11 9" xfId="860"/>
    <cellStyle name="Comma 12" xfId="861"/>
    <cellStyle name="Comma 12 10" xfId="862"/>
    <cellStyle name="Comma 12 10 2" xfId="8119"/>
    <cellStyle name="Comma 12 11" xfId="863"/>
    <cellStyle name="Comma 12 11 2" xfId="8120"/>
    <cellStyle name="Comma 12 12" xfId="864"/>
    <cellStyle name="Comma 12 12 2" xfId="8121"/>
    <cellStyle name="Comma 12 13" xfId="865"/>
    <cellStyle name="Comma 12 13 2" xfId="8122"/>
    <cellStyle name="Comma 12 14" xfId="866"/>
    <cellStyle name="Comma 12 14 2" xfId="8123"/>
    <cellStyle name="Comma 12 15" xfId="867"/>
    <cellStyle name="Comma 12 15 2" xfId="8124"/>
    <cellStyle name="Comma 12 16" xfId="868"/>
    <cellStyle name="Comma 12 16 2" xfId="8125"/>
    <cellStyle name="Comma 12 17" xfId="869"/>
    <cellStyle name="Comma 12 17 2" xfId="8126"/>
    <cellStyle name="Comma 12 18" xfId="870"/>
    <cellStyle name="Comma 12 18 2" xfId="8127"/>
    <cellStyle name="Comma 12 19" xfId="871"/>
    <cellStyle name="Comma 12 19 2" xfId="8128"/>
    <cellStyle name="Comma 12 2" xfId="872"/>
    <cellStyle name="Comma 12 2 2" xfId="8129"/>
    <cellStyle name="Comma 12 20" xfId="873"/>
    <cellStyle name="Comma 12 20 2" xfId="8130"/>
    <cellStyle name="Comma 12 21" xfId="874"/>
    <cellStyle name="Comma 12 21 2" xfId="8131"/>
    <cellStyle name="Comma 12 22" xfId="8118"/>
    <cellStyle name="Comma 12 3" xfId="875"/>
    <cellStyle name="Comma 12 3 2" xfId="8132"/>
    <cellStyle name="Comma 12 4" xfId="876"/>
    <cellStyle name="Comma 12 4 2" xfId="8133"/>
    <cellStyle name="Comma 12 5" xfId="877"/>
    <cellStyle name="Comma 12 5 2" xfId="8134"/>
    <cellStyle name="Comma 12 6" xfId="878"/>
    <cellStyle name="Comma 12 6 2" xfId="8135"/>
    <cellStyle name="Comma 12 7" xfId="879"/>
    <cellStyle name="Comma 12 7 2" xfId="8136"/>
    <cellStyle name="Comma 12 8" xfId="880"/>
    <cellStyle name="Comma 12 8 2" xfId="8137"/>
    <cellStyle name="Comma 12 9" xfId="881"/>
    <cellStyle name="Comma 12 9 2" xfId="8138"/>
    <cellStyle name="Comma 13" xfId="882"/>
    <cellStyle name="Comma 13 10" xfId="883"/>
    <cellStyle name="Comma 13 11" xfId="884"/>
    <cellStyle name="Comma 13 12" xfId="885"/>
    <cellStyle name="Comma 13 13" xfId="886"/>
    <cellStyle name="Comma 13 14" xfId="887"/>
    <cellStyle name="Comma 13 15" xfId="888"/>
    <cellStyle name="Comma 13 16" xfId="889"/>
    <cellStyle name="Comma 13 17" xfId="890"/>
    <cellStyle name="Comma 13 18" xfId="891"/>
    <cellStyle name="Comma 13 19" xfId="892"/>
    <cellStyle name="Comma 13 2" xfId="893"/>
    <cellStyle name="Comma 13 20" xfId="894"/>
    <cellStyle name="Comma 13 21" xfId="895"/>
    <cellStyle name="Comma 13 22" xfId="8139"/>
    <cellStyle name="Comma 13 3" xfId="896"/>
    <cellStyle name="Comma 13 4" xfId="897"/>
    <cellStyle name="Comma 13 5" xfId="898"/>
    <cellStyle name="Comma 13 6" xfId="899"/>
    <cellStyle name="Comma 13 7" xfId="900"/>
    <cellStyle name="Comma 13 8" xfId="901"/>
    <cellStyle name="Comma 13 9" xfId="902"/>
    <cellStyle name="Comma 14" xfId="903"/>
    <cellStyle name="Comma 14 10" xfId="904"/>
    <cellStyle name="Comma 14 10 2" xfId="8141"/>
    <cellStyle name="Comma 14 11" xfId="905"/>
    <cellStyle name="Comma 14 11 2" xfId="8142"/>
    <cellStyle name="Comma 14 12" xfId="906"/>
    <cellStyle name="Comma 14 12 2" xfId="8143"/>
    <cellStyle name="Comma 14 13" xfId="907"/>
    <cellStyle name="Comma 14 13 2" xfId="8144"/>
    <cellStyle name="Comma 14 14" xfId="908"/>
    <cellStyle name="Comma 14 14 2" xfId="8145"/>
    <cellStyle name="Comma 14 15" xfId="909"/>
    <cellStyle name="Comma 14 15 2" xfId="8146"/>
    <cellStyle name="Comma 14 16" xfId="910"/>
    <cellStyle name="Comma 14 16 2" xfId="8147"/>
    <cellStyle name="Comma 14 17" xfId="911"/>
    <cellStyle name="Comma 14 17 2" xfId="8148"/>
    <cellStyle name="Comma 14 18" xfId="912"/>
    <cellStyle name="Comma 14 18 2" xfId="8149"/>
    <cellStyle name="Comma 14 19" xfId="913"/>
    <cellStyle name="Comma 14 19 2" xfId="8150"/>
    <cellStyle name="Comma 14 2" xfId="914"/>
    <cellStyle name="Comma 14 2 2" xfId="8151"/>
    <cellStyle name="Comma 14 20" xfId="915"/>
    <cellStyle name="Comma 14 20 2" xfId="8152"/>
    <cellStyle name="Comma 14 21" xfId="916"/>
    <cellStyle name="Comma 14 21 2" xfId="8153"/>
    <cellStyle name="Comma 14 22" xfId="8140"/>
    <cellStyle name="Comma 14 3" xfId="917"/>
    <cellStyle name="Comma 14 3 2" xfId="8154"/>
    <cellStyle name="Comma 14 4" xfId="918"/>
    <cellStyle name="Comma 14 4 2" xfId="8155"/>
    <cellStyle name="Comma 14 5" xfId="919"/>
    <cellStyle name="Comma 14 5 2" xfId="8156"/>
    <cellStyle name="Comma 14 6" xfId="920"/>
    <cellStyle name="Comma 14 6 2" xfId="8157"/>
    <cellStyle name="Comma 14 7" xfId="921"/>
    <cellStyle name="Comma 14 7 2" xfId="8158"/>
    <cellStyle name="Comma 14 8" xfId="922"/>
    <cellStyle name="Comma 14 8 2" xfId="8159"/>
    <cellStyle name="Comma 14 9" xfId="923"/>
    <cellStyle name="Comma 14 9 2" xfId="8160"/>
    <cellStyle name="Comma 15" xfId="924"/>
    <cellStyle name="Comma 15 10" xfId="925"/>
    <cellStyle name="Comma 15 10 2" xfId="8162"/>
    <cellStyle name="Comma 15 11" xfId="926"/>
    <cellStyle name="Comma 15 11 2" xfId="8163"/>
    <cellStyle name="Comma 15 12" xfId="927"/>
    <cellStyle name="Comma 15 12 2" xfId="8164"/>
    <cellStyle name="Comma 15 13" xfId="928"/>
    <cellStyle name="Comma 15 13 2" xfId="8165"/>
    <cellStyle name="Comma 15 14" xfId="929"/>
    <cellStyle name="Comma 15 14 2" xfId="8166"/>
    <cellStyle name="Comma 15 15" xfId="930"/>
    <cellStyle name="Comma 15 15 2" xfId="8167"/>
    <cellStyle name="Comma 15 16" xfId="931"/>
    <cellStyle name="Comma 15 16 2" xfId="8168"/>
    <cellStyle name="Comma 15 17" xfId="932"/>
    <cellStyle name="Comma 15 17 2" xfId="8169"/>
    <cellStyle name="Comma 15 18" xfId="933"/>
    <cellStyle name="Comma 15 18 2" xfId="8170"/>
    <cellStyle name="Comma 15 19" xfId="934"/>
    <cellStyle name="Comma 15 19 2" xfId="8171"/>
    <cellStyle name="Comma 15 2" xfId="935"/>
    <cellStyle name="Comma 15 2 2" xfId="8172"/>
    <cellStyle name="Comma 15 20" xfId="936"/>
    <cellStyle name="Comma 15 20 2" xfId="8173"/>
    <cellStyle name="Comma 15 21" xfId="937"/>
    <cellStyle name="Comma 15 21 2" xfId="8174"/>
    <cellStyle name="Comma 15 22" xfId="8161"/>
    <cellStyle name="Comma 15 3" xfId="938"/>
    <cellStyle name="Comma 15 3 2" xfId="8175"/>
    <cellStyle name="Comma 15 4" xfId="939"/>
    <cellStyle name="Comma 15 4 2" xfId="8176"/>
    <cellStyle name="Comma 15 5" xfId="940"/>
    <cellStyle name="Comma 15 5 2" xfId="8177"/>
    <cellStyle name="Comma 15 6" xfId="941"/>
    <cellStyle name="Comma 15 6 2" xfId="8178"/>
    <cellStyle name="Comma 15 7" xfId="942"/>
    <cellStyle name="Comma 15 7 2" xfId="8179"/>
    <cellStyle name="Comma 15 8" xfId="943"/>
    <cellStyle name="Comma 15 8 2" xfId="8180"/>
    <cellStyle name="Comma 15 9" xfId="944"/>
    <cellStyle name="Comma 15 9 2" xfId="8181"/>
    <cellStyle name="Comma 16" xfId="945"/>
    <cellStyle name="Comma 16 10" xfId="946"/>
    <cellStyle name="Comma 16 10 2" xfId="8183"/>
    <cellStyle name="Comma 16 11" xfId="947"/>
    <cellStyle name="Comma 16 11 2" xfId="8184"/>
    <cellStyle name="Comma 16 12" xfId="948"/>
    <cellStyle name="Comma 16 12 2" xfId="8185"/>
    <cellStyle name="Comma 16 13" xfId="949"/>
    <cellStyle name="Comma 16 13 2" xfId="8186"/>
    <cellStyle name="Comma 16 14" xfId="950"/>
    <cellStyle name="Comma 16 14 2" xfId="8187"/>
    <cellStyle name="Comma 16 15" xfId="951"/>
    <cellStyle name="Comma 16 15 2" xfId="8188"/>
    <cellStyle name="Comma 16 16" xfId="952"/>
    <cellStyle name="Comma 16 16 2" xfId="8189"/>
    <cellStyle name="Comma 16 17" xfId="953"/>
    <cellStyle name="Comma 16 17 2" xfId="8190"/>
    <cellStyle name="Comma 16 18" xfId="954"/>
    <cellStyle name="Comma 16 18 2" xfId="8191"/>
    <cellStyle name="Comma 16 19" xfId="955"/>
    <cellStyle name="Comma 16 19 2" xfId="8192"/>
    <cellStyle name="Comma 16 2" xfId="956"/>
    <cellStyle name="Comma 16 2 2" xfId="8193"/>
    <cellStyle name="Comma 16 20" xfId="957"/>
    <cellStyle name="Comma 16 20 2" xfId="8194"/>
    <cellStyle name="Comma 16 21" xfId="958"/>
    <cellStyle name="Comma 16 21 2" xfId="8195"/>
    <cellStyle name="Comma 16 22" xfId="8182"/>
    <cellStyle name="Comma 16 3" xfId="959"/>
    <cellStyle name="Comma 16 3 2" xfId="8196"/>
    <cellStyle name="Comma 16 4" xfId="960"/>
    <cellStyle name="Comma 16 4 2" xfId="8197"/>
    <cellStyle name="Comma 16 5" xfId="961"/>
    <cellStyle name="Comma 16 5 2" xfId="8198"/>
    <cellStyle name="Comma 16 6" xfId="962"/>
    <cellStyle name="Comma 16 6 2" xfId="8199"/>
    <cellStyle name="Comma 16 7" xfId="963"/>
    <cellStyle name="Comma 16 7 2" xfId="8200"/>
    <cellStyle name="Comma 16 8" xfId="964"/>
    <cellStyle name="Comma 16 8 2" xfId="8201"/>
    <cellStyle name="Comma 16 9" xfId="965"/>
    <cellStyle name="Comma 16 9 2" xfId="8202"/>
    <cellStyle name="Comma 17" xfId="966"/>
    <cellStyle name="Comma 17 10" xfId="967"/>
    <cellStyle name="Comma 17 10 2" xfId="968"/>
    <cellStyle name="Comma 17 10 2 2" xfId="7382"/>
    <cellStyle name="Comma 17 10 3" xfId="5028"/>
    <cellStyle name="Comma 17 11" xfId="969"/>
    <cellStyle name="Comma 17 11 2" xfId="970"/>
    <cellStyle name="Comma 17 11 2 2" xfId="7383"/>
    <cellStyle name="Comma 17 11 3" xfId="5029"/>
    <cellStyle name="Comma 17 12" xfId="971"/>
    <cellStyle name="Comma 17 12 2" xfId="972"/>
    <cellStyle name="Comma 17 12 2 2" xfId="7384"/>
    <cellStyle name="Comma 17 12 3" xfId="5030"/>
    <cellStyle name="Comma 17 13" xfId="973"/>
    <cellStyle name="Comma 17 13 2" xfId="974"/>
    <cellStyle name="Comma 17 13 2 2" xfId="7385"/>
    <cellStyle name="Comma 17 13 3" xfId="5031"/>
    <cellStyle name="Comma 17 14" xfId="975"/>
    <cellStyle name="Comma 17 14 2" xfId="976"/>
    <cellStyle name="Comma 17 14 2 2" xfId="7386"/>
    <cellStyle name="Comma 17 14 3" xfId="5032"/>
    <cellStyle name="Comma 17 15" xfId="977"/>
    <cellStyle name="Comma 17 15 2" xfId="978"/>
    <cellStyle name="Comma 17 15 2 2" xfId="7387"/>
    <cellStyle name="Comma 17 15 3" xfId="5033"/>
    <cellStyle name="Comma 17 16" xfId="979"/>
    <cellStyle name="Comma 17 16 2" xfId="980"/>
    <cellStyle name="Comma 17 16 2 2" xfId="7388"/>
    <cellStyle name="Comma 17 16 3" xfId="5034"/>
    <cellStyle name="Comma 17 17" xfId="981"/>
    <cellStyle name="Comma 17 17 2" xfId="982"/>
    <cellStyle name="Comma 17 17 2 2" xfId="7389"/>
    <cellStyle name="Comma 17 17 3" xfId="5035"/>
    <cellStyle name="Comma 17 18" xfId="983"/>
    <cellStyle name="Comma 17 18 2" xfId="984"/>
    <cellStyle name="Comma 17 18 2 2" xfId="7390"/>
    <cellStyle name="Comma 17 18 3" xfId="5036"/>
    <cellStyle name="Comma 17 19" xfId="985"/>
    <cellStyle name="Comma 17 19 2" xfId="986"/>
    <cellStyle name="Comma 17 19 2 2" xfId="7391"/>
    <cellStyle name="Comma 17 19 3" xfId="5037"/>
    <cellStyle name="Comma 17 2" xfId="987"/>
    <cellStyle name="Comma 17 2 2" xfId="988"/>
    <cellStyle name="Comma 17 2 2 2" xfId="7392"/>
    <cellStyle name="Comma 17 2 3" xfId="5038"/>
    <cellStyle name="Comma 17 20" xfId="989"/>
    <cellStyle name="Comma 17 20 2" xfId="990"/>
    <cellStyle name="Comma 17 20 2 2" xfId="7393"/>
    <cellStyle name="Comma 17 20 3" xfId="5039"/>
    <cellStyle name="Comma 17 21" xfId="991"/>
    <cellStyle name="Comma 17 21 2" xfId="992"/>
    <cellStyle name="Comma 17 21 2 2" xfId="7394"/>
    <cellStyle name="Comma 17 21 3" xfId="5040"/>
    <cellStyle name="Comma 17 22" xfId="8203"/>
    <cellStyle name="Comma 17 3" xfId="993"/>
    <cellStyle name="Comma 17 3 2" xfId="994"/>
    <cellStyle name="Comma 17 3 2 2" xfId="7395"/>
    <cellStyle name="Comma 17 3 3" xfId="5041"/>
    <cellStyle name="Comma 17 4" xfId="995"/>
    <cellStyle name="Comma 17 4 2" xfId="996"/>
    <cellStyle name="Comma 17 4 2 2" xfId="7396"/>
    <cellStyle name="Comma 17 4 3" xfId="5042"/>
    <cellStyle name="Comma 17 5" xfId="997"/>
    <cellStyle name="Comma 17 5 2" xfId="998"/>
    <cellStyle name="Comma 17 5 2 2" xfId="7397"/>
    <cellStyle name="Comma 17 5 3" xfId="5043"/>
    <cellStyle name="Comma 17 6" xfId="999"/>
    <cellStyle name="Comma 17 6 2" xfId="1000"/>
    <cellStyle name="Comma 17 6 2 2" xfId="7398"/>
    <cellStyle name="Comma 17 6 3" xfId="5044"/>
    <cellStyle name="Comma 17 7" xfId="1001"/>
    <cellStyle name="Comma 17 7 2" xfId="1002"/>
    <cellStyle name="Comma 17 7 2 2" xfId="7399"/>
    <cellStyle name="Comma 17 7 3" xfId="5045"/>
    <cellStyle name="Comma 17 8" xfId="1003"/>
    <cellStyle name="Comma 17 8 2" xfId="1004"/>
    <cellStyle name="Comma 17 8 2 2" xfId="7400"/>
    <cellStyle name="Comma 17 8 3" xfId="5046"/>
    <cellStyle name="Comma 17 9" xfId="1005"/>
    <cellStyle name="Comma 17 9 2" xfId="1006"/>
    <cellStyle name="Comma 17 9 2 2" xfId="7401"/>
    <cellStyle name="Comma 17 9 3" xfId="5047"/>
    <cellStyle name="Comma 18" xfId="1007"/>
    <cellStyle name="Comma 18 10" xfId="1008"/>
    <cellStyle name="Comma 18 10 2" xfId="8205"/>
    <cellStyle name="Comma 18 11" xfId="1009"/>
    <cellStyle name="Comma 18 11 2" xfId="8206"/>
    <cellStyle name="Comma 18 12" xfId="1010"/>
    <cellStyle name="Comma 18 12 2" xfId="8207"/>
    <cellStyle name="Comma 18 13" xfId="1011"/>
    <cellStyle name="Comma 18 13 2" xfId="8208"/>
    <cellStyle name="Comma 18 14" xfId="1012"/>
    <cellStyle name="Comma 18 14 2" xfId="8209"/>
    <cellStyle name="Comma 18 15" xfId="1013"/>
    <cellStyle name="Comma 18 15 2" xfId="8210"/>
    <cellStyle name="Comma 18 16" xfId="1014"/>
    <cellStyle name="Comma 18 16 2" xfId="8211"/>
    <cellStyle name="Comma 18 17" xfId="1015"/>
    <cellStyle name="Comma 18 17 2" xfId="8212"/>
    <cellStyle name="Comma 18 18" xfId="1016"/>
    <cellStyle name="Comma 18 18 2" xfId="8213"/>
    <cellStyle name="Comma 18 19" xfId="1017"/>
    <cellStyle name="Comma 18 19 2" xfId="8214"/>
    <cellStyle name="Comma 18 2" xfId="1018"/>
    <cellStyle name="Comma 18 2 2" xfId="8215"/>
    <cellStyle name="Comma 18 20" xfId="1019"/>
    <cellStyle name="Comma 18 20 2" xfId="8216"/>
    <cellStyle name="Comma 18 21" xfId="1020"/>
    <cellStyle name="Comma 18 21 2" xfId="8217"/>
    <cellStyle name="Comma 18 22" xfId="8204"/>
    <cellStyle name="Comma 18 3" xfId="1021"/>
    <cellStyle name="Comma 18 3 2" xfId="8218"/>
    <cellStyle name="Comma 18 4" xfId="1022"/>
    <cellStyle name="Comma 18 4 2" xfId="8219"/>
    <cellStyle name="Comma 18 5" xfId="1023"/>
    <cellStyle name="Comma 18 5 2" xfId="8220"/>
    <cellStyle name="Comma 18 6" xfId="1024"/>
    <cellStyle name="Comma 18 6 2" xfId="8221"/>
    <cellStyle name="Comma 18 7" xfId="1025"/>
    <cellStyle name="Comma 18 7 2" xfId="8222"/>
    <cellStyle name="Comma 18 8" xfId="1026"/>
    <cellStyle name="Comma 18 8 2" xfId="8223"/>
    <cellStyle name="Comma 18 9" xfId="1027"/>
    <cellStyle name="Comma 18 9 2" xfId="8224"/>
    <cellStyle name="Comma 19" xfId="1028"/>
    <cellStyle name="Comma 19 10" xfId="1029"/>
    <cellStyle name="Comma 19 11" xfId="1030"/>
    <cellStyle name="Comma 19 12" xfId="1031"/>
    <cellStyle name="Comma 19 13" xfId="1032"/>
    <cellStyle name="Comma 19 14" xfId="1033"/>
    <cellStyle name="Comma 19 15" xfId="1034"/>
    <cellStyle name="Comma 19 16" xfId="1035"/>
    <cellStyle name="Comma 19 17" xfId="1036"/>
    <cellStyle name="Comma 19 18" xfId="1037"/>
    <cellStyle name="Comma 19 19" xfId="1038"/>
    <cellStyle name="Comma 19 2" xfId="1039"/>
    <cellStyle name="Comma 19 20" xfId="1040"/>
    <cellStyle name="Comma 19 21" xfId="1041"/>
    <cellStyle name="Comma 19 22" xfId="8225"/>
    <cellStyle name="Comma 19 3" xfId="1042"/>
    <cellStyle name="Comma 19 4" xfId="1043"/>
    <cellStyle name="Comma 19 5" xfId="1044"/>
    <cellStyle name="Comma 19 6" xfId="1045"/>
    <cellStyle name="Comma 19 7" xfId="1046"/>
    <cellStyle name="Comma 19 8" xfId="1047"/>
    <cellStyle name="Comma 19 9" xfId="1048"/>
    <cellStyle name="Comma 2" xfId="1049"/>
    <cellStyle name="Comma 2 10" xfId="1050"/>
    <cellStyle name="Comma 2 10 2" xfId="8226"/>
    <cellStyle name="Comma 2 11" xfId="1051"/>
    <cellStyle name="Comma 2 11 2" xfId="8227"/>
    <cellStyle name="Comma 2 12" xfId="1052"/>
    <cellStyle name="Comma 2 12 2" xfId="8228"/>
    <cellStyle name="Comma 2 13" xfId="1053"/>
    <cellStyle name="Comma 2 13 2" xfId="8229"/>
    <cellStyle name="Comma 2 14" xfId="1054"/>
    <cellStyle name="Comma 2 14 2" xfId="8230"/>
    <cellStyle name="Comma 2 15" xfId="1055"/>
    <cellStyle name="Comma 2 15 2" xfId="8231"/>
    <cellStyle name="Comma 2 16" xfId="1056"/>
    <cellStyle name="Comma 2 16 2" xfId="8232"/>
    <cellStyle name="Comma 2 17" xfId="1057"/>
    <cellStyle name="Comma 2 17 2" xfId="8233"/>
    <cellStyle name="Comma 2 18" xfId="1058"/>
    <cellStyle name="Comma 2 18 2" xfId="8234"/>
    <cellStyle name="Comma 2 19" xfId="1059"/>
    <cellStyle name="Comma 2 19 2" xfId="8235"/>
    <cellStyle name="Comma 2 2" xfId="1060"/>
    <cellStyle name="Comma 2 2 10" xfId="1061"/>
    <cellStyle name="Comma 2 2 10 2" xfId="8236"/>
    <cellStyle name="Comma 2 2 11" xfId="1062"/>
    <cellStyle name="Comma 2 2 11 2" xfId="8237"/>
    <cellStyle name="Comma 2 2 12" xfId="1063"/>
    <cellStyle name="Comma 2 2 12 2" xfId="8238"/>
    <cellStyle name="Comma 2 2 13" xfId="1064"/>
    <cellStyle name="Comma 2 2 13 2" xfId="8239"/>
    <cellStyle name="Comma 2 2 14" xfId="1065"/>
    <cellStyle name="Comma 2 2 14 2" xfId="8240"/>
    <cellStyle name="Comma 2 2 15" xfId="1066"/>
    <cellStyle name="Comma 2 2 15 2" xfId="8241"/>
    <cellStyle name="Comma 2 2 16" xfId="1067"/>
    <cellStyle name="Comma 2 2 16 2" xfId="8242"/>
    <cellStyle name="Comma 2 2 17" xfId="1068"/>
    <cellStyle name="Comma 2 2 17 2" xfId="8243"/>
    <cellStyle name="Comma 2 2 18" xfId="1069"/>
    <cellStyle name="Comma 2 2 18 2" xfId="8244"/>
    <cellStyle name="Comma 2 2 19" xfId="1070"/>
    <cellStyle name="Comma 2 2 19 2" xfId="8245"/>
    <cellStyle name="Comma 2 2 2" xfId="1071"/>
    <cellStyle name="Comma 2 2 2 2" xfId="5048"/>
    <cellStyle name="Comma 2 2 20" xfId="1072"/>
    <cellStyle name="Comma 2 2 20 2" xfId="8246"/>
    <cellStyle name="Comma 2 2 21" xfId="1073"/>
    <cellStyle name="Comma 2 2 21 2" xfId="8247"/>
    <cellStyle name="Comma 2 2 22" xfId="7776"/>
    <cellStyle name="Comma 2 2 3" xfId="1074"/>
    <cellStyle name="Comma 2 2 3 2" xfId="5049"/>
    <cellStyle name="Comma 2 2 4" xfId="1075"/>
    <cellStyle name="Comma 2 2 4 2" xfId="8248"/>
    <cellStyle name="Comma 2 2 5" xfId="1076"/>
    <cellStyle name="Comma 2 2 5 2" xfId="8249"/>
    <cellStyle name="Comma 2 2 6" xfId="1077"/>
    <cellStyle name="Comma 2 2 6 2" xfId="8250"/>
    <cellStyle name="Comma 2 2 7" xfId="1078"/>
    <cellStyle name="Comma 2 2 7 2" xfId="8251"/>
    <cellStyle name="Comma 2 2 8" xfId="1079"/>
    <cellStyle name="Comma 2 2 8 2" xfId="8252"/>
    <cellStyle name="Comma 2 2 9" xfId="1080"/>
    <cellStyle name="Comma 2 2 9 2" xfId="8253"/>
    <cellStyle name="Comma 2 20" xfId="1081"/>
    <cellStyle name="Comma 2 20 2" xfId="8254"/>
    <cellStyle name="Comma 2 21" xfId="1082"/>
    <cellStyle name="Comma 2 21 2" xfId="8255"/>
    <cellStyle name="Comma 2 22" xfId="1083"/>
    <cellStyle name="Comma 2 22 2" xfId="8256"/>
    <cellStyle name="Comma 2 23" xfId="1084"/>
    <cellStyle name="Comma 2 23 2" xfId="8257"/>
    <cellStyle name="Comma 2 24" xfId="1085"/>
    <cellStyle name="Comma 2 24 2" xfId="8258"/>
    <cellStyle name="Comma 2 25" xfId="1086"/>
    <cellStyle name="Comma 2 25 2" xfId="8259"/>
    <cellStyle name="Comma 2 26" xfId="1087"/>
    <cellStyle name="Comma 2 26 2" xfId="8260"/>
    <cellStyle name="Comma 2 27" xfId="1088"/>
    <cellStyle name="Comma 2 27 2" xfId="8261"/>
    <cellStyle name="Comma 2 28" xfId="1089"/>
    <cellStyle name="Comma 2 28 2" xfId="8262"/>
    <cellStyle name="Comma 2 29" xfId="1090"/>
    <cellStyle name="Comma 2 29 2" xfId="8263"/>
    <cellStyle name="Comma 2 3" xfId="1091"/>
    <cellStyle name="Comma 2 3 10" xfId="1092"/>
    <cellStyle name="Comma 2 3 11" xfId="1093"/>
    <cellStyle name="Comma 2 3 12" xfId="1094"/>
    <cellStyle name="Comma 2 3 13" xfId="1095"/>
    <cellStyle name="Comma 2 3 14" xfId="1096"/>
    <cellStyle name="Comma 2 3 15" xfId="1097"/>
    <cellStyle name="Comma 2 3 16" xfId="1098"/>
    <cellStyle name="Comma 2 3 17" xfId="1099"/>
    <cellStyle name="Comma 2 3 18" xfId="1100"/>
    <cellStyle name="Comma 2 3 19" xfId="1101"/>
    <cellStyle name="Comma 2 3 2" xfId="1102"/>
    <cellStyle name="Comma 2 3 20" xfId="1103"/>
    <cellStyle name="Comma 2 3 21" xfId="1104"/>
    <cellStyle name="Comma 2 3 22" xfId="8264"/>
    <cellStyle name="Comma 2 3 3" xfId="1105"/>
    <cellStyle name="Comma 2 3 4" xfId="1106"/>
    <cellStyle name="Comma 2 3 5" xfId="1107"/>
    <cellStyle name="Comma 2 3 6" xfId="1108"/>
    <cellStyle name="Comma 2 3 7" xfId="1109"/>
    <cellStyle name="Comma 2 3 8" xfId="1110"/>
    <cellStyle name="Comma 2 3 9" xfId="1111"/>
    <cellStyle name="Comma 2 30" xfId="1112"/>
    <cellStyle name="Comma 2 30 2" xfId="8265"/>
    <cellStyle name="Comma 2 31" xfId="1113"/>
    <cellStyle name="Comma 2 32" xfId="1114"/>
    <cellStyle name="Comma 2 33" xfId="1115"/>
    <cellStyle name="Comma 2 34" xfId="1116"/>
    <cellStyle name="Comma 2 35" xfId="1117"/>
    <cellStyle name="Comma 2 36" xfId="1118"/>
    <cellStyle name="Comma 2 37" xfId="1119"/>
    <cellStyle name="Comma 2 38" xfId="1120"/>
    <cellStyle name="Comma 2 39" xfId="1121"/>
    <cellStyle name="Comma 2 4" xfId="1122"/>
    <cellStyle name="Comma 2 4 2" xfId="8266"/>
    <cellStyle name="Comma 2 40" xfId="1123"/>
    <cellStyle name="Comma 2 41" xfId="1124"/>
    <cellStyle name="Comma 2 42" xfId="1125"/>
    <cellStyle name="Comma 2 43" xfId="1126"/>
    <cellStyle name="Comma 2 44" xfId="1127"/>
    <cellStyle name="Comma 2 45" xfId="1128"/>
    <cellStyle name="Comma 2 46" xfId="1129"/>
    <cellStyle name="Comma 2 47" xfId="1130"/>
    <cellStyle name="Comma 2 48" xfId="1131"/>
    <cellStyle name="Comma 2 49" xfId="1132"/>
    <cellStyle name="Comma 2 5" xfId="1133"/>
    <cellStyle name="Comma 2 5 2" xfId="8267"/>
    <cellStyle name="Comma 2 50" xfId="1134"/>
    <cellStyle name="Comma 2 51" xfId="1135"/>
    <cellStyle name="Comma 2 52" xfId="1136"/>
    <cellStyle name="Comma 2 52 2" xfId="5050"/>
    <cellStyle name="Comma 2 52 2 2" xfId="7583"/>
    <cellStyle name="Comma 2 52 2 2 2" xfId="11215"/>
    <cellStyle name="Comma 2 52 2 3" xfId="11057"/>
    <cellStyle name="Comma 2 52 3" xfId="7402"/>
    <cellStyle name="Comma 2 52 3 2" xfId="11141"/>
    <cellStyle name="Comma 2 52 4" xfId="10981"/>
    <cellStyle name="Comma 2 53" xfId="1137"/>
    <cellStyle name="Comma 2 53 2" xfId="10770"/>
    <cellStyle name="Comma 2 53 3" xfId="7403"/>
    <cellStyle name="Comma 2 54" xfId="5051"/>
    <cellStyle name="Comma 2 55" xfId="7775"/>
    <cellStyle name="Comma 2 6" xfId="1138"/>
    <cellStyle name="Comma 2 6 2" xfId="8268"/>
    <cellStyle name="Comma 2 7" xfId="1139"/>
    <cellStyle name="Comma 2 7 2" xfId="8269"/>
    <cellStyle name="Comma 2 8" xfId="1140"/>
    <cellStyle name="Comma 2 8 2" xfId="8270"/>
    <cellStyle name="Comma 2 9" xfId="1141"/>
    <cellStyle name="Comma 2 9 2" xfId="8271"/>
    <cellStyle name="Comma 20" xfId="1142"/>
    <cellStyle name="Comma 20 10" xfId="1143"/>
    <cellStyle name="Comma 20 11" xfId="1144"/>
    <cellStyle name="Comma 20 12" xfId="1145"/>
    <cellStyle name="Comma 20 13" xfId="1146"/>
    <cellStyle name="Comma 20 14" xfId="1147"/>
    <cellStyle name="Comma 20 15" xfId="1148"/>
    <cellStyle name="Comma 20 16" xfId="1149"/>
    <cellStyle name="Comma 20 17" xfId="1150"/>
    <cellStyle name="Comma 20 18" xfId="1151"/>
    <cellStyle name="Comma 20 19" xfId="1152"/>
    <cellStyle name="Comma 20 2" xfId="1153"/>
    <cellStyle name="Comma 20 20" xfId="1154"/>
    <cellStyle name="Comma 20 21" xfId="1155"/>
    <cellStyle name="Comma 20 22" xfId="8272"/>
    <cellStyle name="Comma 20 3" xfId="1156"/>
    <cellStyle name="Comma 20 4" xfId="1157"/>
    <cellStyle name="Comma 20 5" xfId="1158"/>
    <cellStyle name="Comma 20 6" xfId="1159"/>
    <cellStyle name="Comma 20 7" xfId="1160"/>
    <cellStyle name="Comma 20 8" xfId="1161"/>
    <cellStyle name="Comma 20 9" xfId="1162"/>
    <cellStyle name="Comma 21" xfId="1163"/>
    <cellStyle name="Comma 21 2" xfId="8273"/>
    <cellStyle name="Comma 22" xfId="1164"/>
    <cellStyle name="Comma 22 2" xfId="8274"/>
    <cellStyle name="Comma 23" xfId="1165"/>
    <cellStyle name="Comma 23 2" xfId="8275"/>
    <cellStyle name="Comma 24" xfId="1166"/>
    <cellStyle name="Comma 24 2" xfId="8276"/>
    <cellStyle name="Comma 25" xfId="1167"/>
    <cellStyle name="Comma 25 2" xfId="8277"/>
    <cellStyle name="Comma 26" xfId="1168"/>
    <cellStyle name="Comma 26 2" xfId="8278"/>
    <cellStyle name="Comma 27" xfId="1169"/>
    <cellStyle name="Comma 27 2" xfId="8279"/>
    <cellStyle name="Comma 28" xfId="1170"/>
    <cellStyle name="Comma 28 2" xfId="8280"/>
    <cellStyle name="Comma 29" xfId="1171"/>
    <cellStyle name="Comma 29 2" xfId="8281"/>
    <cellStyle name="Comma 3" xfId="1172"/>
    <cellStyle name="Comma 3 10" xfId="1173"/>
    <cellStyle name="Comma 3 10 2" xfId="8282"/>
    <cellStyle name="Comma 3 11" xfId="1174"/>
    <cellStyle name="Comma 3 11 2" xfId="8283"/>
    <cellStyle name="Comma 3 12" xfId="1175"/>
    <cellStyle name="Comma 3 12 2" xfId="8284"/>
    <cellStyle name="Comma 3 13" xfId="1176"/>
    <cellStyle name="Comma 3 13 2" xfId="8285"/>
    <cellStyle name="Comma 3 14" xfId="1177"/>
    <cellStyle name="Comma 3 14 2" xfId="8286"/>
    <cellStyle name="Comma 3 15" xfId="1178"/>
    <cellStyle name="Comma 3 15 2" xfId="8287"/>
    <cellStyle name="Comma 3 16" xfId="1179"/>
    <cellStyle name="Comma 3 16 2" xfId="8288"/>
    <cellStyle name="Comma 3 17" xfId="1180"/>
    <cellStyle name="Comma 3 17 2" xfId="8289"/>
    <cellStyle name="Comma 3 18" xfId="1181"/>
    <cellStyle name="Comma 3 18 2" xfId="8290"/>
    <cellStyle name="Comma 3 19" xfId="1182"/>
    <cellStyle name="Comma 3 19 2" xfId="8291"/>
    <cellStyle name="Comma 3 2" xfId="1183"/>
    <cellStyle name="Comma 3 2 10" xfId="1184"/>
    <cellStyle name="Comma 3 2 10 2" xfId="8293"/>
    <cellStyle name="Comma 3 2 11" xfId="1185"/>
    <cellStyle name="Comma 3 2 11 2" xfId="8294"/>
    <cellStyle name="Comma 3 2 12" xfId="1186"/>
    <cellStyle name="Comma 3 2 12 2" xfId="8295"/>
    <cellStyle name="Comma 3 2 13" xfId="1187"/>
    <cellStyle name="Comma 3 2 13 2" xfId="8296"/>
    <cellStyle name="Comma 3 2 14" xfId="1188"/>
    <cellStyle name="Comma 3 2 14 2" xfId="8297"/>
    <cellStyle name="Comma 3 2 15" xfId="1189"/>
    <cellStyle name="Comma 3 2 15 2" xfId="8298"/>
    <cellStyle name="Comma 3 2 16" xfId="1190"/>
    <cellStyle name="Comma 3 2 16 2" xfId="8299"/>
    <cellStyle name="Comma 3 2 17" xfId="1191"/>
    <cellStyle name="Comma 3 2 17 2" xfId="8300"/>
    <cellStyle name="Comma 3 2 18" xfId="1192"/>
    <cellStyle name="Comma 3 2 18 2" xfId="8301"/>
    <cellStyle name="Comma 3 2 19" xfId="1193"/>
    <cellStyle name="Comma 3 2 19 2" xfId="8302"/>
    <cellStyle name="Comma 3 2 2" xfId="4"/>
    <cellStyle name="Comma 3 2 2 2" xfId="7790"/>
    <cellStyle name="Comma 3 2 20" xfId="1194"/>
    <cellStyle name="Comma 3 2 20 2" xfId="8303"/>
    <cellStyle name="Comma 3 2 21" xfId="1195"/>
    <cellStyle name="Comma 3 2 21 2" xfId="8304"/>
    <cellStyle name="Comma 3 2 22" xfId="1196"/>
    <cellStyle name="Comma 3 2 23" xfId="8292"/>
    <cellStyle name="Comma 3 2 3" xfId="1197"/>
    <cellStyle name="Comma 3 2 3 2" xfId="8305"/>
    <cellStyle name="Comma 3 2 4" xfId="1198"/>
    <cellStyle name="Comma 3 2 4 2" xfId="8306"/>
    <cellStyle name="Comma 3 2 5" xfId="1199"/>
    <cellStyle name="Comma 3 2 5 2" xfId="8307"/>
    <cellStyle name="Comma 3 2 6" xfId="1200"/>
    <cellStyle name="Comma 3 2 6 2" xfId="8308"/>
    <cellStyle name="Comma 3 2 7" xfId="1201"/>
    <cellStyle name="Comma 3 2 7 2" xfId="8309"/>
    <cellStyle name="Comma 3 2 8" xfId="1202"/>
    <cellStyle name="Comma 3 2 8 2" xfId="8310"/>
    <cellStyle name="Comma 3 2 9" xfId="1203"/>
    <cellStyle name="Comma 3 2 9 2" xfId="8311"/>
    <cellStyle name="Comma 3 20" xfId="1204"/>
    <cellStyle name="Comma 3 20 2" xfId="8312"/>
    <cellStyle name="Comma 3 21" xfId="1205"/>
    <cellStyle name="Comma 3 21 2" xfId="8313"/>
    <cellStyle name="Comma 3 22" xfId="7777"/>
    <cellStyle name="Comma 3 23" xfId="10948"/>
    <cellStyle name="Comma 3 3" xfId="1206"/>
    <cellStyle name="Comma 3 3 2" xfId="1207"/>
    <cellStyle name="Comma 3 3 2 2" xfId="8315"/>
    <cellStyle name="Comma 3 3 3" xfId="5052"/>
    <cellStyle name="Comma 3 3 3 2" xfId="9955"/>
    <cellStyle name="Comma 3 3 4" xfId="8314"/>
    <cellStyle name="Comma 3 4" xfId="1208"/>
    <cellStyle name="Comma 3 4 2" xfId="8316"/>
    <cellStyle name="Comma 3 5" xfId="1209"/>
    <cellStyle name="Comma 3 5 2" xfId="8317"/>
    <cellStyle name="Comma 3 6" xfId="1210"/>
    <cellStyle name="Comma 3 6 2" xfId="8318"/>
    <cellStyle name="Comma 3 7" xfId="1211"/>
    <cellStyle name="Comma 3 7 2" xfId="8319"/>
    <cellStyle name="Comma 3 8" xfId="1212"/>
    <cellStyle name="Comma 3 8 2" xfId="8320"/>
    <cellStyle name="Comma 3 9" xfId="1213"/>
    <cellStyle name="Comma 3 9 2" xfId="8321"/>
    <cellStyle name="Comma 30" xfId="1214"/>
    <cellStyle name="Comma 30 2" xfId="8322"/>
    <cellStyle name="Comma 31" xfId="1215"/>
    <cellStyle name="Comma 31 2" xfId="8323"/>
    <cellStyle name="Comma 32" xfId="1216"/>
    <cellStyle name="Comma 32 2" xfId="8324"/>
    <cellStyle name="Comma 33" xfId="1217"/>
    <cellStyle name="Comma 33 2" xfId="8325"/>
    <cellStyle name="Comma 34" xfId="1218"/>
    <cellStyle name="Comma 34 2" xfId="8326"/>
    <cellStyle name="Comma 35" xfId="1219"/>
    <cellStyle name="Comma 35 2" xfId="8327"/>
    <cellStyle name="Comma 36" xfId="1220"/>
    <cellStyle name="Comma 36 2" xfId="8328"/>
    <cellStyle name="Comma 37" xfId="1221"/>
    <cellStyle name="Comma 37 2" xfId="8329"/>
    <cellStyle name="Comma 38" xfId="1222"/>
    <cellStyle name="Comma 38 2" xfId="8330"/>
    <cellStyle name="Comma 39" xfId="1223"/>
    <cellStyle name="Comma 39 2" xfId="8331"/>
    <cellStyle name="Comma 4" xfId="1224"/>
    <cellStyle name="Comma 4 10" xfId="1225"/>
    <cellStyle name="Comma 4 10 2" xfId="8332"/>
    <cellStyle name="Comma 4 11" xfId="1226"/>
    <cellStyle name="Comma 4 11 2" xfId="8333"/>
    <cellStyle name="Comma 4 12" xfId="1227"/>
    <cellStyle name="Comma 4 12 2" xfId="8334"/>
    <cellStyle name="Comma 4 13" xfId="1228"/>
    <cellStyle name="Comma 4 13 2" xfId="8335"/>
    <cellStyle name="Comma 4 14" xfId="1229"/>
    <cellStyle name="Comma 4 14 2" xfId="8336"/>
    <cellStyle name="Comma 4 15" xfId="1230"/>
    <cellStyle name="Comma 4 15 2" xfId="8337"/>
    <cellStyle name="Comma 4 16" xfId="1231"/>
    <cellStyle name="Comma 4 16 2" xfId="8338"/>
    <cellStyle name="Comma 4 17" xfId="1232"/>
    <cellStyle name="Comma 4 17 2" xfId="8339"/>
    <cellStyle name="Comma 4 18" xfId="1233"/>
    <cellStyle name="Comma 4 18 2" xfId="8340"/>
    <cellStyle name="Comma 4 19" xfId="1234"/>
    <cellStyle name="Comma 4 19 2" xfId="8341"/>
    <cellStyle name="Comma 4 2" xfId="3"/>
    <cellStyle name="Comma 4 2 2" xfId="7789"/>
    <cellStyle name="Comma 4 20" xfId="1235"/>
    <cellStyle name="Comma 4 20 2" xfId="8342"/>
    <cellStyle name="Comma 4 21" xfId="1236"/>
    <cellStyle name="Comma 4 21 2" xfId="8343"/>
    <cellStyle name="Comma 4 22" xfId="1237"/>
    <cellStyle name="Comma 4 22 2" xfId="8344"/>
    <cellStyle name="Comma 4 23" xfId="7778"/>
    <cellStyle name="Comma 4 24" xfId="10949"/>
    <cellStyle name="Comma 4 3" xfId="1238"/>
    <cellStyle name="Comma 4 3 2" xfId="8345"/>
    <cellStyle name="Comma 4 4" xfId="1239"/>
    <cellStyle name="Comma 4 4 2" xfId="8346"/>
    <cellStyle name="Comma 4 5" xfId="1240"/>
    <cellStyle name="Comma 4 5 2" xfId="8347"/>
    <cellStyle name="Comma 4 6" xfId="1241"/>
    <cellStyle name="Comma 4 6 2" xfId="8348"/>
    <cellStyle name="Comma 4 7" xfId="1242"/>
    <cellStyle name="Comma 4 7 2" xfId="8349"/>
    <cellStyle name="Comma 4 8" xfId="1243"/>
    <cellStyle name="Comma 4 8 2" xfId="8350"/>
    <cellStyle name="Comma 4 9" xfId="1244"/>
    <cellStyle name="Comma 4 9 2" xfId="8351"/>
    <cellStyle name="Comma 40" xfId="1245"/>
    <cellStyle name="Comma 40 2" xfId="1246"/>
    <cellStyle name="Comma 40 2 2" xfId="8353"/>
    <cellStyle name="Comma 40 3" xfId="8352"/>
    <cellStyle name="Comma 41" xfId="8"/>
    <cellStyle name="Comma 42" xfId="1247"/>
    <cellStyle name="Comma 42 2" xfId="1248"/>
    <cellStyle name="Comma 42 2 2" xfId="7404"/>
    <cellStyle name="Comma 43" xfId="1249"/>
    <cellStyle name="Comma 43 2" xfId="8354"/>
    <cellStyle name="Comma 44" xfId="1250"/>
    <cellStyle name="Comma 44 2" xfId="5053"/>
    <cellStyle name="Comma 45" xfId="1251"/>
    <cellStyle name="Comma 45 2" xfId="1252"/>
    <cellStyle name="Comma 45 2 2" xfId="7406"/>
    <cellStyle name="Comma 45 3" xfId="5054"/>
    <cellStyle name="Comma 45 3 2" xfId="7584"/>
    <cellStyle name="Comma 45 4" xfId="7405"/>
    <cellStyle name="Comma 46" xfId="1253"/>
    <cellStyle name="Comma 47" xfId="1254"/>
    <cellStyle name="Comma 47 2" xfId="8355"/>
    <cellStyle name="Comma 48" xfId="1255"/>
    <cellStyle name="Comma 48 2" xfId="5055"/>
    <cellStyle name="Comma 48 2 2" xfId="7585"/>
    <cellStyle name="Comma 48 3" xfId="7407"/>
    <cellStyle name="Comma 49" xfId="1256"/>
    <cellStyle name="Comma 5" xfId="1257"/>
    <cellStyle name="Comma 5 10" xfId="1258"/>
    <cellStyle name="Comma 5 11" xfId="1259"/>
    <cellStyle name="Comma 5 12" xfId="1260"/>
    <cellStyle name="Comma 5 13" xfId="1261"/>
    <cellStyle name="Comma 5 14" xfId="1262"/>
    <cellStyle name="Comma 5 15" xfId="1263"/>
    <cellStyle name="Comma 5 16" xfId="1264"/>
    <cellStyle name="Comma 5 17" xfId="1265"/>
    <cellStyle name="Comma 5 18" xfId="1266"/>
    <cellStyle name="Comma 5 19" xfId="1267"/>
    <cellStyle name="Comma 5 2" xfId="1268"/>
    <cellStyle name="Comma 5 20" xfId="1269"/>
    <cellStyle name="Comma 5 21" xfId="1270"/>
    <cellStyle name="Comma 5 22" xfId="1271"/>
    <cellStyle name="Comma 5 23" xfId="1272"/>
    <cellStyle name="Comma 5 24" xfId="1273"/>
    <cellStyle name="Comma 5 25" xfId="1274"/>
    <cellStyle name="Comma 5 26" xfId="1275"/>
    <cellStyle name="Comma 5 27" xfId="1276"/>
    <cellStyle name="Comma 5 28" xfId="1277"/>
    <cellStyle name="Comma 5 29" xfId="1278"/>
    <cellStyle name="Comma 5 3" xfId="1279"/>
    <cellStyle name="Comma 5 30" xfId="1280"/>
    <cellStyle name="Comma 5 31" xfId="1281"/>
    <cellStyle name="Comma 5 32" xfId="1282"/>
    <cellStyle name="Comma 5 33" xfId="1283"/>
    <cellStyle name="Comma 5 34" xfId="1284"/>
    <cellStyle name="Comma 5 35" xfId="1285"/>
    <cellStyle name="Comma 5 36" xfId="1286"/>
    <cellStyle name="Comma 5 37" xfId="1287"/>
    <cellStyle name="Comma 5 38" xfId="1288"/>
    <cellStyle name="Comma 5 39" xfId="1289"/>
    <cellStyle name="Comma 5 4" xfId="1290"/>
    <cellStyle name="Comma 5 40" xfId="1291"/>
    <cellStyle name="Comma 5 41" xfId="1292"/>
    <cellStyle name="Comma 5 42" xfId="1293"/>
    <cellStyle name="Comma 5 43" xfId="1294"/>
    <cellStyle name="Comma 5 44" xfId="1295"/>
    <cellStyle name="Comma 5 45" xfId="1296"/>
    <cellStyle name="Comma 5 46" xfId="1297"/>
    <cellStyle name="Comma 5 47" xfId="1298"/>
    <cellStyle name="Comma 5 47 2" xfId="8356"/>
    <cellStyle name="Comma 5 48" xfId="1299"/>
    <cellStyle name="Comma 5 49" xfId="5056"/>
    <cellStyle name="Comma 5 5" xfId="1300"/>
    <cellStyle name="Comma 5 50" xfId="7779"/>
    <cellStyle name="Comma 5 51" xfId="10950"/>
    <cellStyle name="Comma 5 6" xfId="1301"/>
    <cellStyle name="Comma 5 7" xfId="1302"/>
    <cellStyle name="Comma 5 8" xfId="1303"/>
    <cellStyle name="Comma 5 9" xfId="1304"/>
    <cellStyle name="Comma 50" xfId="1305"/>
    <cellStyle name="Comma 51" xfId="5057"/>
    <cellStyle name="Comma 51 2" xfId="7586"/>
    <cellStyle name="Comma 52" xfId="7326"/>
    <cellStyle name="Comma 52 2" xfId="10905"/>
    <cellStyle name="Comma 52 3" xfId="9841"/>
    <cellStyle name="Comma 53" xfId="7578"/>
    <cellStyle name="Comma 53 2" xfId="10858"/>
    <cellStyle name="Comma 53 3" xfId="10759"/>
    <cellStyle name="Comma 54" xfId="7738"/>
    <cellStyle name="Comma 54 2" xfId="10912"/>
    <cellStyle name="Comma 54 3" xfId="10762"/>
    <cellStyle name="Comma 55" xfId="7711"/>
    <cellStyle name="Comma 55 2" xfId="10909"/>
    <cellStyle name="Comma 55 3" xfId="10764"/>
    <cellStyle name="Comma 56" xfId="7698"/>
    <cellStyle name="Comma 56 2" xfId="10766"/>
    <cellStyle name="Comma 57" xfId="7772"/>
    <cellStyle name="Comma 57 2" xfId="10916"/>
    <cellStyle name="Comma 57 3" xfId="10769"/>
    <cellStyle name="Comma 58" xfId="10884"/>
    <cellStyle name="Comma 59" xfId="10885"/>
    <cellStyle name="Comma 6" xfId="1306"/>
    <cellStyle name="Comma 6 10" xfId="1307"/>
    <cellStyle name="Comma 6 10 2" xfId="8357"/>
    <cellStyle name="Comma 6 11" xfId="1308"/>
    <cellStyle name="Comma 6 11 2" xfId="8358"/>
    <cellStyle name="Comma 6 12" xfId="1309"/>
    <cellStyle name="Comma 6 12 2" xfId="8359"/>
    <cellStyle name="Comma 6 13" xfId="1310"/>
    <cellStyle name="Comma 6 13 2" xfId="8360"/>
    <cellStyle name="Comma 6 14" xfId="1311"/>
    <cellStyle name="Comma 6 14 2" xfId="8361"/>
    <cellStyle name="Comma 6 15" xfId="1312"/>
    <cellStyle name="Comma 6 15 2" xfId="8362"/>
    <cellStyle name="Comma 6 16" xfId="1313"/>
    <cellStyle name="Comma 6 16 2" xfId="8363"/>
    <cellStyle name="Comma 6 17" xfId="1314"/>
    <cellStyle name="Comma 6 17 2" xfId="8364"/>
    <cellStyle name="Comma 6 18" xfId="1315"/>
    <cellStyle name="Comma 6 18 2" xfId="8365"/>
    <cellStyle name="Comma 6 19" xfId="1316"/>
    <cellStyle name="Comma 6 19 2" xfId="8366"/>
    <cellStyle name="Comma 6 2" xfId="1317"/>
    <cellStyle name="Comma 6 2 2" xfId="8367"/>
    <cellStyle name="Comma 6 20" xfId="1318"/>
    <cellStyle name="Comma 6 20 2" xfId="8368"/>
    <cellStyle name="Comma 6 21" xfId="1319"/>
    <cellStyle name="Comma 6 21 2" xfId="8369"/>
    <cellStyle name="Comma 6 22" xfId="1320"/>
    <cellStyle name="Comma 6 22 2" xfId="8370"/>
    <cellStyle name="Comma 6 23" xfId="1321"/>
    <cellStyle name="Comma 6 23 2" xfId="8371"/>
    <cellStyle name="Comma 6 24" xfId="1322"/>
    <cellStyle name="Comma 6 24 2" xfId="8372"/>
    <cellStyle name="Comma 6 25" xfId="1323"/>
    <cellStyle name="Comma 6 25 2" xfId="8373"/>
    <cellStyle name="Comma 6 26" xfId="1324"/>
    <cellStyle name="Comma 6 26 2" xfId="8374"/>
    <cellStyle name="Comma 6 27" xfId="1325"/>
    <cellStyle name="Comma 6 27 2" xfId="8375"/>
    <cellStyle name="Comma 6 28" xfId="1326"/>
    <cellStyle name="Comma 6 28 2" xfId="8376"/>
    <cellStyle name="Comma 6 29" xfId="1327"/>
    <cellStyle name="Comma 6 29 2" xfId="8377"/>
    <cellStyle name="Comma 6 3" xfId="1328"/>
    <cellStyle name="Comma 6 3 2" xfId="8378"/>
    <cellStyle name="Comma 6 30" xfId="1329"/>
    <cellStyle name="Comma 6 30 2" xfId="8379"/>
    <cellStyle name="Comma 6 31" xfId="1330"/>
    <cellStyle name="Comma 6 31 2" xfId="8380"/>
    <cellStyle name="Comma 6 32" xfId="1331"/>
    <cellStyle name="Comma 6 32 2" xfId="8381"/>
    <cellStyle name="Comma 6 33" xfId="1332"/>
    <cellStyle name="Comma 6 33 2" xfId="8382"/>
    <cellStyle name="Comma 6 34" xfId="1333"/>
    <cellStyle name="Comma 6 34 2" xfId="8383"/>
    <cellStyle name="Comma 6 35" xfId="1334"/>
    <cellStyle name="Comma 6 35 2" xfId="8384"/>
    <cellStyle name="Comma 6 36" xfId="1335"/>
    <cellStyle name="Comma 6 36 2" xfId="8385"/>
    <cellStyle name="Comma 6 37" xfId="1336"/>
    <cellStyle name="Comma 6 37 2" xfId="8386"/>
    <cellStyle name="Comma 6 38" xfId="1337"/>
    <cellStyle name="Comma 6 38 2" xfId="8387"/>
    <cellStyle name="Comma 6 39" xfId="1338"/>
    <cellStyle name="Comma 6 39 2" xfId="8388"/>
    <cellStyle name="Comma 6 4" xfId="1339"/>
    <cellStyle name="Comma 6 4 2" xfId="8389"/>
    <cellStyle name="Comma 6 40" xfId="1340"/>
    <cellStyle name="Comma 6 40 2" xfId="8390"/>
    <cellStyle name="Comma 6 41" xfId="1341"/>
    <cellStyle name="Comma 6 41 2" xfId="8391"/>
    <cellStyle name="Comma 6 42" xfId="1342"/>
    <cellStyle name="Comma 6 42 2" xfId="8392"/>
    <cellStyle name="Comma 6 43" xfId="1343"/>
    <cellStyle name="Comma 6 43 2" xfId="8393"/>
    <cellStyle name="Comma 6 44" xfId="1344"/>
    <cellStyle name="Comma 6 44 2" xfId="8394"/>
    <cellStyle name="Comma 6 45" xfId="1345"/>
    <cellStyle name="Comma 6 45 2" xfId="8395"/>
    <cellStyle name="Comma 6 46" xfId="1346"/>
    <cellStyle name="Comma 6 46 2" xfId="8396"/>
    <cellStyle name="Comma 6 47" xfId="1347"/>
    <cellStyle name="Comma 6 47 2" xfId="8397"/>
    <cellStyle name="Comma 6 48" xfId="7780"/>
    <cellStyle name="Comma 6 49" xfId="10951"/>
    <cellStyle name="Comma 6 5" xfId="1348"/>
    <cellStyle name="Comma 6 5 2" xfId="8398"/>
    <cellStyle name="Comma 6 6" xfId="1349"/>
    <cellStyle name="Comma 6 6 2" xfId="8399"/>
    <cellStyle name="Comma 6 7" xfId="1350"/>
    <cellStyle name="Comma 6 7 2" xfId="8400"/>
    <cellStyle name="Comma 6 8" xfId="1351"/>
    <cellStyle name="Comma 6 8 2" xfId="8401"/>
    <cellStyle name="Comma 6 9" xfId="1352"/>
    <cellStyle name="Comma 6 9 2" xfId="8402"/>
    <cellStyle name="Comma 60" xfId="10849"/>
    <cellStyle name="Comma 61" xfId="10838"/>
    <cellStyle name="Comma 62" xfId="10854"/>
    <cellStyle name="Comma 63" xfId="10832"/>
    <cellStyle name="Comma 64" xfId="10887"/>
    <cellStyle name="Comma 65" xfId="10851"/>
    <cellStyle name="Comma 66" xfId="7331"/>
    <cellStyle name="Comma 67" xfId="11055"/>
    <cellStyle name="Comma 68" xfId="11283"/>
    <cellStyle name="Comma 69" xfId="11330"/>
    <cellStyle name="Comma 7" xfId="1353"/>
    <cellStyle name="Comma 7 10" xfId="1354"/>
    <cellStyle name="Comma 7 10 2" xfId="8403"/>
    <cellStyle name="Comma 7 11" xfId="1355"/>
    <cellStyle name="Comma 7 11 2" xfId="8404"/>
    <cellStyle name="Comma 7 12" xfId="1356"/>
    <cellStyle name="Comma 7 12 2" xfId="8405"/>
    <cellStyle name="Comma 7 13" xfId="1357"/>
    <cellStyle name="Comma 7 13 2" xfId="8406"/>
    <cellStyle name="Comma 7 14" xfId="1358"/>
    <cellStyle name="Comma 7 14 2" xfId="8407"/>
    <cellStyle name="Comma 7 15" xfId="1359"/>
    <cellStyle name="Comma 7 15 2" xfId="8408"/>
    <cellStyle name="Comma 7 16" xfId="1360"/>
    <cellStyle name="Comma 7 16 2" xfId="8409"/>
    <cellStyle name="Comma 7 17" xfId="1361"/>
    <cellStyle name="Comma 7 17 2" xfId="8410"/>
    <cellStyle name="Comma 7 18" xfId="1362"/>
    <cellStyle name="Comma 7 18 2" xfId="8411"/>
    <cellStyle name="Comma 7 19" xfId="1363"/>
    <cellStyle name="Comma 7 19 2" xfId="8412"/>
    <cellStyle name="Comma 7 2" xfId="1364"/>
    <cellStyle name="Comma 7 2 2" xfId="8413"/>
    <cellStyle name="Comma 7 20" xfId="1365"/>
    <cellStyle name="Comma 7 20 2" xfId="8414"/>
    <cellStyle name="Comma 7 21" xfId="1366"/>
    <cellStyle name="Comma 7 21 2" xfId="8415"/>
    <cellStyle name="Comma 7 22" xfId="1367"/>
    <cellStyle name="Comma 7 22 2" xfId="8416"/>
    <cellStyle name="Comma 7 23" xfId="1368"/>
    <cellStyle name="Comma 7 23 2" xfId="5058"/>
    <cellStyle name="Comma 7 23 2 2" xfId="7587"/>
    <cellStyle name="Comma 7 23 3" xfId="7408"/>
    <cellStyle name="Comma 7 24" xfId="1369"/>
    <cellStyle name="Comma 7 24 2" xfId="7409"/>
    <cellStyle name="Comma 7 25" xfId="5059"/>
    <cellStyle name="Comma 7 26" xfId="7781"/>
    <cellStyle name="Comma 7 3" xfId="1370"/>
    <cellStyle name="Comma 7 3 2" xfId="8417"/>
    <cellStyle name="Comma 7 4" xfId="1371"/>
    <cellStyle name="Comma 7 4 2" xfId="8418"/>
    <cellStyle name="Comma 7 5" xfId="1372"/>
    <cellStyle name="Comma 7 5 2" xfId="8419"/>
    <cellStyle name="Comma 7 6" xfId="1373"/>
    <cellStyle name="Comma 7 6 2" xfId="8420"/>
    <cellStyle name="Comma 7 7" xfId="1374"/>
    <cellStyle name="Comma 7 7 2" xfId="8421"/>
    <cellStyle name="Comma 7 8" xfId="1375"/>
    <cellStyle name="Comma 7 8 2" xfId="8422"/>
    <cellStyle name="Comma 7 9" xfId="1376"/>
    <cellStyle name="Comma 7 9 2" xfId="8423"/>
    <cellStyle name="Comma 70" xfId="11287"/>
    <cellStyle name="Comma 8" xfId="1377"/>
    <cellStyle name="Comma 8 10" xfId="1378"/>
    <cellStyle name="Comma 8 10 2" xfId="8424"/>
    <cellStyle name="Comma 8 11" xfId="1379"/>
    <cellStyle name="Comma 8 11 2" xfId="8425"/>
    <cellStyle name="Comma 8 12" xfId="1380"/>
    <cellStyle name="Comma 8 12 2" xfId="8426"/>
    <cellStyle name="Comma 8 13" xfId="1381"/>
    <cellStyle name="Comma 8 13 2" xfId="8427"/>
    <cellStyle name="Comma 8 14" xfId="1382"/>
    <cellStyle name="Comma 8 14 2" xfId="8428"/>
    <cellStyle name="Comma 8 15" xfId="1383"/>
    <cellStyle name="Comma 8 15 2" xfId="8429"/>
    <cellStyle name="Comma 8 16" xfId="1384"/>
    <cellStyle name="Comma 8 16 2" xfId="8430"/>
    <cellStyle name="Comma 8 17" xfId="1385"/>
    <cellStyle name="Comma 8 17 2" xfId="8431"/>
    <cellStyle name="Comma 8 18" xfId="1386"/>
    <cellStyle name="Comma 8 18 2" xfId="8432"/>
    <cellStyle name="Comma 8 19" xfId="1387"/>
    <cellStyle name="Comma 8 19 2" xfId="8433"/>
    <cellStyle name="Comma 8 2" xfId="1388"/>
    <cellStyle name="Comma 8 2 10" xfId="1389"/>
    <cellStyle name="Comma 8 2 11" xfId="1390"/>
    <cellStyle name="Comma 8 2 12" xfId="1391"/>
    <cellStyle name="Comma 8 2 13" xfId="1392"/>
    <cellStyle name="Comma 8 2 14" xfId="1393"/>
    <cellStyle name="Comma 8 2 15" xfId="1394"/>
    <cellStyle name="Comma 8 2 16" xfId="1395"/>
    <cellStyle name="Comma 8 2 17" xfId="1396"/>
    <cellStyle name="Comma 8 2 18" xfId="1397"/>
    <cellStyle name="Comma 8 2 19" xfId="1398"/>
    <cellStyle name="Comma 8 2 2" xfId="1399"/>
    <cellStyle name="Comma 8 2 20" xfId="1400"/>
    <cellStyle name="Comma 8 2 21" xfId="1401"/>
    <cellStyle name="Comma 8 2 22" xfId="8434"/>
    <cellStyle name="Comma 8 2 3" xfId="1402"/>
    <cellStyle name="Comma 8 2 4" xfId="1403"/>
    <cellStyle name="Comma 8 2 5" xfId="1404"/>
    <cellStyle name="Comma 8 2 6" xfId="1405"/>
    <cellStyle name="Comma 8 2 7" xfId="1406"/>
    <cellStyle name="Comma 8 2 8" xfId="1407"/>
    <cellStyle name="Comma 8 2 9" xfId="1408"/>
    <cellStyle name="Comma 8 20" xfId="1409"/>
    <cellStyle name="Comma 8 20 2" xfId="8435"/>
    <cellStyle name="Comma 8 21" xfId="1410"/>
    <cellStyle name="Comma 8 21 2" xfId="8436"/>
    <cellStyle name="Comma 8 22" xfId="1411"/>
    <cellStyle name="Comma 8 22 2" xfId="8437"/>
    <cellStyle name="Comma 8 23" xfId="1412"/>
    <cellStyle name="Comma 8 23 2" xfId="8438"/>
    <cellStyle name="Comma 8 24" xfId="1413"/>
    <cellStyle name="Comma 8 24 2" xfId="8439"/>
    <cellStyle name="Comma 8 25" xfId="1414"/>
    <cellStyle name="Comma 8 25 2" xfId="8440"/>
    <cellStyle name="Comma 8 26" xfId="1415"/>
    <cellStyle name="Comma 8 26 2" xfId="8441"/>
    <cellStyle name="Comma 8 27" xfId="1416"/>
    <cellStyle name="Comma 8 27 2" xfId="8442"/>
    <cellStyle name="Comma 8 28" xfId="1417"/>
    <cellStyle name="Comma 8 28 2" xfId="8443"/>
    <cellStyle name="Comma 8 29" xfId="1418"/>
    <cellStyle name="Comma 8 29 2" xfId="8444"/>
    <cellStyle name="Comma 8 3" xfId="1419"/>
    <cellStyle name="Comma 8 3 2" xfId="8445"/>
    <cellStyle name="Comma 8 30" xfId="1420"/>
    <cellStyle name="Comma 8 30 2" xfId="8446"/>
    <cellStyle name="Comma 8 31" xfId="1421"/>
    <cellStyle name="Comma 8 31 2" xfId="8447"/>
    <cellStyle name="Comma 8 32" xfId="1422"/>
    <cellStyle name="Comma 8 32 2" xfId="8448"/>
    <cellStyle name="Comma 8 33" xfId="1423"/>
    <cellStyle name="Comma 8 33 2" xfId="8449"/>
    <cellStyle name="Comma 8 34" xfId="1424"/>
    <cellStyle name="Comma 8 34 2" xfId="8450"/>
    <cellStyle name="Comma 8 35" xfId="1425"/>
    <cellStyle name="Comma 8 35 2" xfId="8451"/>
    <cellStyle name="Comma 8 36" xfId="1426"/>
    <cellStyle name="Comma 8 36 2" xfId="8452"/>
    <cellStyle name="Comma 8 37" xfId="1427"/>
    <cellStyle name="Comma 8 37 2" xfId="8453"/>
    <cellStyle name="Comma 8 38" xfId="1428"/>
    <cellStyle name="Comma 8 38 2" xfId="8454"/>
    <cellStyle name="Comma 8 39" xfId="1429"/>
    <cellStyle name="Comma 8 39 2" xfId="8455"/>
    <cellStyle name="Comma 8 4" xfId="1430"/>
    <cellStyle name="Comma 8 4 2" xfId="8456"/>
    <cellStyle name="Comma 8 40" xfId="1431"/>
    <cellStyle name="Comma 8 40 2" xfId="8457"/>
    <cellStyle name="Comma 8 41" xfId="1432"/>
    <cellStyle name="Comma 8 41 2" xfId="8458"/>
    <cellStyle name="Comma 8 42" xfId="1433"/>
    <cellStyle name="Comma 8 42 2" xfId="8459"/>
    <cellStyle name="Comma 8 43" xfId="1434"/>
    <cellStyle name="Comma 8 43 2" xfId="8460"/>
    <cellStyle name="Comma 8 44" xfId="1435"/>
    <cellStyle name="Comma 8 44 2" xfId="8461"/>
    <cellStyle name="Comma 8 45" xfId="1436"/>
    <cellStyle name="Comma 8 45 2" xfId="8462"/>
    <cellStyle name="Comma 8 46" xfId="1437"/>
    <cellStyle name="Comma 8 46 2" xfId="8463"/>
    <cellStyle name="Comma 8 47" xfId="1438"/>
    <cellStyle name="Comma 8 47 2" xfId="8464"/>
    <cellStyle name="Comma 8 48" xfId="5060"/>
    <cellStyle name="Comma 8 5" xfId="1439"/>
    <cellStyle name="Comma 8 5 2" xfId="8465"/>
    <cellStyle name="Comma 8 6" xfId="1440"/>
    <cellStyle name="Comma 8 6 2" xfId="8466"/>
    <cellStyle name="Comma 8 7" xfId="1441"/>
    <cellStyle name="Comma 8 7 2" xfId="8467"/>
    <cellStyle name="Comma 8 8" xfId="1442"/>
    <cellStyle name="Comma 8 8 2" xfId="8468"/>
    <cellStyle name="Comma 8 9" xfId="1443"/>
    <cellStyle name="Comma 8 9 2" xfId="8469"/>
    <cellStyle name="Comma 9" xfId="1444"/>
    <cellStyle name="Comma 9 10" xfId="1445"/>
    <cellStyle name="Comma 9 10 2" xfId="8470"/>
    <cellStyle name="Comma 9 11" xfId="1446"/>
    <cellStyle name="Comma 9 11 2" xfId="8471"/>
    <cellStyle name="Comma 9 12" xfId="1447"/>
    <cellStyle name="Comma 9 12 2" xfId="8472"/>
    <cellStyle name="Comma 9 13" xfId="1448"/>
    <cellStyle name="Comma 9 13 2" xfId="8473"/>
    <cellStyle name="Comma 9 14" xfId="1449"/>
    <cellStyle name="Comma 9 14 2" xfId="8474"/>
    <cellStyle name="Comma 9 15" xfId="1450"/>
    <cellStyle name="Comma 9 15 2" xfId="8475"/>
    <cellStyle name="Comma 9 16" xfId="1451"/>
    <cellStyle name="Comma 9 16 2" xfId="8476"/>
    <cellStyle name="Comma 9 17" xfId="1452"/>
    <cellStyle name="Comma 9 17 2" xfId="8477"/>
    <cellStyle name="Comma 9 18" xfId="1453"/>
    <cellStyle name="Comma 9 18 2" xfId="8478"/>
    <cellStyle name="Comma 9 19" xfId="1454"/>
    <cellStyle name="Comma 9 19 2" xfId="8479"/>
    <cellStyle name="Comma 9 2" xfId="1455"/>
    <cellStyle name="Comma 9 2 10" xfId="1456"/>
    <cellStyle name="Comma 9 2 10 2" xfId="8480"/>
    <cellStyle name="Comma 9 2 11" xfId="1457"/>
    <cellStyle name="Comma 9 2 11 2" xfId="8481"/>
    <cellStyle name="Comma 9 2 12" xfId="1458"/>
    <cellStyle name="Comma 9 2 12 2" xfId="8482"/>
    <cellStyle name="Comma 9 2 13" xfId="1459"/>
    <cellStyle name="Comma 9 2 13 2" xfId="8483"/>
    <cellStyle name="Comma 9 2 14" xfId="1460"/>
    <cellStyle name="Comma 9 2 14 2" xfId="8484"/>
    <cellStyle name="Comma 9 2 15" xfId="1461"/>
    <cellStyle name="Comma 9 2 15 2" xfId="8485"/>
    <cellStyle name="Comma 9 2 16" xfId="1462"/>
    <cellStyle name="Comma 9 2 16 2" xfId="8486"/>
    <cellStyle name="Comma 9 2 17" xfId="1463"/>
    <cellStyle name="Comma 9 2 17 2" xfId="8487"/>
    <cellStyle name="Comma 9 2 18" xfId="1464"/>
    <cellStyle name="Comma 9 2 18 2" xfId="8488"/>
    <cellStyle name="Comma 9 2 19" xfId="1465"/>
    <cellStyle name="Comma 9 2 19 2" xfId="8489"/>
    <cellStyle name="Comma 9 2 2" xfId="1466"/>
    <cellStyle name="Comma 9 2 2 2" xfId="8490"/>
    <cellStyle name="Comma 9 2 20" xfId="1467"/>
    <cellStyle name="Comma 9 2 20 2" xfId="8491"/>
    <cellStyle name="Comma 9 2 21" xfId="1468"/>
    <cellStyle name="Comma 9 2 21 2" xfId="8492"/>
    <cellStyle name="Comma 9 2 3" xfId="1469"/>
    <cellStyle name="Comma 9 2 3 2" xfId="8493"/>
    <cellStyle name="Comma 9 2 4" xfId="1470"/>
    <cellStyle name="Comma 9 2 4 2" xfId="8494"/>
    <cellStyle name="Comma 9 2 5" xfId="1471"/>
    <cellStyle name="Comma 9 2 5 2" xfId="8495"/>
    <cellStyle name="Comma 9 2 6" xfId="1472"/>
    <cellStyle name="Comma 9 2 6 2" xfId="8496"/>
    <cellStyle name="Comma 9 2 7" xfId="1473"/>
    <cellStyle name="Comma 9 2 7 2" xfId="8497"/>
    <cellStyle name="Comma 9 2 8" xfId="1474"/>
    <cellStyle name="Comma 9 2 8 2" xfId="8498"/>
    <cellStyle name="Comma 9 2 9" xfId="1475"/>
    <cellStyle name="Comma 9 2 9 2" xfId="8499"/>
    <cellStyle name="Comma 9 20" xfId="1476"/>
    <cellStyle name="Comma 9 20 2" xfId="8500"/>
    <cellStyle name="Comma 9 21" xfId="1477"/>
    <cellStyle name="Comma 9 21 2" xfId="8501"/>
    <cellStyle name="Comma 9 22" xfId="1478"/>
    <cellStyle name="Comma 9 22 2" xfId="8502"/>
    <cellStyle name="Comma 9 23" xfId="1479"/>
    <cellStyle name="Comma 9 23 2" xfId="8503"/>
    <cellStyle name="Comma 9 3" xfId="1480"/>
    <cellStyle name="Comma 9 4" xfId="1481"/>
    <cellStyle name="Comma 9 4 2" xfId="8504"/>
    <cellStyle name="Comma 9 5" xfId="1482"/>
    <cellStyle name="Comma 9 5 2" xfId="8505"/>
    <cellStyle name="Comma 9 6" xfId="1483"/>
    <cellStyle name="Comma 9 6 2" xfId="8506"/>
    <cellStyle name="Comma 9 7" xfId="1484"/>
    <cellStyle name="Comma 9 7 2" xfId="8507"/>
    <cellStyle name="Comma 9 8" xfId="1485"/>
    <cellStyle name="Comma 9 8 2" xfId="8508"/>
    <cellStyle name="Comma 9 9" xfId="1486"/>
    <cellStyle name="Comma 9 9 2" xfId="8509"/>
    <cellStyle name="Comma0" xfId="1487"/>
    <cellStyle name="Comma0 10" xfId="1488"/>
    <cellStyle name="Comma0 10 2" xfId="8511"/>
    <cellStyle name="Comma0 11" xfId="1489"/>
    <cellStyle name="Comma0 11 2" xfId="8512"/>
    <cellStyle name="Comma0 12" xfId="1490"/>
    <cellStyle name="Comma0 12 2" xfId="8513"/>
    <cellStyle name="Comma0 13" xfId="1491"/>
    <cellStyle name="Comma0 13 2" xfId="8514"/>
    <cellStyle name="Comma0 14" xfId="1492"/>
    <cellStyle name="Comma0 14 2" xfId="8515"/>
    <cellStyle name="Comma0 15" xfId="1493"/>
    <cellStyle name="Comma0 15 2" xfId="8516"/>
    <cellStyle name="Comma0 16" xfId="1494"/>
    <cellStyle name="Comma0 16 2" xfId="8517"/>
    <cellStyle name="Comma0 17" xfId="1495"/>
    <cellStyle name="Comma0 17 2" xfId="8518"/>
    <cellStyle name="Comma0 18" xfId="1496"/>
    <cellStyle name="Comma0 18 2" xfId="8519"/>
    <cellStyle name="Comma0 19" xfId="1497"/>
    <cellStyle name="Comma0 19 2" xfId="8520"/>
    <cellStyle name="Comma0 2" xfId="1498"/>
    <cellStyle name="Comma0 2 2" xfId="8521"/>
    <cellStyle name="Comma0 20" xfId="1499"/>
    <cellStyle name="Comma0 20 2" xfId="8522"/>
    <cellStyle name="Comma0 21" xfId="1500"/>
    <cellStyle name="Comma0 21 2" xfId="8523"/>
    <cellStyle name="Comma0 22" xfId="8510"/>
    <cellStyle name="Comma0 3" xfId="1501"/>
    <cellStyle name="Comma0 3 2" xfId="8524"/>
    <cellStyle name="Comma0 4" xfId="1502"/>
    <cellStyle name="Comma0 4 2" xfId="8525"/>
    <cellStyle name="Comma0 5" xfId="1503"/>
    <cellStyle name="Comma0 5 2" xfId="8526"/>
    <cellStyle name="Comma0 6" xfId="1504"/>
    <cellStyle name="Comma0 6 2" xfId="8527"/>
    <cellStyle name="Comma0 7" xfId="1505"/>
    <cellStyle name="Comma0 7 2" xfId="8528"/>
    <cellStyle name="Comma0 8" xfId="1506"/>
    <cellStyle name="Comma0 8 2" xfId="8529"/>
    <cellStyle name="Comma0 9" xfId="1507"/>
    <cellStyle name="Comma0 9 2" xfId="8530"/>
    <cellStyle name="Comma1 - Style1" xfId="1508"/>
    <cellStyle name="Comma1 - Style1 2" xfId="5061"/>
    <cellStyle name="Copied" xfId="1509"/>
    <cellStyle name="Copied 10" xfId="1510"/>
    <cellStyle name="Copied 11" xfId="1511"/>
    <cellStyle name="Copied 12" xfId="1512"/>
    <cellStyle name="Copied 13" xfId="1513"/>
    <cellStyle name="Copied 14" xfId="1514"/>
    <cellStyle name="Copied 15" xfId="1515"/>
    <cellStyle name="Copied 16" xfId="1516"/>
    <cellStyle name="Copied 17" xfId="1517"/>
    <cellStyle name="Copied 18" xfId="1518"/>
    <cellStyle name="Copied 19" xfId="1519"/>
    <cellStyle name="Copied 2" xfId="1520"/>
    <cellStyle name="Copied 20" xfId="1521"/>
    <cellStyle name="Copied 21" xfId="1522"/>
    <cellStyle name="Copied 22" xfId="5062"/>
    <cellStyle name="Copied 3" xfId="1523"/>
    <cellStyle name="Copied 4" xfId="1524"/>
    <cellStyle name="Copied 5" xfId="1525"/>
    <cellStyle name="Copied 6" xfId="1526"/>
    <cellStyle name="Copied 7" xfId="1527"/>
    <cellStyle name="Copied 8" xfId="1528"/>
    <cellStyle name="Copied 9" xfId="1529"/>
    <cellStyle name="COST1" xfId="1530"/>
    <cellStyle name="Currency (0.00)" xfId="1531"/>
    <cellStyle name="Currency (0.00) 2" xfId="1532"/>
    <cellStyle name="Currency (0.00) 2 2" xfId="10782"/>
    <cellStyle name="Currency (0.00) 2 2 2" xfId="11417"/>
    <cellStyle name="Currency (0.00) 2 3" xfId="7410"/>
    <cellStyle name="Currency (0.00) 2 3 2" xfId="11288"/>
    <cellStyle name="Currency (0.00) 3" xfId="5063"/>
    <cellStyle name="Currency (0.00) 3 2" xfId="7740"/>
    <cellStyle name="Currency (0.00) 3 2 2" xfId="11388"/>
    <cellStyle name="Currency (0.00) 3 3" xfId="11285"/>
    <cellStyle name="Currency [0]b" xfId="1533"/>
    <cellStyle name="Currency [00]" xfId="1534"/>
    <cellStyle name="Currency 0" xfId="1535"/>
    <cellStyle name="Currency 0 10" xfId="1536"/>
    <cellStyle name="Currency 0 10 2" xfId="8532"/>
    <cellStyle name="Currency 0 11" xfId="1537"/>
    <cellStyle name="Currency 0 11 2" xfId="8533"/>
    <cellStyle name="Currency 0 12" xfId="1538"/>
    <cellStyle name="Currency 0 12 2" xfId="8534"/>
    <cellStyle name="Currency 0 13" xfId="1539"/>
    <cellStyle name="Currency 0 13 2" xfId="8535"/>
    <cellStyle name="Currency 0 14" xfId="1540"/>
    <cellStyle name="Currency 0 14 2" xfId="8536"/>
    <cellStyle name="Currency 0 15" xfId="1541"/>
    <cellStyle name="Currency 0 15 2" xfId="8537"/>
    <cellStyle name="Currency 0 16" xfId="1542"/>
    <cellStyle name="Currency 0 16 2" xfId="8538"/>
    <cellStyle name="Currency 0 17" xfId="1543"/>
    <cellStyle name="Currency 0 17 2" xfId="8539"/>
    <cellStyle name="Currency 0 18" xfId="1544"/>
    <cellStyle name="Currency 0 18 2" xfId="8540"/>
    <cellStyle name="Currency 0 19" xfId="1545"/>
    <cellStyle name="Currency 0 19 2" xfId="8541"/>
    <cellStyle name="Currency 0 2" xfId="1546"/>
    <cellStyle name="Currency 0 2 2" xfId="8542"/>
    <cellStyle name="Currency 0 20" xfId="1547"/>
    <cellStyle name="Currency 0 20 2" xfId="8543"/>
    <cellStyle name="Currency 0 21" xfId="1548"/>
    <cellStyle name="Currency 0 21 2" xfId="8544"/>
    <cellStyle name="Currency 0 22" xfId="1549"/>
    <cellStyle name="Currency 0 22 2" xfId="8545"/>
    <cellStyle name="Currency 0 23" xfId="1550"/>
    <cellStyle name="Currency 0 23 2" xfId="8546"/>
    <cellStyle name="Currency 0 24" xfId="1551"/>
    <cellStyle name="Currency 0 24 2" xfId="8547"/>
    <cellStyle name="Currency 0 25" xfId="1552"/>
    <cellStyle name="Currency 0 25 2" xfId="8548"/>
    <cellStyle name="Currency 0 26" xfId="1553"/>
    <cellStyle name="Currency 0 26 2" xfId="8549"/>
    <cellStyle name="Currency 0 27" xfId="8531"/>
    <cellStyle name="Currency 0 3" xfId="1554"/>
    <cellStyle name="Currency 0 3 2" xfId="8550"/>
    <cellStyle name="Currency 0 4" xfId="1555"/>
    <cellStyle name="Currency 0 4 2" xfId="8551"/>
    <cellStyle name="Currency 0 5" xfId="1556"/>
    <cellStyle name="Currency 0 5 2" xfId="8552"/>
    <cellStyle name="Currency 0 6" xfId="1557"/>
    <cellStyle name="Currency 0 6 2" xfId="8553"/>
    <cellStyle name="Currency 0 7" xfId="1558"/>
    <cellStyle name="Currency 0 7 2" xfId="8554"/>
    <cellStyle name="Currency 0 8" xfId="1559"/>
    <cellStyle name="Currency 0 8 2" xfId="8555"/>
    <cellStyle name="Currency 0 9" xfId="1560"/>
    <cellStyle name="Currency 0 9 2" xfId="8556"/>
    <cellStyle name="Currency 2" xfId="1561"/>
    <cellStyle name="Currency 2 10" xfId="1562"/>
    <cellStyle name="Currency 2 10 2" xfId="8558"/>
    <cellStyle name="Currency 2 11" xfId="1563"/>
    <cellStyle name="Currency 2 11 2" xfId="8559"/>
    <cellStyle name="Currency 2 12" xfId="1564"/>
    <cellStyle name="Currency 2 12 2" xfId="8560"/>
    <cellStyle name="Currency 2 13" xfId="1565"/>
    <cellStyle name="Currency 2 13 2" xfId="8561"/>
    <cellStyle name="Currency 2 14" xfId="1566"/>
    <cellStyle name="Currency 2 14 2" xfId="8562"/>
    <cellStyle name="Currency 2 15" xfId="1567"/>
    <cellStyle name="Currency 2 15 2" xfId="8563"/>
    <cellStyle name="Currency 2 16" xfId="1568"/>
    <cellStyle name="Currency 2 16 2" xfId="8564"/>
    <cellStyle name="Currency 2 17" xfId="1569"/>
    <cellStyle name="Currency 2 17 2" xfId="8565"/>
    <cellStyle name="Currency 2 18" xfId="1570"/>
    <cellStyle name="Currency 2 18 2" xfId="8566"/>
    <cellStyle name="Currency 2 19" xfId="1571"/>
    <cellStyle name="Currency 2 19 2" xfId="8567"/>
    <cellStyle name="Currency 2 2" xfId="1572"/>
    <cellStyle name="Currency 2 2 2" xfId="8568"/>
    <cellStyle name="Currency 2 20" xfId="1573"/>
    <cellStyle name="Currency 2 20 2" xfId="8569"/>
    <cellStyle name="Currency 2 21" xfId="1574"/>
    <cellStyle name="Currency 2 21 2" xfId="8570"/>
    <cellStyle name="Currency 2 22" xfId="1575"/>
    <cellStyle name="Currency 2 22 2" xfId="8571"/>
    <cellStyle name="Currency 2 23" xfId="1576"/>
    <cellStyle name="Currency 2 23 2" xfId="8572"/>
    <cellStyle name="Currency 2 24" xfId="1577"/>
    <cellStyle name="Currency 2 24 2" xfId="8573"/>
    <cellStyle name="Currency 2 25" xfId="1578"/>
    <cellStyle name="Currency 2 25 2" xfId="8574"/>
    <cellStyle name="Currency 2 26" xfId="1579"/>
    <cellStyle name="Currency 2 26 2" xfId="8575"/>
    <cellStyle name="Currency 2 27" xfId="8557"/>
    <cellStyle name="Currency 2 28" xfId="10952"/>
    <cellStyle name="Currency 2 3" xfId="1580"/>
    <cellStyle name="Currency 2 3 2" xfId="8576"/>
    <cellStyle name="Currency 2 4" xfId="1581"/>
    <cellStyle name="Currency 2 4 2" xfId="8577"/>
    <cellStyle name="Currency 2 5" xfId="1582"/>
    <cellStyle name="Currency 2 5 2" xfId="8578"/>
    <cellStyle name="Currency 2 6" xfId="1583"/>
    <cellStyle name="Currency 2 6 2" xfId="8579"/>
    <cellStyle name="Currency 2 7" xfId="1584"/>
    <cellStyle name="Currency 2 7 2" xfId="8580"/>
    <cellStyle name="Currency 2 8" xfId="1585"/>
    <cellStyle name="Currency 2 8 2" xfId="8581"/>
    <cellStyle name="Currency 2 9" xfId="1586"/>
    <cellStyle name="Currency 2 9 2" xfId="8582"/>
    <cellStyle name="Currency 3" xfId="1587"/>
    <cellStyle name="Currency 3 2" xfId="8583"/>
    <cellStyle name="currency(2)" xfId="1588"/>
    <cellStyle name="Currency0" xfId="1589"/>
    <cellStyle name="Currency0 10" xfId="1590"/>
    <cellStyle name="Currency0 10 2" xfId="8585"/>
    <cellStyle name="Currency0 11" xfId="1591"/>
    <cellStyle name="Currency0 11 2" xfId="8586"/>
    <cellStyle name="Currency0 12" xfId="1592"/>
    <cellStyle name="Currency0 12 2" xfId="8587"/>
    <cellStyle name="Currency0 13" xfId="1593"/>
    <cellStyle name="Currency0 13 2" xfId="8588"/>
    <cellStyle name="Currency0 14" xfId="1594"/>
    <cellStyle name="Currency0 14 2" xfId="8589"/>
    <cellStyle name="Currency0 15" xfId="1595"/>
    <cellStyle name="Currency0 15 2" xfId="8590"/>
    <cellStyle name="Currency0 16" xfId="1596"/>
    <cellStyle name="Currency0 16 2" xfId="8591"/>
    <cellStyle name="Currency0 17" xfId="1597"/>
    <cellStyle name="Currency0 17 2" xfId="8592"/>
    <cellStyle name="Currency0 18" xfId="1598"/>
    <cellStyle name="Currency0 18 2" xfId="8593"/>
    <cellStyle name="Currency0 19" xfId="1599"/>
    <cellStyle name="Currency0 19 2" xfId="8594"/>
    <cellStyle name="Currency0 2" xfId="1600"/>
    <cellStyle name="Currency0 2 2" xfId="8595"/>
    <cellStyle name="Currency0 20" xfId="1601"/>
    <cellStyle name="Currency0 20 2" xfId="8596"/>
    <cellStyle name="Currency0 21" xfId="1602"/>
    <cellStyle name="Currency0 21 2" xfId="8597"/>
    <cellStyle name="Currency0 22" xfId="8584"/>
    <cellStyle name="Currency0 3" xfId="1603"/>
    <cellStyle name="Currency0 3 2" xfId="8598"/>
    <cellStyle name="Currency0 4" xfId="1604"/>
    <cellStyle name="Currency0 4 2" xfId="8599"/>
    <cellStyle name="Currency0 5" xfId="1605"/>
    <cellStyle name="Currency0 5 2" xfId="8600"/>
    <cellStyle name="Currency0 6" xfId="1606"/>
    <cellStyle name="Currency0 6 2" xfId="8601"/>
    <cellStyle name="Currency0 7" xfId="1607"/>
    <cellStyle name="Currency0 7 2" xfId="8602"/>
    <cellStyle name="Currency0 8" xfId="1608"/>
    <cellStyle name="Currency0 8 2" xfId="8603"/>
    <cellStyle name="Currency0 9" xfId="1609"/>
    <cellStyle name="Currency0 9 2" xfId="8604"/>
    <cellStyle name="Custom - Style8" xfId="1610"/>
    <cellStyle name="Custom - Style8 2" xfId="5064"/>
    <cellStyle name="d/m/yy" xfId="1611"/>
    <cellStyle name="Data   - Style2" xfId="1612"/>
    <cellStyle name="Data   - Style2 2" xfId="5065"/>
    <cellStyle name="Data   - Style2 2 2" xfId="10852"/>
    <cellStyle name="Data   - Style2 3" xfId="10774"/>
    <cellStyle name="Data_Form" xfId="1613"/>
    <cellStyle name="DATE" xfId="1614"/>
    <cellStyle name="Date 10" xfId="1615"/>
    <cellStyle name="Date 10 2" xfId="8605"/>
    <cellStyle name="Date 11" xfId="1616"/>
    <cellStyle name="Date 11 2" xfId="8606"/>
    <cellStyle name="Date 12" xfId="1617"/>
    <cellStyle name="Date 12 2" xfId="8607"/>
    <cellStyle name="Date 13" xfId="1618"/>
    <cellStyle name="Date 13 2" xfId="8608"/>
    <cellStyle name="Date 14" xfId="1619"/>
    <cellStyle name="Date 14 2" xfId="8609"/>
    <cellStyle name="Date 15" xfId="1620"/>
    <cellStyle name="Date 15 2" xfId="8610"/>
    <cellStyle name="Date 16" xfId="1621"/>
    <cellStyle name="Date 16 2" xfId="8611"/>
    <cellStyle name="Date 17" xfId="1622"/>
    <cellStyle name="Date 17 2" xfId="8612"/>
    <cellStyle name="Date 18" xfId="1623"/>
    <cellStyle name="Date 18 2" xfId="8613"/>
    <cellStyle name="Date 19" xfId="1624"/>
    <cellStyle name="Date 19 2" xfId="8614"/>
    <cellStyle name="Date 2" xfId="1625"/>
    <cellStyle name="Date 2 2" xfId="8615"/>
    <cellStyle name="Date 20" xfId="1626"/>
    <cellStyle name="Date 20 2" xfId="8616"/>
    <cellStyle name="Date 21" xfId="1627"/>
    <cellStyle name="Date 21 2" xfId="8617"/>
    <cellStyle name="Date 3" xfId="1628"/>
    <cellStyle name="Date 3 2" xfId="8618"/>
    <cellStyle name="Date 4" xfId="1629"/>
    <cellStyle name="Date 4 2" xfId="8619"/>
    <cellStyle name="Date 5" xfId="1630"/>
    <cellStyle name="Date 5 2" xfId="8620"/>
    <cellStyle name="Date 6" xfId="1631"/>
    <cellStyle name="Date 6 2" xfId="8621"/>
    <cellStyle name="Date 7" xfId="1632"/>
    <cellStyle name="Date 7 2" xfId="8622"/>
    <cellStyle name="Date 8" xfId="1633"/>
    <cellStyle name="Date 8 2" xfId="8623"/>
    <cellStyle name="Date 9" xfId="1634"/>
    <cellStyle name="Date 9 2" xfId="8624"/>
    <cellStyle name="Date Aligned" xfId="1635"/>
    <cellStyle name="Date Aligned 10" xfId="1636"/>
    <cellStyle name="Date Aligned 10 2" xfId="8626"/>
    <cellStyle name="Date Aligned 11" xfId="1637"/>
    <cellStyle name="Date Aligned 11 2" xfId="8627"/>
    <cellStyle name="Date Aligned 12" xfId="1638"/>
    <cellStyle name="Date Aligned 12 2" xfId="8628"/>
    <cellStyle name="Date Aligned 13" xfId="1639"/>
    <cellStyle name="Date Aligned 13 2" xfId="8629"/>
    <cellStyle name="Date Aligned 14" xfId="1640"/>
    <cellStyle name="Date Aligned 14 2" xfId="8630"/>
    <cellStyle name="Date Aligned 15" xfId="1641"/>
    <cellStyle name="Date Aligned 15 2" xfId="8631"/>
    <cellStyle name="Date Aligned 16" xfId="1642"/>
    <cellStyle name="Date Aligned 16 2" xfId="8632"/>
    <cellStyle name="Date Aligned 17" xfId="1643"/>
    <cellStyle name="Date Aligned 17 2" xfId="8633"/>
    <cellStyle name="Date Aligned 18" xfId="1644"/>
    <cellStyle name="Date Aligned 18 2" xfId="8634"/>
    <cellStyle name="Date Aligned 19" xfId="1645"/>
    <cellStyle name="Date Aligned 19 2" xfId="8635"/>
    <cellStyle name="Date Aligned 2" xfId="1646"/>
    <cellStyle name="Date Aligned 2 2" xfId="8636"/>
    <cellStyle name="Date Aligned 20" xfId="1647"/>
    <cellStyle name="Date Aligned 20 2" xfId="8637"/>
    <cellStyle name="Date Aligned 21" xfId="1648"/>
    <cellStyle name="Date Aligned 21 2" xfId="8638"/>
    <cellStyle name="Date Aligned 22" xfId="1649"/>
    <cellStyle name="Date Aligned 22 2" xfId="8639"/>
    <cellStyle name="Date Aligned 23" xfId="1650"/>
    <cellStyle name="Date Aligned 23 2" xfId="8640"/>
    <cellStyle name="Date Aligned 24" xfId="1651"/>
    <cellStyle name="Date Aligned 24 2" xfId="8641"/>
    <cellStyle name="Date Aligned 25" xfId="1652"/>
    <cellStyle name="Date Aligned 25 2" xfId="8642"/>
    <cellStyle name="Date Aligned 26" xfId="1653"/>
    <cellStyle name="Date Aligned 26 2" xfId="8643"/>
    <cellStyle name="Date Aligned 27" xfId="8625"/>
    <cellStyle name="Date Aligned 3" xfId="1654"/>
    <cellStyle name="Date Aligned 3 2" xfId="8644"/>
    <cellStyle name="Date Aligned 4" xfId="1655"/>
    <cellStyle name="Date Aligned 4 2" xfId="8645"/>
    <cellStyle name="Date Aligned 5" xfId="1656"/>
    <cellStyle name="Date Aligned 5 2" xfId="8646"/>
    <cellStyle name="Date Aligned 6" xfId="1657"/>
    <cellStyle name="Date Aligned 6 2" xfId="8647"/>
    <cellStyle name="Date Aligned 7" xfId="1658"/>
    <cellStyle name="Date Aligned 7 2" xfId="8648"/>
    <cellStyle name="Date Aligned 8" xfId="1659"/>
    <cellStyle name="Date Aligned 8 2" xfId="8649"/>
    <cellStyle name="Date Aligned 9" xfId="1660"/>
    <cellStyle name="Date Aligned 9 2" xfId="8650"/>
    <cellStyle name="Date Short" xfId="1661"/>
    <cellStyle name="Date_Grace Worksheet 2005+RE Recon" xfId="1662"/>
    <cellStyle name="Dezimal [0]_35ERI8T2gbIEMixb4v26icuOo" xfId="1663"/>
    <cellStyle name="Dezimal_35ERI8T2gbIEMixb4v26icuOo" xfId="1664"/>
    <cellStyle name="Dotted Line" xfId="1665"/>
    <cellStyle name="Dotted Line 10" xfId="1666"/>
    <cellStyle name="Dotted Line 10 2" xfId="8652"/>
    <cellStyle name="Dotted Line 11" xfId="1667"/>
    <cellStyle name="Dotted Line 11 2" xfId="8653"/>
    <cellStyle name="Dotted Line 12" xfId="1668"/>
    <cellStyle name="Dotted Line 12 2" xfId="8654"/>
    <cellStyle name="Dotted Line 13" xfId="1669"/>
    <cellStyle name="Dotted Line 13 2" xfId="8655"/>
    <cellStyle name="Dotted Line 14" xfId="1670"/>
    <cellStyle name="Dotted Line 14 2" xfId="8656"/>
    <cellStyle name="Dotted Line 15" xfId="1671"/>
    <cellStyle name="Dotted Line 15 2" xfId="8657"/>
    <cellStyle name="Dotted Line 16" xfId="1672"/>
    <cellStyle name="Dotted Line 16 2" xfId="8658"/>
    <cellStyle name="Dotted Line 17" xfId="1673"/>
    <cellStyle name="Dotted Line 17 2" xfId="8659"/>
    <cellStyle name="Dotted Line 18" xfId="1674"/>
    <cellStyle name="Dotted Line 18 2" xfId="8660"/>
    <cellStyle name="Dotted Line 19" xfId="1675"/>
    <cellStyle name="Dotted Line 19 2" xfId="8661"/>
    <cellStyle name="Dotted Line 2" xfId="1676"/>
    <cellStyle name="Dotted Line 2 2" xfId="8662"/>
    <cellStyle name="Dotted Line 20" xfId="1677"/>
    <cellStyle name="Dotted Line 20 2" xfId="8663"/>
    <cellStyle name="Dotted Line 21" xfId="1678"/>
    <cellStyle name="Dotted Line 21 2" xfId="8664"/>
    <cellStyle name="Dotted Line 22" xfId="1679"/>
    <cellStyle name="Dotted Line 22 2" xfId="8665"/>
    <cellStyle name="Dotted Line 23" xfId="1680"/>
    <cellStyle name="Dotted Line 23 2" xfId="8666"/>
    <cellStyle name="Dotted Line 24" xfId="1681"/>
    <cellStyle name="Dotted Line 24 2" xfId="8667"/>
    <cellStyle name="Dotted Line 25" xfId="1682"/>
    <cellStyle name="Dotted Line 25 2" xfId="8668"/>
    <cellStyle name="Dotted Line 26" xfId="1683"/>
    <cellStyle name="Dotted Line 26 2" xfId="8669"/>
    <cellStyle name="Dotted Line 27" xfId="8651"/>
    <cellStyle name="Dotted Line 3" xfId="1684"/>
    <cellStyle name="Dotted Line 3 2" xfId="8670"/>
    <cellStyle name="Dotted Line 4" xfId="1685"/>
    <cellStyle name="Dotted Line 4 2" xfId="8671"/>
    <cellStyle name="Dotted Line 5" xfId="1686"/>
    <cellStyle name="Dotted Line 5 2" xfId="8672"/>
    <cellStyle name="Dotted Line 6" xfId="1687"/>
    <cellStyle name="Dotted Line 6 2" xfId="8673"/>
    <cellStyle name="Dotted Line 7" xfId="1688"/>
    <cellStyle name="Dotted Line 7 2" xfId="8674"/>
    <cellStyle name="Dotted Line 8" xfId="1689"/>
    <cellStyle name="Dotted Line 8 2" xfId="8675"/>
    <cellStyle name="Dotted Line 9" xfId="1690"/>
    <cellStyle name="Dotted Line 9 2" xfId="8676"/>
    <cellStyle name="Enter Currency (0)" xfId="1691"/>
    <cellStyle name="Enter Currency (2)" xfId="1692"/>
    <cellStyle name="Enter Units (0)" xfId="1693"/>
    <cellStyle name="Enter Units (1)" xfId="1694"/>
    <cellStyle name="Enter Units (2)" xfId="1695"/>
    <cellStyle name="Entered" xfId="1696"/>
    <cellStyle name="Entered 10" xfId="1697"/>
    <cellStyle name="Entered 11" xfId="1698"/>
    <cellStyle name="Entered 12" xfId="1699"/>
    <cellStyle name="Entered 13" xfId="1700"/>
    <cellStyle name="Entered 14" xfId="1701"/>
    <cellStyle name="Entered 15" xfId="1702"/>
    <cellStyle name="Entered 16" xfId="1703"/>
    <cellStyle name="Entered 17" xfId="1704"/>
    <cellStyle name="Entered 18" xfId="1705"/>
    <cellStyle name="Entered 19" xfId="1706"/>
    <cellStyle name="Entered 2" xfId="1707"/>
    <cellStyle name="Entered 20" xfId="1708"/>
    <cellStyle name="Entered 21" xfId="1709"/>
    <cellStyle name="Entered 22" xfId="5066"/>
    <cellStyle name="Entered 3" xfId="1710"/>
    <cellStyle name="Entered 4" xfId="1711"/>
    <cellStyle name="Entered 5" xfId="1712"/>
    <cellStyle name="Entered 6" xfId="1713"/>
    <cellStyle name="Entered 7" xfId="1714"/>
    <cellStyle name="Entered 8" xfId="1715"/>
    <cellStyle name="Entered 9" xfId="1716"/>
    <cellStyle name="Explanatory Text 2" xfId="1717"/>
    <cellStyle name="Explanatory Text 2 2" xfId="5067"/>
    <cellStyle name="Explanatory Text 3" xfId="1718"/>
    <cellStyle name="Explanatory Text 3 2" xfId="5068"/>
    <cellStyle name="Explanatory Text 4" xfId="1719"/>
    <cellStyle name="Explanatory Text 4 2" xfId="5069"/>
    <cellStyle name="Explanatory Text 5" xfId="1720"/>
    <cellStyle name="Explanatory Text 5 2" xfId="5070"/>
    <cellStyle name="Explanatory Text 5 2 2" xfId="9956"/>
    <cellStyle name="Explanatory Text 5 3" xfId="8677"/>
    <cellStyle name="Explanatory Text 6" xfId="1721"/>
    <cellStyle name="Explanatory Text 6 2" xfId="5071"/>
    <cellStyle name="Explanatory Text 6 2 2" xfId="9957"/>
    <cellStyle name="Explanatory Text 6 3" xfId="8678"/>
    <cellStyle name="Explanatory Text 7" xfId="1722"/>
    <cellStyle name="Explanatory Text 7 2" xfId="5072"/>
    <cellStyle name="Explanatory Text 7 2 2" xfId="9958"/>
    <cellStyle name="Explanatory Text 7 3" xfId="8679"/>
    <cellStyle name="Explanatory Text 8" xfId="1723"/>
    <cellStyle name="Explanatory Text 8 2" xfId="5073"/>
    <cellStyle name="Explanatory Text 8 2 2" xfId="9959"/>
    <cellStyle name="Explanatory Text 8 3" xfId="8680"/>
    <cellStyle name="Explanatory Text 9" xfId="1724"/>
    <cellStyle name="Explanatory Text 9 2" xfId="5074"/>
    <cellStyle name="F2" xfId="1725"/>
    <cellStyle name="F3" xfId="1726"/>
    <cellStyle name="F4" xfId="1727"/>
    <cellStyle name="F5" xfId="1728"/>
    <cellStyle name="F6" xfId="1729"/>
    <cellStyle name="F7" xfId="1730"/>
    <cellStyle name="F8" xfId="1731"/>
    <cellStyle name="Fixed" xfId="1732"/>
    <cellStyle name="Fixed 10" xfId="1733"/>
    <cellStyle name="Fixed 10 2" xfId="8682"/>
    <cellStyle name="Fixed 11" xfId="1734"/>
    <cellStyle name="Fixed 11 2" xfId="8683"/>
    <cellStyle name="Fixed 12" xfId="1735"/>
    <cellStyle name="Fixed 12 2" xfId="8684"/>
    <cellStyle name="Fixed 13" xfId="1736"/>
    <cellStyle name="Fixed 13 2" xfId="8685"/>
    <cellStyle name="Fixed 14" xfId="1737"/>
    <cellStyle name="Fixed 14 2" xfId="8686"/>
    <cellStyle name="Fixed 15" xfId="1738"/>
    <cellStyle name="Fixed 15 2" xfId="8687"/>
    <cellStyle name="Fixed 16" xfId="1739"/>
    <cellStyle name="Fixed 16 2" xfId="8688"/>
    <cellStyle name="Fixed 17" xfId="1740"/>
    <cellStyle name="Fixed 17 2" xfId="8689"/>
    <cellStyle name="Fixed 18" xfId="1741"/>
    <cellStyle name="Fixed 18 2" xfId="8690"/>
    <cellStyle name="Fixed 19" xfId="1742"/>
    <cellStyle name="Fixed 19 2" xfId="8691"/>
    <cellStyle name="Fixed 2" xfId="1743"/>
    <cellStyle name="Fixed 2 2" xfId="8692"/>
    <cellStyle name="Fixed 20" xfId="1744"/>
    <cellStyle name="Fixed 20 2" xfId="8693"/>
    <cellStyle name="Fixed 21" xfId="1745"/>
    <cellStyle name="Fixed 21 2" xfId="8694"/>
    <cellStyle name="Fixed 22" xfId="8681"/>
    <cellStyle name="Fixed 3" xfId="1746"/>
    <cellStyle name="Fixed 3 2" xfId="8695"/>
    <cellStyle name="Fixed 4" xfId="1747"/>
    <cellStyle name="Fixed 4 2" xfId="8696"/>
    <cellStyle name="Fixed 5" xfId="1748"/>
    <cellStyle name="Fixed 5 2" xfId="8697"/>
    <cellStyle name="Fixed 6" xfId="1749"/>
    <cellStyle name="Fixed 6 2" xfId="8698"/>
    <cellStyle name="Fixed 7" xfId="1750"/>
    <cellStyle name="Fixed 7 2" xfId="8699"/>
    <cellStyle name="Fixed 8" xfId="1751"/>
    <cellStyle name="Fixed 8 2" xfId="8700"/>
    <cellStyle name="Fixed 9" xfId="1752"/>
    <cellStyle name="Fixed 9 2" xfId="8701"/>
    <cellStyle name="Footnote" xfId="1753"/>
    <cellStyle name="Footnote 2" xfId="5075"/>
    <cellStyle name="general" xfId="1754"/>
    <cellStyle name="general 2" xfId="5076"/>
    <cellStyle name="Good 2" xfId="1755"/>
    <cellStyle name="Good 2 2" xfId="5077"/>
    <cellStyle name="Good 3" xfId="1756"/>
    <cellStyle name="Good 3 2" xfId="5078"/>
    <cellStyle name="Good 4" xfId="1757"/>
    <cellStyle name="Good 4 2" xfId="5079"/>
    <cellStyle name="Good 5" xfId="1758"/>
    <cellStyle name="Good 5 2" xfId="5080"/>
    <cellStyle name="Good 5 2 2" xfId="9960"/>
    <cellStyle name="Good 5 3" xfId="8702"/>
    <cellStyle name="Good 6" xfId="1759"/>
    <cellStyle name="Good 6 2" xfId="5081"/>
    <cellStyle name="Good 6 2 2" xfId="9961"/>
    <cellStyle name="Good 6 3" xfId="8703"/>
    <cellStyle name="Good 7" xfId="1760"/>
    <cellStyle name="Good 7 2" xfId="5082"/>
    <cellStyle name="Good 7 2 2" xfId="9962"/>
    <cellStyle name="Good 7 3" xfId="8704"/>
    <cellStyle name="Good 8" xfId="1761"/>
    <cellStyle name="Good 8 2" xfId="5083"/>
    <cellStyle name="Good 8 2 2" xfId="9963"/>
    <cellStyle name="Good 8 3" xfId="8705"/>
    <cellStyle name="Good 9" xfId="1762"/>
    <cellStyle name="Good 9 2" xfId="5084"/>
    <cellStyle name="Grey" xfId="1763"/>
    <cellStyle name="Hard Percent" xfId="1764"/>
    <cellStyle name="Hard Percent 10" xfId="1765"/>
    <cellStyle name="Hard Percent 10 2" xfId="8707"/>
    <cellStyle name="Hard Percent 11" xfId="1766"/>
    <cellStyle name="Hard Percent 11 2" xfId="8708"/>
    <cellStyle name="Hard Percent 12" xfId="1767"/>
    <cellStyle name="Hard Percent 12 2" xfId="8709"/>
    <cellStyle name="Hard Percent 13" xfId="1768"/>
    <cellStyle name="Hard Percent 13 2" xfId="8710"/>
    <cellStyle name="Hard Percent 14" xfId="1769"/>
    <cellStyle name="Hard Percent 14 2" xfId="8711"/>
    <cellStyle name="Hard Percent 15" xfId="1770"/>
    <cellStyle name="Hard Percent 15 2" xfId="8712"/>
    <cellStyle name="Hard Percent 16" xfId="1771"/>
    <cellStyle name="Hard Percent 16 2" xfId="8713"/>
    <cellStyle name="Hard Percent 17" xfId="1772"/>
    <cellStyle name="Hard Percent 17 2" xfId="8714"/>
    <cellStyle name="Hard Percent 18" xfId="1773"/>
    <cellStyle name="Hard Percent 18 2" xfId="8715"/>
    <cellStyle name="Hard Percent 19" xfId="1774"/>
    <cellStyle name="Hard Percent 19 2" xfId="8716"/>
    <cellStyle name="Hard Percent 2" xfId="1775"/>
    <cellStyle name="Hard Percent 2 2" xfId="8717"/>
    <cellStyle name="Hard Percent 20" xfId="1776"/>
    <cellStyle name="Hard Percent 20 2" xfId="8718"/>
    <cellStyle name="Hard Percent 21" xfId="1777"/>
    <cellStyle name="Hard Percent 21 2" xfId="8719"/>
    <cellStyle name="Hard Percent 22" xfId="1778"/>
    <cellStyle name="Hard Percent 22 2" xfId="8720"/>
    <cellStyle name="Hard Percent 23" xfId="1779"/>
    <cellStyle name="Hard Percent 23 2" xfId="8721"/>
    <cellStyle name="Hard Percent 24" xfId="1780"/>
    <cellStyle name="Hard Percent 24 2" xfId="8722"/>
    <cellStyle name="Hard Percent 25" xfId="1781"/>
    <cellStyle name="Hard Percent 25 2" xfId="8723"/>
    <cellStyle name="Hard Percent 26" xfId="1782"/>
    <cellStyle name="Hard Percent 26 2" xfId="8724"/>
    <cellStyle name="Hard Percent 27" xfId="8706"/>
    <cellStyle name="Hard Percent 3" xfId="1783"/>
    <cellStyle name="Hard Percent 3 2" xfId="8725"/>
    <cellStyle name="Hard Percent 4" xfId="1784"/>
    <cellStyle name="Hard Percent 4 2" xfId="8726"/>
    <cellStyle name="Hard Percent 5" xfId="1785"/>
    <cellStyle name="Hard Percent 5 2" xfId="8727"/>
    <cellStyle name="Hard Percent 6" xfId="1786"/>
    <cellStyle name="Hard Percent 6 2" xfId="8728"/>
    <cellStyle name="Hard Percent 7" xfId="1787"/>
    <cellStyle name="Hard Percent 7 2" xfId="8729"/>
    <cellStyle name="Hard Percent 8" xfId="1788"/>
    <cellStyle name="Hard Percent 8 2" xfId="8730"/>
    <cellStyle name="Hard Percent 9" xfId="1789"/>
    <cellStyle name="Hard Percent 9 2" xfId="8731"/>
    <cellStyle name="Header" xfId="1790"/>
    <cellStyle name="Header 2" xfId="5085"/>
    <cellStyle name="header1" xfId="1791"/>
    <cellStyle name="Header1 10" xfId="1792"/>
    <cellStyle name="Header1 11" xfId="1793"/>
    <cellStyle name="Header1 12" xfId="1794"/>
    <cellStyle name="Header1 13" xfId="1795"/>
    <cellStyle name="Header1 14" xfId="1796"/>
    <cellStyle name="Header1 15" xfId="1797"/>
    <cellStyle name="Header1 16" xfId="1798"/>
    <cellStyle name="Header1 17" xfId="1799"/>
    <cellStyle name="Header1 18" xfId="1800"/>
    <cellStyle name="Header1 19" xfId="1801"/>
    <cellStyle name="Header1 2" xfId="1802"/>
    <cellStyle name="Header1 20" xfId="1803"/>
    <cellStyle name="Header1 21" xfId="1804"/>
    <cellStyle name="header1 22" xfId="5086"/>
    <cellStyle name="Header1 3" xfId="1805"/>
    <cellStyle name="Header1 4" xfId="1806"/>
    <cellStyle name="Header1 5" xfId="1807"/>
    <cellStyle name="Header1 6" xfId="1808"/>
    <cellStyle name="Header1 7" xfId="1809"/>
    <cellStyle name="Header1 8" xfId="1810"/>
    <cellStyle name="Header1 9" xfId="1811"/>
    <cellStyle name="header2" xfId="1812"/>
    <cellStyle name="Header2 10" xfId="1813"/>
    <cellStyle name="Header2 10 2" xfId="1814"/>
    <cellStyle name="Header2 10 2 2" xfId="7770"/>
    <cellStyle name="Header2 10 2 2 2" xfId="11416"/>
    <cellStyle name="Header2 10 2 3" xfId="10793"/>
    <cellStyle name="Header2 10 2 3 2" xfId="11419"/>
    <cellStyle name="Header2 10 2 4" xfId="7412"/>
    <cellStyle name="Header2 10 2 4 2" xfId="11290"/>
    <cellStyle name="Header2 10 3" xfId="5087"/>
    <cellStyle name="Header2 10 3 2" xfId="7748"/>
    <cellStyle name="Header2 10 3 2 2" xfId="11396"/>
    <cellStyle name="Header2 10 3 3" xfId="10861"/>
    <cellStyle name="Header2 10 3 3 2" xfId="11459"/>
    <cellStyle name="Header2 10 3 4" xfId="7588"/>
    <cellStyle name="Header2 10 3 4 2" xfId="11331"/>
    <cellStyle name="Header2 10 4" xfId="7733"/>
    <cellStyle name="Header2 10 4 2" xfId="11384"/>
    <cellStyle name="Header2 10 5" xfId="10792"/>
    <cellStyle name="Header2 10 5 2" xfId="11418"/>
    <cellStyle name="Header2 10 6" xfId="7411"/>
    <cellStyle name="Header2 10 6 2" xfId="11289"/>
    <cellStyle name="Header2 11" xfId="1815"/>
    <cellStyle name="Header2 11 2" xfId="1816"/>
    <cellStyle name="Header2 11 2 2" xfId="7769"/>
    <cellStyle name="Header2 11 2 2 2" xfId="11415"/>
    <cellStyle name="Header2 11 2 3" xfId="10795"/>
    <cellStyle name="Header2 11 2 3 2" xfId="11421"/>
    <cellStyle name="Header2 11 2 4" xfId="7414"/>
    <cellStyle name="Header2 11 2 4 2" xfId="11292"/>
    <cellStyle name="Header2 11 3" xfId="5088"/>
    <cellStyle name="Header2 11 3 2" xfId="7710"/>
    <cellStyle name="Header2 11 3 2 2" xfId="11363"/>
    <cellStyle name="Header2 11 3 3" xfId="10862"/>
    <cellStyle name="Header2 11 3 3 2" xfId="11460"/>
    <cellStyle name="Header2 11 3 4" xfId="7589"/>
    <cellStyle name="Header2 11 3 4 2" xfId="11332"/>
    <cellStyle name="Header2 11 4" xfId="7732"/>
    <cellStyle name="Header2 11 4 2" xfId="11383"/>
    <cellStyle name="Header2 11 5" xfId="10794"/>
    <cellStyle name="Header2 11 5 2" xfId="11420"/>
    <cellStyle name="Header2 11 6" xfId="7413"/>
    <cellStyle name="Header2 11 6 2" xfId="11291"/>
    <cellStyle name="Header2 12" xfId="1817"/>
    <cellStyle name="Header2 12 2" xfId="1818"/>
    <cellStyle name="Header2 12 2 2" xfId="7768"/>
    <cellStyle name="Header2 12 2 2 2" xfId="11414"/>
    <cellStyle name="Header2 12 2 3" xfId="10797"/>
    <cellStyle name="Header2 12 2 3 2" xfId="11423"/>
    <cellStyle name="Header2 12 2 4" xfId="7416"/>
    <cellStyle name="Header2 12 2 4 2" xfId="11294"/>
    <cellStyle name="Header2 12 3" xfId="5089"/>
    <cellStyle name="Header2 12 3 2" xfId="7747"/>
    <cellStyle name="Header2 12 3 2 2" xfId="11395"/>
    <cellStyle name="Header2 12 3 3" xfId="10863"/>
    <cellStyle name="Header2 12 3 3 2" xfId="11461"/>
    <cellStyle name="Header2 12 3 4" xfId="7590"/>
    <cellStyle name="Header2 12 3 4 2" xfId="11333"/>
    <cellStyle name="Header2 12 4" xfId="7731"/>
    <cellStyle name="Header2 12 4 2" xfId="11382"/>
    <cellStyle name="Header2 12 5" xfId="10796"/>
    <cellStyle name="Header2 12 5 2" xfId="11422"/>
    <cellStyle name="Header2 12 6" xfId="7415"/>
    <cellStyle name="Header2 12 6 2" xfId="11293"/>
    <cellStyle name="Header2 13" xfId="1819"/>
    <cellStyle name="Header2 13 2" xfId="1820"/>
    <cellStyle name="Header2 13 2 2" xfId="7767"/>
    <cellStyle name="Header2 13 2 2 2" xfId="11413"/>
    <cellStyle name="Header2 13 2 3" xfId="10799"/>
    <cellStyle name="Header2 13 2 3 2" xfId="11425"/>
    <cellStyle name="Header2 13 2 4" xfId="7418"/>
    <cellStyle name="Header2 13 2 4 2" xfId="11296"/>
    <cellStyle name="Header2 13 3" xfId="5090"/>
    <cellStyle name="Header2 13 3 2" xfId="7709"/>
    <cellStyle name="Header2 13 3 2 2" xfId="11362"/>
    <cellStyle name="Header2 13 3 3" xfId="10864"/>
    <cellStyle name="Header2 13 3 3 2" xfId="11462"/>
    <cellStyle name="Header2 13 3 4" xfId="7591"/>
    <cellStyle name="Header2 13 3 4 2" xfId="11334"/>
    <cellStyle name="Header2 13 4" xfId="7730"/>
    <cellStyle name="Header2 13 4 2" xfId="11381"/>
    <cellStyle name="Header2 13 5" xfId="10798"/>
    <cellStyle name="Header2 13 5 2" xfId="11424"/>
    <cellStyle name="Header2 13 6" xfId="7417"/>
    <cellStyle name="Header2 13 6 2" xfId="11295"/>
    <cellStyle name="Header2 14" xfId="1821"/>
    <cellStyle name="Header2 14 2" xfId="1822"/>
    <cellStyle name="Header2 14 2 2" xfId="7766"/>
    <cellStyle name="Header2 14 2 2 2" xfId="11412"/>
    <cellStyle name="Header2 14 2 3" xfId="10801"/>
    <cellStyle name="Header2 14 2 3 2" xfId="11427"/>
    <cellStyle name="Header2 14 2 4" xfId="7420"/>
    <cellStyle name="Header2 14 2 4 2" xfId="11298"/>
    <cellStyle name="Header2 14 3" xfId="5091"/>
    <cellStyle name="Header2 14 3 2" xfId="7746"/>
    <cellStyle name="Header2 14 3 2 2" xfId="11394"/>
    <cellStyle name="Header2 14 3 3" xfId="10865"/>
    <cellStyle name="Header2 14 3 3 2" xfId="11463"/>
    <cellStyle name="Header2 14 3 4" xfId="7592"/>
    <cellStyle name="Header2 14 3 4 2" xfId="11335"/>
    <cellStyle name="Header2 14 4" xfId="7729"/>
    <cellStyle name="Header2 14 4 2" xfId="11380"/>
    <cellStyle name="Header2 14 5" xfId="10800"/>
    <cellStyle name="Header2 14 5 2" xfId="11426"/>
    <cellStyle name="Header2 14 6" xfId="7419"/>
    <cellStyle name="Header2 14 6 2" xfId="11297"/>
    <cellStyle name="Header2 15" xfId="1823"/>
    <cellStyle name="Header2 15 2" xfId="1824"/>
    <cellStyle name="Header2 15 2 2" xfId="7765"/>
    <cellStyle name="Header2 15 2 2 2" xfId="11411"/>
    <cellStyle name="Header2 15 2 3" xfId="10803"/>
    <cellStyle name="Header2 15 2 3 2" xfId="11429"/>
    <cellStyle name="Header2 15 2 4" xfId="7422"/>
    <cellStyle name="Header2 15 2 4 2" xfId="11300"/>
    <cellStyle name="Header2 15 3" xfId="5092"/>
    <cellStyle name="Header2 15 3 2" xfId="7708"/>
    <cellStyle name="Header2 15 3 2 2" xfId="11361"/>
    <cellStyle name="Header2 15 3 3" xfId="10866"/>
    <cellStyle name="Header2 15 3 3 2" xfId="11464"/>
    <cellStyle name="Header2 15 3 4" xfId="7593"/>
    <cellStyle name="Header2 15 3 4 2" xfId="11336"/>
    <cellStyle name="Header2 15 4" xfId="7728"/>
    <cellStyle name="Header2 15 4 2" xfId="11379"/>
    <cellStyle name="Header2 15 5" xfId="10802"/>
    <cellStyle name="Header2 15 5 2" xfId="11428"/>
    <cellStyle name="Header2 15 6" xfId="7421"/>
    <cellStyle name="Header2 15 6 2" xfId="11299"/>
    <cellStyle name="Header2 16" xfId="1825"/>
    <cellStyle name="Header2 16 2" xfId="1826"/>
    <cellStyle name="Header2 16 2 2" xfId="7764"/>
    <cellStyle name="Header2 16 2 2 2" xfId="11410"/>
    <cellStyle name="Header2 16 2 3" xfId="10805"/>
    <cellStyle name="Header2 16 2 3 2" xfId="11431"/>
    <cellStyle name="Header2 16 2 4" xfId="7424"/>
    <cellStyle name="Header2 16 2 4 2" xfId="11302"/>
    <cellStyle name="Header2 16 3" xfId="5093"/>
    <cellStyle name="Header2 16 3 2" xfId="7745"/>
    <cellStyle name="Header2 16 3 2 2" xfId="11393"/>
    <cellStyle name="Header2 16 3 3" xfId="10867"/>
    <cellStyle name="Header2 16 3 3 2" xfId="11465"/>
    <cellStyle name="Header2 16 3 4" xfId="7594"/>
    <cellStyle name="Header2 16 3 4 2" xfId="11337"/>
    <cellStyle name="Header2 16 4" xfId="7727"/>
    <cellStyle name="Header2 16 4 2" xfId="11378"/>
    <cellStyle name="Header2 16 5" xfId="10804"/>
    <cellStyle name="Header2 16 5 2" xfId="11430"/>
    <cellStyle name="Header2 16 6" xfId="7423"/>
    <cellStyle name="Header2 16 6 2" xfId="11301"/>
    <cellStyle name="Header2 17" xfId="1827"/>
    <cellStyle name="Header2 17 2" xfId="1828"/>
    <cellStyle name="Header2 17 2 2" xfId="7763"/>
    <cellStyle name="Header2 17 2 2 2" xfId="11409"/>
    <cellStyle name="Header2 17 2 3" xfId="10807"/>
    <cellStyle name="Header2 17 2 3 2" xfId="11433"/>
    <cellStyle name="Header2 17 2 4" xfId="7426"/>
    <cellStyle name="Header2 17 2 4 2" xfId="11304"/>
    <cellStyle name="Header2 17 3" xfId="5094"/>
    <cellStyle name="Header2 17 3 2" xfId="7707"/>
    <cellStyle name="Header2 17 3 2 2" xfId="11360"/>
    <cellStyle name="Header2 17 3 3" xfId="10868"/>
    <cellStyle name="Header2 17 3 3 2" xfId="11466"/>
    <cellStyle name="Header2 17 3 4" xfId="7595"/>
    <cellStyle name="Header2 17 3 4 2" xfId="11338"/>
    <cellStyle name="Header2 17 4" xfId="7726"/>
    <cellStyle name="Header2 17 4 2" xfId="11377"/>
    <cellStyle name="Header2 17 5" xfId="10806"/>
    <cellStyle name="Header2 17 5 2" xfId="11432"/>
    <cellStyle name="Header2 17 6" xfId="7425"/>
    <cellStyle name="Header2 17 6 2" xfId="11303"/>
    <cellStyle name="Header2 18" xfId="1829"/>
    <cellStyle name="Header2 18 2" xfId="1830"/>
    <cellStyle name="Header2 18 2 2" xfId="7762"/>
    <cellStyle name="Header2 18 2 2 2" xfId="11408"/>
    <cellStyle name="Header2 18 2 3" xfId="10809"/>
    <cellStyle name="Header2 18 2 3 2" xfId="11435"/>
    <cellStyle name="Header2 18 2 4" xfId="7428"/>
    <cellStyle name="Header2 18 2 4 2" xfId="11306"/>
    <cellStyle name="Header2 18 3" xfId="5095"/>
    <cellStyle name="Header2 18 3 2" xfId="7744"/>
    <cellStyle name="Header2 18 3 2 2" xfId="11392"/>
    <cellStyle name="Header2 18 3 3" xfId="10869"/>
    <cellStyle name="Header2 18 3 3 2" xfId="11467"/>
    <cellStyle name="Header2 18 3 4" xfId="7596"/>
    <cellStyle name="Header2 18 3 4 2" xfId="11339"/>
    <cellStyle name="Header2 18 4" xfId="7725"/>
    <cellStyle name="Header2 18 4 2" xfId="11376"/>
    <cellStyle name="Header2 18 5" xfId="10808"/>
    <cellStyle name="Header2 18 5 2" xfId="11434"/>
    <cellStyle name="Header2 18 6" xfId="7427"/>
    <cellStyle name="Header2 18 6 2" xfId="11305"/>
    <cellStyle name="Header2 19" xfId="1831"/>
    <cellStyle name="Header2 19 2" xfId="1832"/>
    <cellStyle name="Header2 19 2 2" xfId="7761"/>
    <cellStyle name="Header2 19 2 2 2" xfId="11407"/>
    <cellStyle name="Header2 19 2 3" xfId="10811"/>
    <cellStyle name="Header2 19 2 3 2" xfId="11437"/>
    <cellStyle name="Header2 19 2 4" xfId="7430"/>
    <cellStyle name="Header2 19 2 4 2" xfId="11308"/>
    <cellStyle name="Header2 19 3" xfId="5096"/>
    <cellStyle name="Header2 19 3 2" xfId="7706"/>
    <cellStyle name="Header2 19 3 2 2" xfId="11359"/>
    <cellStyle name="Header2 19 3 3" xfId="10870"/>
    <cellStyle name="Header2 19 3 3 2" xfId="11468"/>
    <cellStyle name="Header2 19 3 4" xfId="7597"/>
    <cellStyle name="Header2 19 3 4 2" xfId="11340"/>
    <cellStyle name="Header2 19 4" xfId="7724"/>
    <cellStyle name="Header2 19 4 2" xfId="11375"/>
    <cellStyle name="Header2 19 5" xfId="10810"/>
    <cellStyle name="Header2 19 5 2" xfId="11436"/>
    <cellStyle name="Header2 19 6" xfId="7429"/>
    <cellStyle name="Header2 19 6 2" xfId="11307"/>
    <cellStyle name="Header2 2" xfId="1833"/>
    <cellStyle name="Header2 2 2" xfId="1834"/>
    <cellStyle name="Header2 2 2 2" xfId="7760"/>
    <cellStyle name="Header2 2 2 2 2" xfId="11406"/>
    <cellStyle name="Header2 2 2 3" xfId="10813"/>
    <cellStyle name="Header2 2 2 3 2" xfId="11439"/>
    <cellStyle name="Header2 2 2 4" xfId="7432"/>
    <cellStyle name="Header2 2 2 4 2" xfId="11310"/>
    <cellStyle name="Header2 2 3" xfId="5097"/>
    <cellStyle name="Header2 2 3 2" xfId="7743"/>
    <cellStyle name="Header2 2 3 2 2" xfId="11391"/>
    <cellStyle name="Header2 2 3 3" xfId="10871"/>
    <cellStyle name="Header2 2 3 3 2" xfId="11469"/>
    <cellStyle name="Header2 2 3 4" xfId="7598"/>
    <cellStyle name="Header2 2 3 4 2" xfId="11341"/>
    <cellStyle name="Header2 2 4" xfId="7723"/>
    <cellStyle name="Header2 2 4 2" xfId="11374"/>
    <cellStyle name="Header2 2 5" xfId="10812"/>
    <cellStyle name="Header2 2 5 2" xfId="11438"/>
    <cellStyle name="Header2 2 6" xfId="7431"/>
    <cellStyle name="Header2 2 6 2" xfId="11309"/>
    <cellStyle name="Header2 20" xfId="1835"/>
    <cellStyle name="Header2 20 2" xfId="1836"/>
    <cellStyle name="Header2 20 2 2" xfId="7759"/>
    <cellStyle name="Header2 20 2 2 2" xfId="11405"/>
    <cellStyle name="Header2 20 2 3" xfId="10815"/>
    <cellStyle name="Header2 20 2 3 2" xfId="11441"/>
    <cellStyle name="Header2 20 2 4" xfId="7434"/>
    <cellStyle name="Header2 20 2 4 2" xfId="11312"/>
    <cellStyle name="Header2 20 3" xfId="5098"/>
    <cellStyle name="Header2 20 3 2" xfId="7705"/>
    <cellStyle name="Header2 20 3 2 2" xfId="11358"/>
    <cellStyle name="Header2 20 3 3" xfId="10872"/>
    <cellStyle name="Header2 20 3 3 2" xfId="11470"/>
    <cellStyle name="Header2 20 3 4" xfId="7599"/>
    <cellStyle name="Header2 20 3 4 2" xfId="11342"/>
    <cellStyle name="Header2 20 4" xfId="7722"/>
    <cellStyle name="Header2 20 4 2" xfId="11373"/>
    <cellStyle name="Header2 20 5" xfId="10814"/>
    <cellStyle name="Header2 20 5 2" xfId="11440"/>
    <cellStyle name="Header2 20 6" xfId="7433"/>
    <cellStyle name="Header2 20 6 2" xfId="11311"/>
    <cellStyle name="Header2 21" xfId="1837"/>
    <cellStyle name="Header2 21 2" xfId="1838"/>
    <cellStyle name="Header2 21 2 2" xfId="7720"/>
    <cellStyle name="Header2 21 2 2 2" xfId="11371"/>
    <cellStyle name="Header2 21 2 3" xfId="10817"/>
    <cellStyle name="Header2 21 2 3 2" xfId="11443"/>
    <cellStyle name="Header2 21 2 4" xfId="7436"/>
    <cellStyle name="Header2 21 2 4 2" xfId="11314"/>
    <cellStyle name="Header2 21 3" xfId="5099"/>
    <cellStyle name="Header2 21 3 2" xfId="7704"/>
    <cellStyle name="Header2 21 3 2 2" xfId="11357"/>
    <cellStyle name="Header2 21 3 3" xfId="10873"/>
    <cellStyle name="Header2 21 3 3 2" xfId="11471"/>
    <cellStyle name="Header2 21 3 4" xfId="7600"/>
    <cellStyle name="Header2 21 3 4 2" xfId="11343"/>
    <cellStyle name="Header2 21 4" xfId="7721"/>
    <cellStyle name="Header2 21 4 2" xfId="11372"/>
    <cellStyle name="Header2 21 5" xfId="10816"/>
    <cellStyle name="Header2 21 5 2" xfId="11442"/>
    <cellStyle name="Header2 21 6" xfId="7435"/>
    <cellStyle name="Header2 21 6 2" xfId="11313"/>
    <cellStyle name="header2 22" xfId="5100"/>
    <cellStyle name="Header2 3" xfId="1839"/>
    <cellStyle name="Header2 3 2" xfId="1840"/>
    <cellStyle name="Header2 3 2 2" xfId="7719"/>
    <cellStyle name="Header2 3 2 2 2" xfId="11370"/>
    <cellStyle name="Header2 3 2 3" xfId="10819"/>
    <cellStyle name="Header2 3 2 3 2" xfId="11445"/>
    <cellStyle name="Header2 3 2 4" xfId="7438"/>
    <cellStyle name="Header2 3 2 4 2" xfId="11316"/>
    <cellStyle name="Header2 3 3" xfId="5101"/>
    <cellStyle name="Header2 3 3 2" xfId="7703"/>
    <cellStyle name="Header2 3 3 2 2" xfId="11356"/>
    <cellStyle name="Header2 3 3 3" xfId="10874"/>
    <cellStyle name="Header2 3 3 3 2" xfId="11472"/>
    <cellStyle name="Header2 3 3 4" xfId="7601"/>
    <cellStyle name="Header2 3 3 4 2" xfId="11344"/>
    <cellStyle name="Header2 3 4" xfId="7758"/>
    <cellStyle name="Header2 3 4 2" xfId="11404"/>
    <cellStyle name="Header2 3 5" xfId="10818"/>
    <cellStyle name="Header2 3 5 2" xfId="11444"/>
    <cellStyle name="Header2 3 6" xfId="7437"/>
    <cellStyle name="Header2 3 6 2" xfId="11315"/>
    <cellStyle name="Header2 4" xfId="1841"/>
    <cellStyle name="Header2 4 2" xfId="1842"/>
    <cellStyle name="Header2 4 2 2" xfId="7718"/>
    <cellStyle name="Header2 4 2 2 2" xfId="11369"/>
    <cellStyle name="Header2 4 2 3" xfId="10821"/>
    <cellStyle name="Header2 4 2 3 2" xfId="11447"/>
    <cellStyle name="Header2 4 2 4" xfId="7440"/>
    <cellStyle name="Header2 4 2 4 2" xfId="11318"/>
    <cellStyle name="Header2 4 3" xfId="5102"/>
    <cellStyle name="Header2 4 3 2" xfId="7702"/>
    <cellStyle name="Header2 4 3 2 2" xfId="11355"/>
    <cellStyle name="Header2 4 3 3" xfId="10875"/>
    <cellStyle name="Header2 4 3 3 2" xfId="11473"/>
    <cellStyle name="Header2 4 3 4" xfId="7602"/>
    <cellStyle name="Header2 4 3 4 2" xfId="11345"/>
    <cellStyle name="Header2 4 4" xfId="7757"/>
    <cellStyle name="Header2 4 4 2" xfId="11403"/>
    <cellStyle name="Header2 4 5" xfId="10820"/>
    <cellStyle name="Header2 4 5 2" xfId="11446"/>
    <cellStyle name="Header2 4 6" xfId="7439"/>
    <cellStyle name="Header2 4 6 2" xfId="11317"/>
    <cellStyle name="Header2 5" xfId="1843"/>
    <cellStyle name="Header2 5 2" xfId="1844"/>
    <cellStyle name="Header2 5 2 2" xfId="7717"/>
    <cellStyle name="Header2 5 2 2 2" xfId="11368"/>
    <cellStyle name="Header2 5 2 3" xfId="10823"/>
    <cellStyle name="Header2 5 2 3 2" xfId="11449"/>
    <cellStyle name="Header2 5 2 4" xfId="7442"/>
    <cellStyle name="Header2 5 2 4 2" xfId="11320"/>
    <cellStyle name="Header2 5 3" xfId="5103"/>
    <cellStyle name="Header2 5 3 2" xfId="7742"/>
    <cellStyle name="Header2 5 3 2 2" xfId="11390"/>
    <cellStyle name="Header2 5 3 3" xfId="10876"/>
    <cellStyle name="Header2 5 3 3 2" xfId="11474"/>
    <cellStyle name="Header2 5 3 4" xfId="7603"/>
    <cellStyle name="Header2 5 3 4 2" xfId="11346"/>
    <cellStyle name="Header2 5 4" xfId="7756"/>
    <cellStyle name="Header2 5 4 2" xfId="11402"/>
    <cellStyle name="Header2 5 5" xfId="10822"/>
    <cellStyle name="Header2 5 5 2" xfId="11448"/>
    <cellStyle name="Header2 5 6" xfId="7441"/>
    <cellStyle name="Header2 5 6 2" xfId="11319"/>
    <cellStyle name="Header2 6" xfId="1845"/>
    <cellStyle name="Header2 6 2" xfId="1846"/>
    <cellStyle name="Header2 6 2 2" xfId="7716"/>
    <cellStyle name="Header2 6 2 2 2" xfId="11367"/>
    <cellStyle name="Header2 6 2 3" xfId="10825"/>
    <cellStyle name="Header2 6 2 3 2" xfId="11451"/>
    <cellStyle name="Header2 6 2 4" xfId="7444"/>
    <cellStyle name="Header2 6 2 4 2" xfId="11322"/>
    <cellStyle name="Header2 6 3" xfId="5104"/>
    <cellStyle name="Header2 6 3 2" xfId="7701"/>
    <cellStyle name="Header2 6 3 2 2" xfId="11354"/>
    <cellStyle name="Header2 6 3 3" xfId="10877"/>
    <cellStyle name="Header2 6 3 3 2" xfId="11475"/>
    <cellStyle name="Header2 6 3 4" xfId="7604"/>
    <cellStyle name="Header2 6 3 4 2" xfId="11347"/>
    <cellStyle name="Header2 6 4" xfId="7755"/>
    <cellStyle name="Header2 6 4 2" xfId="11401"/>
    <cellStyle name="Header2 6 5" xfId="10824"/>
    <cellStyle name="Header2 6 5 2" xfId="11450"/>
    <cellStyle name="Header2 6 6" xfId="7443"/>
    <cellStyle name="Header2 6 6 2" xfId="11321"/>
    <cellStyle name="Header2 7" xfId="1847"/>
    <cellStyle name="Header2 7 2" xfId="1848"/>
    <cellStyle name="Header2 7 2 2" xfId="7715"/>
    <cellStyle name="Header2 7 2 2 2" xfId="11366"/>
    <cellStyle name="Header2 7 2 3" xfId="10827"/>
    <cellStyle name="Header2 7 2 3 2" xfId="11453"/>
    <cellStyle name="Header2 7 2 4" xfId="7446"/>
    <cellStyle name="Header2 7 2 4 2" xfId="11324"/>
    <cellStyle name="Header2 7 3" xfId="5105"/>
    <cellStyle name="Header2 7 3 2" xfId="7700"/>
    <cellStyle name="Header2 7 3 2 2" xfId="11353"/>
    <cellStyle name="Header2 7 3 3" xfId="10878"/>
    <cellStyle name="Header2 7 3 3 2" xfId="11476"/>
    <cellStyle name="Header2 7 3 4" xfId="7605"/>
    <cellStyle name="Header2 7 3 4 2" xfId="11348"/>
    <cellStyle name="Header2 7 4" xfId="7754"/>
    <cellStyle name="Header2 7 4 2" xfId="11400"/>
    <cellStyle name="Header2 7 5" xfId="10826"/>
    <cellStyle name="Header2 7 5 2" xfId="11452"/>
    <cellStyle name="Header2 7 6" xfId="7445"/>
    <cellStyle name="Header2 7 6 2" xfId="11323"/>
    <cellStyle name="Header2 8" xfId="1849"/>
    <cellStyle name="Header2 8 2" xfId="1850"/>
    <cellStyle name="Header2 8 2 2" xfId="7714"/>
    <cellStyle name="Header2 8 2 2 2" xfId="11365"/>
    <cellStyle name="Header2 8 2 3" xfId="10829"/>
    <cellStyle name="Header2 8 2 3 2" xfId="11455"/>
    <cellStyle name="Header2 8 2 4" xfId="7448"/>
    <cellStyle name="Header2 8 2 4 2" xfId="11326"/>
    <cellStyle name="Header2 8 3" xfId="5106"/>
    <cellStyle name="Header2 8 3 2" xfId="7741"/>
    <cellStyle name="Header2 8 3 2 2" xfId="11389"/>
    <cellStyle name="Header2 8 3 3" xfId="10879"/>
    <cellStyle name="Header2 8 3 3 2" xfId="11477"/>
    <cellStyle name="Header2 8 3 4" xfId="7606"/>
    <cellStyle name="Header2 8 3 4 2" xfId="11349"/>
    <cellStyle name="Header2 8 4" xfId="7753"/>
    <cellStyle name="Header2 8 4 2" xfId="11399"/>
    <cellStyle name="Header2 8 5" xfId="10828"/>
    <cellStyle name="Header2 8 5 2" xfId="11454"/>
    <cellStyle name="Header2 8 6" xfId="7447"/>
    <cellStyle name="Header2 8 6 2" xfId="11325"/>
    <cellStyle name="Header2 9" xfId="1851"/>
    <cellStyle name="Header2 9 2" xfId="1852"/>
    <cellStyle name="Header2 9 2 2" xfId="7713"/>
    <cellStyle name="Header2 9 2 2 2" xfId="11364"/>
    <cellStyle name="Header2 9 2 3" xfId="10831"/>
    <cellStyle name="Header2 9 2 3 2" xfId="11457"/>
    <cellStyle name="Header2 9 2 4" xfId="7450"/>
    <cellStyle name="Header2 9 2 4 2" xfId="11328"/>
    <cellStyle name="Header2 9 3" xfId="5107"/>
    <cellStyle name="Header2 9 3 2" xfId="7699"/>
    <cellStyle name="Header2 9 3 2 2" xfId="11352"/>
    <cellStyle name="Header2 9 3 3" xfId="10880"/>
    <cellStyle name="Header2 9 3 3 2" xfId="11478"/>
    <cellStyle name="Header2 9 3 4" xfId="7607"/>
    <cellStyle name="Header2 9 3 4 2" xfId="11350"/>
    <cellStyle name="Header2 9 4" xfId="7752"/>
    <cellStyle name="Header2 9 4 2" xfId="11398"/>
    <cellStyle name="Header2 9 5" xfId="10830"/>
    <cellStyle name="Header2 9 5 2" xfId="11456"/>
    <cellStyle name="Header2 9 6" xfId="7449"/>
    <cellStyle name="Header2 9 6 2" xfId="11327"/>
    <cellStyle name="Heading" xfId="1853"/>
    <cellStyle name="Heading 1 1" xfId="1854"/>
    <cellStyle name="Heading 1 1 2" xfId="5108"/>
    <cellStyle name="Heading 1 10" xfId="1855"/>
    <cellStyle name="Heading 1 10 2" xfId="5109"/>
    <cellStyle name="Heading 1 11" xfId="1856"/>
    <cellStyle name="Heading 1 11 2" xfId="5110"/>
    <cellStyle name="Heading 1 12" xfId="1857"/>
    <cellStyle name="Heading 1 12 2" xfId="5111"/>
    <cellStyle name="Heading 1 13" xfId="1858"/>
    <cellStyle name="Heading 1 13 2" xfId="5112"/>
    <cellStyle name="Heading 1 14" xfId="1859"/>
    <cellStyle name="Heading 1 14 2" xfId="5113"/>
    <cellStyle name="Heading 1 15" xfId="1860"/>
    <cellStyle name="Heading 1 15 2" xfId="5114"/>
    <cellStyle name="Heading 1 16" xfId="1861"/>
    <cellStyle name="Heading 1 16 2" xfId="5115"/>
    <cellStyle name="Heading 1 17" xfId="1862"/>
    <cellStyle name="Heading 1 17 2" xfId="5116"/>
    <cellStyle name="Heading 1 18" xfId="1863"/>
    <cellStyle name="Heading 1 18 2" xfId="5117"/>
    <cellStyle name="Heading 1 19" xfId="1864"/>
    <cellStyle name="Heading 1 19 2" xfId="5118"/>
    <cellStyle name="Heading 1 2" xfId="1865"/>
    <cellStyle name="Heading 1 2 10" xfId="1866"/>
    <cellStyle name="Heading 1 2 10 2" xfId="5119"/>
    <cellStyle name="Heading 1 2 11" xfId="1867"/>
    <cellStyle name="Heading 1 2 11 2" xfId="5120"/>
    <cellStyle name="Heading 1 2 12" xfId="1868"/>
    <cellStyle name="Heading 1 2 12 2" xfId="5121"/>
    <cellStyle name="Heading 1 2 13" xfId="1869"/>
    <cellStyle name="Heading 1 2 13 2" xfId="5122"/>
    <cellStyle name="Heading 1 2 14" xfId="1870"/>
    <cellStyle name="Heading 1 2 14 2" xfId="5123"/>
    <cellStyle name="Heading 1 2 15" xfId="1871"/>
    <cellStyle name="Heading 1 2 15 2" xfId="5124"/>
    <cellStyle name="Heading 1 2 16" xfId="1872"/>
    <cellStyle name="Heading 1 2 16 2" xfId="5125"/>
    <cellStyle name="Heading 1 2 17" xfId="1873"/>
    <cellStyle name="Heading 1 2 17 2" xfId="5126"/>
    <cellStyle name="Heading 1 2 18" xfId="1874"/>
    <cellStyle name="Heading 1 2 18 2" xfId="5127"/>
    <cellStyle name="Heading 1 2 19" xfId="1875"/>
    <cellStyle name="Heading 1 2 19 2" xfId="5128"/>
    <cellStyle name="Heading 1 2 2" xfId="1876"/>
    <cellStyle name="Heading 1 2 2 2" xfId="5129"/>
    <cellStyle name="Heading 1 2 20" xfId="1877"/>
    <cellStyle name="Heading 1 2 20 2" xfId="5130"/>
    <cellStyle name="Heading 1 2 21" xfId="1878"/>
    <cellStyle name="Heading 1 2 21 2" xfId="5131"/>
    <cellStyle name="Heading 1 2 22" xfId="5132"/>
    <cellStyle name="Heading 1 2 3" xfId="1879"/>
    <cellStyle name="Heading 1 2 3 2" xfId="5133"/>
    <cellStyle name="Heading 1 2 4" xfId="1880"/>
    <cellStyle name="Heading 1 2 4 2" xfId="5134"/>
    <cellStyle name="Heading 1 2 5" xfId="1881"/>
    <cellStyle name="Heading 1 2 5 2" xfId="5135"/>
    <cellStyle name="Heading 1 2 6" xfId="1882"/>
    <cellStyle name="Heading 1 2 6 2" xfId="5136"/>
    <cellStyle name="Heading 1 2 7" xfId="1883"/>
    <cellStyle name="Heading 1 2 7 2" xfId="5137"/>
    <cellStyle name="Heading 1 2 8" xfId="1884"/>
    <cellStyle name="Heading 1 2 8 2" xfId="5138"/>
    <cellStyle name="Heading 1 2 9" xfId="1885"/>
    <cellStyle name="Heading 1 2 9 2" xfId="5139"/>
    <cellStyle name="Heading 1 20" xfId="1886"/>
    <cellStyle name="Heading 1 20 2" xfId="5140"/>
    <cellStyle name="Heading 1 21" xfId="1887"/>
    <cellStyle name="Heading 1 21 2" xfId="5141"/>
    <cellStyle name="Heading 1 22" xfId="1888"/>
    <cellStyle name="Heading 1 22 2" xfId="5142"/>
    <cellStyle name="Heading 1 23" xfId="1889"/>
    <cellStyle name="Heading 1 23 2" xfId="5143"/>
    <cellStyle name="Heading 1 24" xfId="1890"/>
    <cellStyle name="Heading 1 24 2" xfId="5144"/>
    <cellStyle name="Heading 1 25" xfId="1891"/>
    <cellStyle name="Heading 1 25 2" xfId="5145"/>
    <cellStyle name="Heading 1 26" xfId="1892"/>
    <cellStyle name="Heading 1 26 2" xfId="5146"/>
    <cellStyle name="Heading 1 27" xfId="1893"/>
    <cellStyle name="Heading 1 27 2" xfId="5147"/>
    <cellStyle name="Heading 1 28" xfId="1894"/>
    <cellStyle name="Heading 1 28 2" xfId="5148"/>
    <cellStyle name="Heading 1 29" xfId="1895"/>
    <cellStyle name="Heading 1 29 2" xfId="5149"/>
    <cellStyle name="Heading 1 3" xfId="1896"/>
    <cellStyle name="Heading 1 3 10" xfId="1897"/>
    <cellStyle name="Heading 1 3 10 2" xfId="5150"/>
    <cellStyle name="Heading 1 3 11" xfId="1898"/>
    <cellStyle name="Heading 1 3 11 2" xfId="5151"/>
    <cellStyle name="Heading 1 3 12" xfId="1899"/>
    <cellStyle name="Heading 1 3 12 2" xfId="5152"/>
    <cellStyle name="Heading 1 3 13" xfId="1900"/>
    <cellStyle name="Heading 1 3 13 2" xfId="5153"/>
    <cellStyle name="Heading 1 3 14" xfId="1901"/>
    <cellStyle name="Heading 1 3 14 2" xfId="5154"/>
    <cellStyle name="Heading 1 3 15" xfId="1902"/>
    <cellStyle name="Heading 1 3 15 2" xfId="5155"/>
    <cellStyle name="Heading 1 3 16" xfId="1903"/>
    <cellStyle name="Heading 1 3 16 2" xfId="5156"/>
    <cellStyle name="Heading 1 3 17" xfId="1904"/>
    <cellStyle name="Heading 1 3 17 2" xfId="5157"/>
    <cellStyle name="Heading 1 3 18" xfId="1905"/>
    <cellStyle name="Heading 1 3 18 2" xfId="5158"/>
    <cellStyle name="Heading 1 3 19" xfId="1906"/>
    <cellStyle name="Heading 1 3 19 2" xfId="5159"/>
    <cellStyle name="Heading 1 3 2" xfId="1907"/>
    <cellStyle name="Heading 1 3 2 2" xfId="5160"/>
    <cellStyle name="Heading 1 3 20" xfId="1908"/>
    <cellStyle name="Heading 1 3 20 2" xfId="5161"/>
    <cellStyle name="Heading 1 3 21" xfId="1909"/>
    <cellStyle name="Heading 1 3 21 2" xfId="5162"/>
    <cellStyle name="Heading 1 3 22" xfId="5163"/>
    <cellStyle name="Heading 1 3 3" xfId="1910"/>
    <cellStyle name="Heading 1 3 3 2" xfId="5164"/>
    <cellStyle name="Heading 1 3 4" xfId="1911"/>
    <cellStyle name="Heading 1 3 4 2" xfId="5165"/>
    <cellStyle name="Heading 1 3 5" xfId="1912"/>
    <cellStyle name="Heading 1 3 5 2" xfId="5166"/>
    <cellStyle name="Heading 1 3 6" xfId="1913"/>
    <cellStyle name="Heading 1 3 6 2" xfId="5167"/>
    <cellStyle name="Heading 1 3 7" xfId="1914"/>
    <cellStyle name="Heading 1 3 7 2" xfId="5168"/>
    <cellStyle name="Heading 1 3 8" xfId="1915"/>
    <cellStyle name="Heading 1 3 8 2" xfId="5169"/>
    <cellStyle name="Heading 1 3 9" xfId="1916"/>
    <cellStyle name="Heading 1 3 9 2" xfId="5170"/>
    <cellStyle name="Heading 1 30" xfId="1917"/>
    <cellStyle name="Heading 1 30 2" xfId="5171"/>
    <cellStyle name="Heading 1 31" xfId="1918"/>
    <cellStyle name="Heading 1 31 2" xfId="5172"/>
    <cellStyle name="Heading 1 32" xfId="1919"/>
    <cellStyle name="Heading 1 32 2" xfId="5173"/>
    <cellStyle name="Heading 1 33" xfId="1920"/>
    <cellStyle name="Heading 1 33 2" xfId="5174"/>
    <cellStyle name="Heading 1 34" xfId="1921"/>
    <cellStyle name="Heading 1 34 2" xfId="5175"/>
    <cellStyle name="Heading 1 35" xfId="1922"/>
    <cellStyle name="Heading 1 35 2" xfId="5176"/>
    <cellStyle name="Heading 1 36" xfId="1923"/>
    <cellStyle name="Heading 1 36 2" xfId="5177"/>
    <cellStyle name="Heading 1 37" xfId="1924"/>
    <cellStyle name="Heading 1 37 2" xfId="5178"/>
    <cellStyle name="Heading 1 4" xfId="1925"/>
    <cellStyle name="Heading 1 4 10" xfId="1926"/>
    <cellStyle name="Heading 1 4 10 2" xfId="5179"/>
    <cellStyle name="Heading 1 4 11" xfId="1927"/>
    <cellStyle name="Heading 1 4 11 2" xfId="5180"/>
    <cellStyle name="Heading 1 4 12" xfId="1928"/>
    <cellStyle name="Heading 1 4 12 2" xfId="5181"/>
    <cellStyle name="Heading 1 4 13" xfId="1929"/>
    <cellStyle name="Heading 1 4 13 2" xfId="5182"/>
    <cellStyle name="Heading 1 4 14" xfId="1930"/>
    <cellStyle name="Heading 1 4 14 2" xfId="5183"/>
    <cellStyle name="Heading 1 4 15" xfId="1931"/>
    <cellStyle name="Heading 1 4 15 2" xfId="5184"/>
    <cellStyle name="Heading 1 4 16" xfId="1932"/>
    <cellStyle name="Heading 1 4 16 2" xfId="5185"/>
    <cellStyle name="Heading 1 4 17" xfId="1933"/>
    <cellStyle name="Heading 1 4 17 2" xfId="5186"/>
    <cellStyle name="Heading 1 4 18" xfId="1934"/>
    <cellStyle name="Heading 1 4 18 2" xfId="5187"/>
    <cellStyle name="Heading 1 4 19" xfId="1935"/>
    <cellStyle name="Heading 1 4 19 2" xfId="5188"/>
    <cellStyle name="Heading 1 4 2" xfId="1936"/>
    <cellStyle name="Heading 1 4 2 2" xfId="5189"/>
    <cellStyle name="Heading 1 4 20" xfId="1937"/>
    <cellStyle name="Heading 1 4 20 2" xfId="5190"/>
    <cellStyle name="Heading 1 4 21" xfId="1938"/>
    <cellStyle name="Heading 1 4 21 2" xfId="5191"/>
    <cellStyle name="Heading 1 4 22" xfId="5192"/>
    <cellStyle name="Heading 1 4 3" xfId="1939"/>
    <cellStyle name="Heading 1 4 3 2" xfId="5193"/>
    <cellStyle name="Heading 1 4 4" xfId="1940"/>
    <cellStyle name="Heading 1 4 4 2" xfId="5194"/>
    <cellStyle name="Heading 1 4 5" xfId="1941"/>
    <cellStyle name="Heading 1 4 5 2" xfId="5195"/>
    <cellStyle name="Heading 1 4 6" xfId="1942"/>
    <cellStyle name="Heading 1 4 6 2" xfId="5196"/>
    <cellStyle name="Heading 1 4 7" xfId="1943"/>
    <cellStyle name="Heading 1 4 7 2" xfId="5197"/>
    <cellStyle name="Heading 1 4 8" xfId="1944"/>
    <cellStyle name="Heading 1 4 8 2" xfId="5198"/>
    <cellStyle name="Heading 1 4 9" xfId="1945"/>
    <cellStyle name="Heading 1 4 9 2" xfId="5199"/>
    <cellStyle name="Heading 1 5" xfId="1946"/>
    <cellStyle name="Heading 1 5 10" xfId="1947"/>
    <cellStyle name="Heading 1 5 10 2" xfId="5200"/>
    <cellStyle name="Heading 1 5 10 2 2" xfId="9964"/>
    <cellStyle name="Heading 1 5 10 3" xfId="8732"/>
    <cellStyle name="Heading 1 5 11" xfId="1948"/>
    <cellStyle name="Heading 1 5 11 2" xfId="5201"/>
    <cellStyle name="Heading 1 5 11 2 2" xfId="9965"/>
    <cellStyle name="Heading 1 5 11 3" xfId="8733"/>
    <cellStyle name="Heading 1 5 12" xfId="1949"/>
    <cellStyle name="Heading 1 5 12 2" xfId="5202"/>
    <cellStyle name="Heading 1 5 12 2 2" xfId="9966"/>
    <cellStyle name="Heading 1 5 12 3" xfId="8734"/>
    <cellStyle name="Heading 1 5 13" xfId="1950"/>
    <cellStyle name="Heading 1 5 13 2" xfId="5203"/>
    <cellStyle name="Heading 1 5 13 2 2" xfId="9967"/>
    <cellStyle name="Heading 1 5 13 3" xfId="8735"/>
    <cellStyle name="Heading 1 5 14" xfId="1951"/>
    <cellStyle name="Heading 1 5 14 2" xfId="5204"/>
    <cellStyle name="Heading 1 5 14 2 2" xfId="9968"/>
    <cellStyle name="Heading 1 5 14 3" xfId="8736"/>
    <cellStyle name="Heading 1 5 15" xfId="1952"/>
    <cellStyle name="Heading 1 5 15 2" xfId="5205"/>
    <cellStyle name="Heading 1 5 15 2 2" xfId="9969"/>
    <cellStyle name="Heading 1 5 15 3" xfId="8737"/>
    <cellStyle name="Heading 1 5 16" xfId="1953"/>
    <cellStyle name="Heading 1 5 16 2" xfId="5206"/>
    <cellStyle name="Heading 1 5 16 2 2" xfId="9970"/>
    <cellStyle name="Heading 1 5 16 3" xfId="8738"/>
    <cellStyle name="Heading 1 5 17" xfId="1954"/>
    <cellStyle name="Heading 1 5 17 2" xfId="5207"/>
    <cellStyle name="Heading 1 5 17 2 2" xfId="9971"/>
    <cellStyle name="Heading 1 5 17 3" xfId="8739"/>
    <cellStyle name="Heading 1 5 18" xfId="1955"/>
    <cellStyle name="Heading 1 5 18 2" xfId="5208"/>
    <cellStyle name="Heading 1 5 18 2 2" xfId="9972"/>
    <cellStyle name="Heading 1 5 18 3" xfId="8740"/>
    <cellStyle name="Heading 1 5 19" xfId="1956"/>
    <cellStyle name="Heading 1 5 19 2" xfId="5209"/>
    <cellStyle name="Heading 1 5 19 2 2" xfId="9973"/>
    <cellStyle name="Heading 1 5 19 3" xfId="8741"/>
    <cellStyle name="Heading 1 5 2" xfId="1957"/>
    <cellStyle name="Heading 1 5 2 2" xfId="5210"/>
    <cellStyle name="Heading 1 5 2 2 2" xfId="9974"/>
    <cellStyle name="Heading 1 5 2 3" xfId="8742"/>
    <cellStyle name="Heading 1 5 20" xfId="1958"/>
    <cellStyle name="Heading 1 5 20 2" xfId="5211"/>
    <cellStyle name="Heading 1 5 20 2 2" xfId="9975"/>
    <cellStyle name="Heading 1 5 20 3" xfId="8743"/>
    <cellStyle name="Heading 1 5 21" xfId="1959"/>
    <cellStyle name="Heading 1 5 21 2" xfId="5212"/>
    <cellStyle name="Heading 1 5 21 2 2" xfId="9976"/>
    <cellStyle name="Heading 1 5 21 3" xfId="8744"/>
    <cellStyle name="Heading 1 5 22" xfId="5213"/>
    <cellStyle name="Heading 1 5 3" xfId="1960"/>
    <cellStyle name="Heading 1 5 3 2" xfId="5214"/>
    <cellStyle name="Heading 1 5 3 2 2" xfId="9977"/>
    <cellStyle name="Heading 1 5 3 3" xfId="8745"/>
    <cellStyle name="Heading 1 5 4" xfId="1961"/>
    <cellStyle name="Heading 1 5 4 2" xfId="5215"/>
    <cellStyle name="Heading 1 5 4 2 2" xfId="9978"/>
    <cellStyle name="Heading 1 5 4 3" xfId="8746"/>
    <cellStyle name="Heading 1 5 5" xfId="1962"/>
    <cellStyle name="Heading 1 5 5 2" xfId="5216"/>
    <cellStyle name="Heading 1 5 5 2 2" xfId="9979"/>
    <cellStyle name="Heading 1 5 5 3" xfId="8747"/>
    <cellStyle name="Heading 1 5 6" xfId="1963"/>
    <cellStyle name="Heading 1 5 6 2" xfId="5217"/>
    <cellStyle name="Heading 1 5 6 2 2" xfId="9980"/>
    <cellStyle name="Heading 1 5 6 3" xfId="8748"/>
    <cellStyle name="Heading 1 5 7" xfId="1964"/>
    <cellStyle name="Heading 1 5 7 2" xfId="5218"/>
    <cellStyle name="Heading 1 5 7 2 2" xfId="9981"/>
    <cellStyle name="Heading 1 5 7 3" xfId="8749"/>
    <cellStyle name="Heading 1 5 8" xfId="1965"/>
    <cellStyle name="Heading 1 5 8 2" xfId="5219"/>
    <cellStyle name="Heading 1 5 8 2 2" xfId="9982"/>
    <cellStyle name="Heading 1 5 8 3" xfId="8750"/>
    <cellStyle name="Heading 1 5 9" xfId="1966"/>
    <cellStyle name="Heading 1 5 9 2" xfId="5220"/>
    <cellStyle name="Heading 1 5 9 2 2" xfId="9983"/>
    <cellStyle name="Heading 1 5 9 3" xfId="8751"/>
    <cellStyle name="Heading 1 6" xfId="1967"/>
    <cellStyle name="Heading 1 6 10" xfId="1968"/>
    <cellStyle name="Heading 1 6 10 2" xfId="5221"/>
    <cellStyle name="Heading 1 6 10 2 2" xfId="9984"/>
    <cellStyle name="Heading 1 6 10 3" xfId="8752"/>
    <cellStyle name="Heading 1 6 11" xfId="1969"/>
    <cellStyle name="Heading 1 6 11 2" xfId="5222"/>
    <cellStyle name="Heading 1 6 11 2 2" xfId="9985"/>
    <cellStyle name="Heading 1 6 11 3" xfId="8753"/>
    <cellStyle name="Heading 1 6 12" xfId="1970"/>
    <cellStyle name="Heading 1 6 12 2" xfId="5223"/>
    <cellStyle name="Heading 1 6 12 2 2" xfId="9986"/>
    <cellStyle name="Heading 1 6 12 3" xfId="8754"/>
    <cellStyle name="Heading 1 6 13" xfId="1971"/>
    <cellStyle name="Heading 1 6 13 2" xfId="5224"/>
    <cellStyle name="Heading 1 6 13 2 2" xfId="9987"/>
    <cellStyle name="Heading 1 6 13 3" xfId="8755"/>
    <cellStyle name="Heading 1 6 14" xfId="1972"/>
    <cellStyle name="Heading 1 6 14 2" xfId="5225"/>
    <cellStyle name="Heading 1 6 14 2 2" xfId="9988"/>
    <cellStyle name="Heading 1 6 14 3" xfId="8756"/>
    <cellStyle name="Heading 1 6 15" xfId="1973"/>
    <cellStyle name="Heading 1 6 15 2" xfId="5226"/>
    <cellStyle name="Heading 1 6 15 2 2" xfId="9989"/>
    <cellStyle name="Heading 1 6 15 3" xfId="8757"/>
    <cellStyle name="Heading 1 6 16" xfId="1974"/>
    <cellStyle name="Heading 1 6 16 2" xfId="5227"/>
    <cellStyle name="Heading 1 6 16 2 2" xfId="9990"/>
    <cellStyle name="Heading 1 6 16 3" xfId="8758"/>
    <cellStyle name="Heading 1 6 17" xfId="1975"/>
    <cellStyle name="Heading 1 6 17 2" xfId="5228"/>
    <cellStyle name="Heading 1 6 17 2 2" xfId="9991"/>
    <cellStyle name="Heading 1 6 17 3" xfId="8759"/>
    <cellStyle name="Heading 1 6 18" xfId="1976"/>
    <cellStyle name="Heading 1 6 18 2" xfId="5229"/>
    <cellStyle name="Heading 1 6 18 2 2" xfId="9992"/>
    <cellStyle name="Heading 1 6 18 3" xfId="8760"/>
    <cellStyle name="Heading 1 6 19" xfId="1977"/>
    <cellStyle name="Heading 1 6 19 2" xfId="5230"/>
    <cellStyle name="Heading 1 6 19 2 2" xfId="9993"/>
    <cellStyle name="Heading 1 6 19 3" xfId="8761"/>
    <cellStyle name="Heading 1 6 2" xfId="1978"/>
    <cellStyle name="Heading 1 6 2 2" xfId="5231"/>
    <cellStyle name="Heading 1 6 2 2 2" xfId="9994"/>
    <cellStyle name="Heading 1 6 2 3" xfId="8762"/>
    <cellStyle name="Heading 1 6 20" xfId="1979"/>
    <cellStyle name="Heading 1 6 20 2" xfId="5232"/>
    <cellStyle name="Heading 1 6 20 2 2" xfId="9995"/>
    <cellStyle name="Heading 1 6 20 3" xfId="8763"/>
    <cellStyle name="Heading 1 6 21" xfId="1980"/>
    <cellStyle name="Heading 1 6 21 2" xfId="5233"/>
    <cellStyle name="Heading 1 6 21 2 2" xfId="9996"/>
    <cellStyle name="Heading 1 6 21 3" xfId="8764"/>
    <cellStyle name="Heading 1 6 22" xfId="5234"/>
    <cellStyle name="Heading 1 6 3" xfId="1981"/>
    <cellStyle name="Heading 1 6 3 2" xfId="5235"/>
    <cellStyle name="Heading 1 6 3 2 2" xfId="9997"/>
    <cellStyle name="Heading 1 6 3 3" xfId="8765"/>
    <cellStyle name="Heading 1 6 4" xfId="1982"/>
    <cellStyle name="Heading 1 6 4 2" xfId="5236"/>
    <cellStyle name="Heading 1 6 4 2 2" xfId="9998"/>
    <cellStyle name="Heading 1 6 4 3" xfId="8766"/>
    <cellStyle name="Heading 1 6 5" xfId="1983"/>
    <cellStyle name="Heading 1 6 5 2" xfId="5237"/>
    <cellStyle name="Heading 1 6 5 2 2" xfId="9999"/>
    <cellStyle name="Heading 1 6 5 3" xfId="8767"/>
    <cellStyle name="Heading 1 6 6" xfId="1984"/>
    <cellStyle name="Heading 1 6 6 2" xfId="5238"/>
    <cellStyle name="Heading 1 6 6 2 2" xfId="10000"/>
    <cellStyle name="Heading 1 6 6 3" xfId="8768"/>
    <cellStyle name="Heading 1 6 7" xfId="1985"/>
    <cellStyle name="Heading 1 6 7 2" xfId="5239"/>
    <cellStyle name="Heading 1 6 7 2 2" xfId="10001"/>
    <cellStyle name="Heading 1 6 7 3" xfId="8769"/>
    <cellStyle name="Heading 1 6 8" xfId="1986"/>
    <cellStyle name="Heading 1 6 8 2" xfId="5240"/>
    <cellStyle name="Heading 1 6 8 2 2" xfId="10002"/>
    <cellStyle name="Heading 1 6 8 3" xfId="8770"/>
    <cellStyle name="Heading 1 6 9" xfId="1987"/>
    <cellStyle name="Heading 1 6 9 2" xfId="5241"/>
    <cellStyle name="Heading 1 6 9 2 2" xfId="10003"/>
    <cellStyle name="Heading 1 6 9 3" xfId="8771"/>
    <cellStyle name="Heading 1 7" xfId="1988"/>
    <cellStyle name="Heading 1 7 10" xfId="1989"/>
    <cellStyle name="Heading 1 7 10 2" xfId="5242"/>
    <cellStyle name="Heading 1 7 10 2 2" xfId="10004"/>
    <cellStyle name="Heading 1 7 10 3" xfId="8772"/>
    <cellStyle name="Heading 1 7 11" xfId="1990"/>
    <cellStyle name="Heading 1 7 11 2" xfId="5243"/>
    <cellStyle name="Heading 1 7 11 2 2" xfId="10005"/>
    <cellStyle name="Heading 1 7 11 3" xfId="8773"/>
    <cellStyle name="Heading 1 7 12" xfId="1991"/>
    <cellStyle name="Heading 1 7 12 2" xfId="5244"/>
    <cellStyle name="Heading 1 7 12 2 2" xfId="10006"/>
    <cellStyle name="Heading 1 7 12 3" xfId="8774"/>
    <cellStyle name="Heading 1 7 13" xfId="1992"/>
    <cellStyle name="Heading 1 7 13 2" xfId="5245"/>
    <cellStyle name="Heading 1 7 13 2 2" xfId="10007"/>
    <cellStyle name="Heading 1 7 13 3" xfId="8775"/>
    <cellStyle name="Heading 1 7 14" xfId="1993"/>
    <cellStyle name="Heading 1 7 14 2" xfId="5246"/>
    <cellStyle name="Heading 1 7 14 2 2" xfId="10008"/>
    <cellStyle name="Heading 1 7 14 3" xfId="8776"/>
    <cellStyle name="Heading 1 7 15" xfId="1994"/>
    <cellStyle name="Heading 1 7 15 2" xfId="5247"/>
    <cellStyle name="Heading 1 7 15 2 2" xfId="10009"/>
    <cellStyle name="Heading 1 7 15 3" xfId="8777"/>
    <cellStyle name="Heading 1 7 16" xfId="1995"/>
    <cellStyle name="Heading 1 7 16 2" xfId="5248"/>
    <cellStyle name="Heading 1 7 16 2 2" xfId="10010"/>
    <cellStyle name="Heading 1 7 16 3" xfId="8778"/>
    <cellStyle name="Heading 1 7 17" xfId="1996"/>
    <cellStyle name="Heading 1 7 17 2" xfId="5249"/>
    <cellStyle name="Heading 1 7 17 2 2" xfId="10011"/>
    <cellStyle name="Heading 1 7 17 3" xfId="8779"/>
    <cellStyle name="Heading 1 7 18" xfId="1997"/>
    <cellStyle name="Heading 1 7 18 2" xfId="5250"/>
    <cellStyle name="Heading 1 7 18 2 2" xfId="10012"/>
    <cellStyle name="Heading 1 7 18 3" xfId="8780"/>
    <cellStyle name="Heading 1 7 19" xfId="1998"/>
    <cellStyle name="Heading 1 7 19 2" xfId="5251"/>
    <cellStyle name="Heading 1 7 19 2 2" xfId="10013"/>
    <cellStyle name="Heading 1 7 19 3" xfId="8781"/>
    <cellStyle name="Heading 1 7 2" xfId="1999"/>
    <cellStyle name="Heading 1 7 2 2" xfId="5252"/>
    <cellStyle name="Heading 1 7 2 2 2" xfId="10014"/>
    <cellStyle name="Heading 1 7 2 3" xfId="8782"/>
    <cellStyle name="Heading 1 7 20" xfId="2000"/>
    <cellStyle name="Heading 1 7 20 2" xfId="5253"/>
    <cellStyle name="Heading 1 7 20 2 2" xfId="10015"/>
    <cellStyle name="Heading 1 7 20 3" xfId="8783"/>
    <cellStyle name="Heading 1 7 21" xfId="2001"/>
    <cellStyle name="Heading 1 7 21 2" xfId="5254"/>
    <cellStyle name="Heading 1 7 21 2 2" xfId="10016"/>
    <cellStyle name="Heading 1 7 21 3" xfId="8784"/>
    <cellStyle name="Heading 1 7 22" xfId="5255"/>
    <cellStyle name="Heading 1 7 3" xfId="2002"/>
    <cellStyle name="Heading 1 7 3 2" xfId="5256"/>
    <cellStyle name="Heading 1 7 3 2 2" xfId="10017"/>
    <cellStyle name="Heading 1 7 3 3" xfId="8785"/>
    <cellStyle name="Heading 1 7 4" xfId="2003"/>
    <cellStyle name="Heading 1 7 4 2" xfId="5257"/>
    <cellStyle name="Heading 1 7 4 2 2" xfId="10018"/>
    <cellStyle name="Heading 1 7 4 3" xfId="8786"/>
    <cellStyle name="Heading 1 7 5" xfId="2004"/>
    <cellStyle name="Heading 1 7 5 2" xfId="5258"/>
    <cellStyle name="Heading 1 7 5 2 2" xfId="10019"/>
    <cellStyle name="Heading 1 7 5 3" xfId="8787"/>
    <cellStyle name="Heading 1 7 6" xfId="2005"/>
    <cellStyle name="Heading 1 7 6 2" xfId="5259"/>
    <cellStyle name="Heading 1 7 6 2 2" xfId="10020"/>
    <cellStyle name="Heading 1 7 6 3" xfId="8788"/>
    <cellStyle name="Heading 1 7 7" xfId="2006"/>
    <cellStyle name="Heading 1 7 7 2" xfId="5260"/>
    <cellStyle name="Heading 1 7 7 2 2" xfId="10021"/>
    <cellStyle name="Heading 1 7 7 3" xfId="8789"/>
    <cellStyle name="Heading 1 7 8" xfId="2007"/>
    <cellStyle name="Heading 1 7 8 2" xfId="5261"/>
    <cellStyle name="Heading 1 7 8 2 2" xfId="10022"/>
    <cellStyle name="Heading 1 7 8 3" xfId="8790"/>
    <cellStyle name="Heading 1 7 9" xfId="2008"/>
    <cellStyle name="Heading 1 7 9 2" xfId="5262"/>
    <cellStyle name="Heading 1 7 9 2 2" xfId="10023"/>
    <cellStyle name="Heading 1 7 9 3" xfId="8791"/>
    <cellStyle name="Heading 1 8" xfId="2009"/>
    <cellStyle name="Heading 1 8 10" xfId="2010"/>
    <cellStyle name="Heading 1 8 10 2" xfId="5263"/>
    <cellStyle name="Heading 1 8 10 2 2" xfId="10024"/>
    <cellStyle name="Heading 1 8 10 3" xfId="8792"/>
    <cellStyle name="Heading 1 8 11" xfId="2011"/>
    <cellStyle name="Heading 1 8 11 2" xfId="5264"/>
    <cellStyle name="Heading 1 8 11 2 2" xfId="10025"/>
    <cellStyle name="Heading 1 8 11 3" xfId="8793"/>
    <cellStyle name="Heading 1 8 12" xfId="2012"/>
    <cellStyle name="Heading 1 8 12 2" xfId="5265"/>
    <cellStyle name="Heading 1 8 12 2 2" xfId="10026"/>
    <cellStyle name="Heading 1 8 12 3" xfId="8794"/>
    <cellStyle name="Heading 1 8 13" xfId="2013"/>
    <cellStyle name="Heading 1 8 13 2" xfId="5266"/>
    <cellStyle name="Heading 1 8 13 2 2" xfId="10027"/>
    <cellStyle name="Heading 1 8 13 3" xfId="8795"/>
    <cellStyle name="Heading 1 8 14" xfId="2014"/>
    <cellStyle name="Heading 1 8 14 2" xfId="5267"/>
    <cellStyle name="Heading 1 8 14 2 2" xfId="10028"/>
    <cellStyle name="Heading 1 8 14 3" xfId="8796"/>
    <cellStyle name="Heading 1 8 15" xfId="2015"/>
    <cellStyle name="Heading 1 8 15 2" xfId="5268"/>
    <cellStyle name="Heading 1 8 15 2 2" xfId="10029"/>
    <cellStyle name="Heading 1 8 15 3" xfId="8797"/>
    <cellStyle name="Heading 1 8 16" xfId="2016"/>
    <cellStyle name="Heading 1 8 16 2" xfId="5269"/>
    <cellStyle name="Heading 1 8 16 2 2" xfId="10030"/>
    <cellStyle name="Heading 1 8 16 3" xfId="8798"/>
    <cellStyle name="Heading 1 8 17" xfId="2017"/>
    <cellStyle name="Heading 1 8 17 2" xfId="5270"/>
    <cellStyle name="Heading 1 8 17 2 2" xfId="10031"/>
    <cellStyle name="Heading 1 8 17 3" xfId="8799"/>
    <cellStyle name="Heading 1 8 18" xfId="2018"/>
    <cellStyle name="Heading 1 8 18 2" xfId="5271"/>
    <cellStyle name="Heading 1 8 18 2 2" xfId="10032"/>
    <cellStyle name="Heading 1 8 18 3" xfId="8800"/>
    <cellStyle name="Heading 1 8 19" xfId="2019"/>
    <cellStyle name="Heading 1 8 19 2" xfId="5272"/>
    <cellStyle name="Heading 1 8 19 2 2" xfId="10033"/>
    <cellStyle name="Heading 1 8 19 3" xfId="8801"/>
    <cellStyle name="Heading 1 8 2" xfId="2020"/>
    <cellStyle name="Heading 1 8 2 2" xfId="5273"/>
    <cellStyle name="Heading 1 8 2 2 2" xfId="10034"/>
    <cellStyle name="Heading 1 8 2 3" xfId="8802"/>
    <cellStyle name="Heading 1 8 20" xfId="2021"/>
    <cellStyle name="Heading 1 8 20 2" xfId="5274"/>
    <cellStyle name="Heading 1 8 20 2 2" xfId="10035"/>
    <cellStyle name="Heading 1 8 20 3" xfId="8803"/>
    <cellStyle name="Heading 1 8 21" xfId="2022"/>
    <cellStyle name="Heading 1 8 21 2" xfId="5275"/>
    <cellStyle name="Heading 1 8 21 2 2" xfId="10036"/>
    <cellStyle name="Heading 1 8 21 3" xfId="8804"/>
    <cellStyle name="Heading 1 8 22" xfId="5276"/>
    <cellStyle name="Heading 1 8 3" xfId="2023"/>
    <cellStyle name="Heading 1 8 3 2" xfId="5277"/>
    <cellStyle name="Heading 1 8 3 2 2" xfId="10037"/>
    <cellStyle name="Heading 1 8 3 3" xfId="8805"/>
    <cellStyle name="Heading 1 8 4" xfId="2024"/>
    <cellStyle name="Heading 1 8 4 2" xfId="5278"/>
    <cellStyle name="Heading 1 8 4 2 2" xfId="10038"/>
    <cellStyle name="Heading 1 8 4 3" xfId="8806"/>
    <cellStyle name="Heading 1 8 5" xfId="2025"/>
    <cellStyle name="Heading 1 8 5 2" xfId="5279"/>
    <cellStyle name="Heading 1 8 5 2 2" xfId="10039"/>
    <cellStyle name="Heading 1 8 5 3" xfId="8807"/>
    <cellStyle name="Heading 1 8 6" xfId="2026"/>
    <cellStyle name="Heading 1 8 6 2" xfId="5280"/>
    <cellStyle name="Heading 1 8 6 2 2" xfId="10040"/>
    <cellStyle name="Heading 1 8 6 3" xfId="8808"/>
    <cellStyle name="Heading 1 8 7" xfId="2027"/>
    <cellStyle name="Heading 1 8 7 2" xfId="5281"/>
    <cellStyle name="Heading 1 8 7 2 2" xfId="10041"/>
    <cellStyle name="Heading 1 8 7 3" xfId="8809"/>
    <cellStyle name="Heading 1 8 8" xfId="2028"/>
    <cellStyle name="Heading 1 8 8 2" xfId="5282"/>
    <cellStyle name="Heading 1 8 8 2 2" xfId="10042"/>
    <cellStyle name="Heading 1 8 8 3" xfId="8810"/>
    <cellStyle name="Heading 1 8 9" xfId="2029"/>
    <cellStyle name="Heading 1 8 9 2" xfId="5283"/>
    <cellStyle name="Heading 1 8 9 2 2" xfId="10043"/>
    <cellStyle name="Heading 1 8 9 3" xfId="8811"/>
    <cellStyle name="Heading 1 9" xfId="2030"/>
    <cellStyle name="Heading 1 9 10" xfId="2031"/>
    <cellStyle name="Heading 1 9 10 2" xfId="5284"/>
    <cellStyle name="Heading 1 9 11" xfId="2032"/>
    <cellStyle name="Heading 1 9 11 2" xfId="5285"/>
    <cellStyle name="Heading 1 9 12" xfId="2033"/>
    <cellStyle name="Heading 1 9 12 2" xfId="5286"/>
    <cellStyle name="Heading 1 9 13" xfId="2034"/>
    <cellStyle name="Heading 1 9 13 2" xfId="5287"/>
    <cellStyle name="Heading 1 9 14" xfId="2035"/>
    <cellStyle name="Heading 1 9 14 2" xfId="5288"/>
    <cellStyle name="Heading 1 9 15" xfId="2036"/>
    <cellStyle name="Heading 1 9 15 2" xfId="5289"/>
    <cellStyle name="Heading 1 9 16" xfId="2037"/>
    <cellStyle name="Heading 1 9 16 2" xfId="5290"/>
    <cellStyle name="Heading 1 9 17" xfId="2038"/>
    <cellStyle name="Heading 1 9 17 2" xfId="5291"/>
    <cellStyle name="Heading 1 9 18" xfId="2039"/>
    <cellStyle name="Heading 1 9 18 2" xfId="5292"/>
    <cellStyle name="Heading 1 9 19" xfId="2040"/>
    <cellStyle name="Heading 1 9 19 2" xfId="5293"/>
    <cellStyle name="Heading 1 9 2" xfId="2041"/>
    <cellStyle name="Heading 1 9 2 2" xfId="5294"/>
    <cellStyle name="Heading 1 9 20" xfId="2042"/>
    <cellStyle name="Heading 1 9 20 2" xfId="5295"/>
    <cellStyle name="Heading 1 9 21" xfId="2043"/>
    <cellStyle name="Heading 1 9 21 2" xfId="5296"/>
    <cellStyle name="Heading 1 9 22" xfId="5297"/>
    <cellStyle name="Heading 1 9 3" xfId="2044"/>
    <cellStyle name="Heading 1 9 3 2" xfId="5298"/>
    <cellStyle name="Heading 1 9 4" xfId="2045"/>
    <cellStyle name="Heading 1 9 4 2" xfId="5299"/>
    <cellStyle name="Heading 1 9 5" xfId="2046"/>
    <cellStyle name="Heading 1 9 5 2" xfId="5300"/>
    <cellStyle name="Heading 1 9 6" xfId="2047"/>
    <cellStyle name="Heading 1 9 6 2" xfId="5301"/>
    <cellStyle name="Heading 1 9 7" xfId="2048"/>
    <cellStyle name="Heading 1 9 7 2" xfId="5302"/>
    <cellStyle name="Heading 1 9 8" xfId="2049"/>
    <cellStyle name="Heading 1 9 8 2" xfId="5303"/>
    <cellStyle name="Heading 1 9 9" xfId="2050"/>
    <cellStyle name="Heading 1 9 9 2" xfId="5304"/>
    <cellStyle name="Heading 2 10" xfId="2051"/>
    <cellStyle name="Heading 2 10 2" xfId="5305"/>
    <cellStyle name="Heading 2 11" xfId="2052"/>
    <cellStyle name="Heading 2 11 2" xfId="5306"/>
    <cellStyle name="Heading 2 12" xfId="2053"/>
    <cellStyle name="Heading 2 12 2" xfId="5307"/>
    <cellStyle name="Heading 2 13" xfId="2054"/>
    <cellStyle name="Heading 2 13 2" xfId="5308"/>
    <cellStyle name="Heading 2 14" xfId="2055"/>
    <cellStyle name="Heading 2 14 2" xfId="5309"/>
    <cellStyle name="Heading 2 15" xfId="2056"/>
    <cellStyle name="Heading 2 15 2" xfId="5310"/>
    <cellStyle name="Heading 2 16" xfId="2057"/>
    <cellStyle name="Heading 2 16 2" xfId="5311"/>
    <cellStyle name="Heading 2 17" xfId="2058"/>
    <cellStyle name="Heading 2 17 2" xfId="5312"/>
    <cellStyle name="Heading 2 18" xfId="2059"/>
    <cellStyle name="Heading 2 18 2" xfId="5313"/>
    <cellStyle name="Heading 2 19" xfId="2060"/>
    <cellStyle name="Heading 2 19 2" xfId="5314"/>
    <cellStyle name="Heading 2 2" xfId="2061"/>
    <cellStyle name="Heading 2 2 10" xfId="2062"/>
    <cellStyle name="Heading 2 2 10 2" xfId="5315"/>
    <cellStyle name="Heading 2 2 11" xfId="2063"/>
    <cellStyle name="Heading 2 2 11 2" xfId="5316"/>
    <cellStyle name="Heading 2 2 12" xfId="2064"/>
    <cellStyle name="Heading 2 2 12 2" xfId="5317"/>
    <cellStyle name="Heading 2 2 13" xfId="2065"/>
    <cellStyle name="Heading 2 2 13 2" xfId="5318"/>
    <cellStyle name="Heading 2 2 14" xfId="2066"/>
    <cellStyle name="Heading 2 2 14 2" xfId="5319"/>
    <cellStyle name="Heading 2 2 15" xfId="2067"/>
    <cellStyle name="Heading 2 2 15 2" xfId="5320"/>
    <cellStyle name="Heading 2 2 16" xfId="2068"/>
    <cellStyle name="Heading 2 2 16 2" xfId="5321"/>
    <cellStyle name="Heading 2 2 17" xfId="2069"/>
    <cellStyle name="Heading 2 2 17 2" xfId="5322"/>
    <cellStyle name="Heading 2 2 18" xfId="2070"/>
    <cellStyle name="Heading 2 2 18 2" xfId="5323"/>
    <cellStyle name="Heading 2 2 19" xfId="2071"/>
    <cellStyle name="Heading 2 2 19 2" xfId="5324"/>
    <cellStyle name="Heading 2 2 2" xfId="2072"/>
    <cellStyle name="Heading 2 2 2 2" xfId="5325"/>
    <cellStyle name="Heading 2 2 20" xfId="2073"/>
    <cellStyle name="Heading 2 2 20 2" xfId="5326"/>
    <cellStyle name="Heading 2 2 21" xfId="2074"/>
    <cellStyle name="Heading 2 2 21 2" xfId="5327"/>
    <cellStyle name="Heading 2 2 22" xfId="5328"/>
    <cellStyle name="Heading 2 2 3" xfId="2075"/>
    <cellStyle name="Heading 2 2 3 2" xfId="5329"/>
    <cellStyle name="Heading 2 2 4" xfId="2076"/>
    <cellStyle name="Heading 2 2 4 2" xfId="5330"/>
    <cellStyle name="Heading 2 2 5" xfId="2077"/>
    <cellStyle name="Heading 2 2 5 2" xfId="5331"/>
    <cellStyle name="Heading 2 2 6" xfId="2078"/>
    <cellStyle name="Heading 2 2 6 2" xfId="5332"/>
    <cellStyle name="Heading 2 2 7" xfId="2079"/>
    <cellStyle name="Heading 2 2 7 2" xfId="5333"/>
    <cellStyle name="Heading 2 2 8" xfId="2080"/>
    <cellStyle name="Heading 2 2 8 2" xfId="5334"/>
    <cellStyle name="Heading 2 2 9" xfId="2081"/>
    <cellStyle name="Heading 2 2 9 2" xfId="5335"/>
    <cellStyle name="Heading 2 20" xfId="2082"/>
    <cellStyle name="Heading 2 20 2" xfId="5336"/>
    <cellStyle name="Heading 2 21" xfId="2083"/>
    <cellStyle name="Heading 2 21 2" xfId="5337"/>
    <cellStyle name="Heading 2 22" xfId="2084"/>
    <cellStyle name="Heading 2 22 2" xfId="5338"/>
    <cellStyle name="Heading 2 23" xfId="2085"/>
    <cellStyle name="Heading 2 23 2" xfId="5339"/>
    <cellStyle name="Heading 2 24" xfId="2086"/>
    <cellStyle name="Heading 2 24 2" xfId="5340"/>
    <cellStyle name="Heading 2 25" xfId="2087"/>
    <cellStyle name="Heading 2 25 2" xfId="5341"/>
    <cellStyle name="Heading 2 26" xfId="2088"/>
    <cellStyle name="Heading 2 26 2" xfId="5342"/>
    <cellStyle name="Heading 2 27" xfId="2089"/>
    <cellStyle name="Heading 2 27 2" xfId="5343"/>
    <cellStyle name="Heading 2 28" xfId="2090"/>
    <cellStyle name="Heading 2 28 2" xfId="5344"/>
    <cellStyle name="Heading 2 29" xfId="2091"/>
    <cellStyle name="Heading 2 29 2" xfId="5345"/>
    <cellStyle name="Heading 2 3" xfId="2092"/>
    <cellStyle name="Heading 2 3 10" xfId="2093"/>
    <cellStyle name="Heading 2 3 10 2" xfId="5346"/>
    <cellStyle name="Heading 2 3 11" xfId="2094"/>
    <cellStyle name="Heading 2 3 11 2" xfId="5347"/>
    <cellStyle name="Heading 2 3 12" xfId="2095"/>
    <cellStyle name="Heading 2 3 12 2" xfId="5348"/>
    <cellStyle name="Heading 2 3 13" xfId="2096"/>
    <cellStyle name="Heading 2 3 13 2" xfId="5349"/>
    <cellStyle name="Heading 2 3 14" xfId="2097"/>
    <cellStyle name="Heading 2 3 14 2" xfId="5350"/>
    <cellStyle name="Heading 2 3 15" xfId="2098"/>
    <cellStyle name="Heading 2 3 15 2" xfId="5351"/>
    <cellStyle name="Heading 2 3 16" xfId="2099"/>
    <cellStyle name="Heading 2 3 16 2" xfId="5352"/>
    <cellStyle name="Heading 2 3 17" xfId="2100"/>
    <cellStyle name="Heading 2 3 17 2" xfId="5353"/>
    <cellStyle name="Heading 2 3 18" xfId="2101"/>
    <cellStyle name="Heading 2 3 18 2" xfId="5354"/>
    <cellStyle name="Heading 2 3 19" xfId="2102"/>
    <cellStyle name="Heading 2 3 19 2" xfId="5355"/>
    <cellStyle name="Heading 2 3 2" xfId="2103"/>
    <cellStyle name="Heading 2 3 2 2" xfId="5356"/>
    <cellStyle name="Heading 2 3 20" xfId="2104"/>
    <cellStyle name="Heading 2 3 20 2" xfId="5357"/>
    <cellStyle name="Heading 2 3 21" xfId="2105"/>
    <cellStyle name="Heading 2 3 21 2" xfId="5358"/>
    <cellStyle name="Heading 2 3 22" xfId="5359"/>
    <cellStyle name="Heading 2 3 3" xfId="2106"/>
    <cellStyle name="Heading 2 3 3 2" xfId="5360"/>
    <cellStyle name="Heading 2 3 4" xfId="2107"/>
    <cellStyle name="Heading 2 3 4 2" xfId="5361"/>
    <cellStyle name="Heading 2 3 5" xfId="2108"/>
    <cellStyle name="Heading 2 3 5 2" xfId="5362"/>
    <cellStyle name="Heading 2 3 6" xfId="2109"/>
    <cellStyle name="Heading 2 3 6 2" xfId="5363"/>
    <cellStyle name="Heading 2 3 7" xfId="2110"/>
    <cellStyle name="Heading 2 3 7 2" xfId="5364"/>
    <cellStyle name="Heading 2 3 8" xfId="2111"/>
    <cellStyle name="Heading 2 3 8 2" xfId="5365"/>
    <cellStyle name="Heading 2 3 9" xfId="2112"/>
    <cellStyle name="Heading 2 3 9 2" xfId="5366"/>
    <cellStyle name="Heading 2 30" xfId="2113"/>
    <cellStyle name="Heading 2 30 2" xfId="5367"/>
    <cellStyle name="Heading 2 31" xfId="2114"/>
    <cellStyle name="Heading 2 31 2" xfId="5368"/>
    <cellStyle name="Heading 2 32" xfId="2115"/>
    <cellStyle name="Heading 2 32 2" xfId="5369"/>
    <cellStyle name="Heading 2 33" xfId="2116"/>
    <cellStyle name="Heading 2 33 2" xfId="5370"/>
    <cellStyle name="Heading 2 34" xfId="2117"/>
    <cellStyle name="Heading 2 34 2" xfId="5371"/>
    <cellStyle name="Heading 2 35" xfId="2118"/>
    <cellStyle name="Heading 2 35 2" xfId="5372"/>
    <cellStyle name="Heading 2 36" xfId="2119"/>
    <cellStyle name="Heading 2 36 2" xfId="5373"/>
    <cellStyle name="Heading 2 37" xfId="2120"/>
    <cellStyle name="Heading 2 37 2" xfId="5374"/>
    <cellStyle name="Heading 2 4" xfId="2121"/>
    <cellStyle name="Heading 2 4 10" xfId="2122"/>
    <cellStyle name="Heading 2 4 10 2" xfId="5375"/>
    <cellStyle name="Heading 2 4 11" xfId="2123"/>
    <cellStyle name="Heading 2 4 11 2" xfId="5376"/>
    <cellStyle name="Heading 2 4 12" xfId="2124"/>
    <cellStyle name="Heading 2 4 12 2" xfId="5377"/>
    <cellStyle name="Heading 2 4 13" xfId="2125"/>
    <cellStyle name="Heading 2 4 13 2" xfId="5378"/>
    <cellStyle name="Heading 2 4 14" xfId="2126"/>
    <cellStyle name="Heading 2 4 14 2" xfId="5379"/>
    <cellStyle name="Heading 2 4 15" xfId="2127"/>
    <cellStyle name="Heading 2 4 15 2" xfId="5380"/>
    <cellStyle name="Heading 2 4 16" xfId="2128"/>
    <cellStyle name="Heading 2 4 16 2" xfId="5381"/>
    <cellStyle name="Heading 2 4 17" xfId="2129"/>
    <cellStyle name="Heading 2 4 17 2" xfId="5382"/>
    <cellStyle name="Heading 2 4 18" xfId="2130"/>
    <cellStyle name="Heading 2 4 18 2" xfId="5383"/>
    <cellStyle name="Heading 2 4 19" xfId="2131"/>
    <cellStyle name="Heading 2 4 19 2" xfId="5384"/>
    <cellStyle name="Heading 2 4 2" xfId="2132"/>
    <cellStyle name="Heading 2 4 2 2" xfId="5385"/>
    <cellStyle name="Heading 2 4 20" xfId="2133"/>
    <cellStyle name="Heading 2 4 20 2" xfId="5386"/>
    <cellStyle name="Heading 2 4 21" xfId="2134"/>
    <cellStyle name="Heading 2 4 21 2" xfId="5387"/>
    <cellStyle name="Heading 2 4 22" xfId="5388"/>
    <cellStyle name="Heading 2 4 3" xfId="2135"/>
    <cellStyle name="Heading 2 4 3 2" xfId="5389"/>
    <cellStyle name="Heading 2 4 4" xfId="2136"/>
    <cellStyle name="Heading 2 4 4 2" xfId="5390"/>
    <cellStyle name="Heading 2 4 5" xfId="2137"/>
    <cellStyle name="Heading 2 4 5 2" xfId="5391"/>
    <cellStyle name="Heading 2 4 6" xfId="2138"/>
    <cellStyle name="Heading 2 4 6 2" xfId="5392"/>
    <cellStyle name="Heading 2 4 7" xfId="2139"/>
    <cellStyle name="Heading 2 4 7 2" xfId="5393"/>
    <cellStyle name="Heading 2 4 8" xfId="2140"/>
    <cellStyle name="Heading 2 4 8 2" xfId="5394"/>
    <cellStyle name="Heading 2 4 9" xfId="2141"/>
    <cellStyle name="Heading 2 4 9 2" xfId="5395"/>
    <cellStyle name="Heading 2 5" xfId="2142"/>
    <cellStyle name="Heading 2 5 10" xfId="2143"/>
    <cellStyle name="Heading 2 5 10 2" xfId="5396"/>
    <cellStyle name="Heading 2 5 10 2 2" xfId="10044"/>
    <cellStyle name="Heading 2 5 10 3" xfId="8812"/>
    <cellStyle name="Heading 2 5 11" xfId="2144"/>
    <cellStyle name="Heading 2 5 11 2" xfId="5397"/>
    <cellStyle name="Heading 2 5 11 2 2" xfId="10045"/>
    <cellStyle name="Heading 2 5 11 3" xfId="8813"/>
    <cellStyle name="Heading 2 5 12" xfId="2145"/>
    <cellStyle name="Heading 2 5 12 2" xfId="5398"/>
    <cellStyle name="Heading 2 5 12 2 2" xfId="10046"/>
    <cellStyle name="Heading 2 5 12 3" xfId="8814"/>
    <cellStyle name="Heading 2 5 13" xfId="2146"/>
    <cellStyle name="Heading 2 5 13 2" xfId="5399"/>
    <cellStyle name="Heading 2 5 13 2 2" xfId="10047"/>
    <cellStyle name="Heading 2 5 13 3" xfId="8815"/>
    <cellStyle name="Heading 2 5 14" xfId="2147"/>
    <cellStyle name="Heading 2 5 14 2" xfId="5400"/>
    <cellStyle name="Heading 2 5 14 2 2" xfId="10048"/>
    <cellStyle name="Heading 2 5 14 3" xfId="8816"/>
    <cellStyle name="Heading 2 5 15" xfId="2148"/>
    <cellStyle name="Heading 2 5 15 2" xfId="5401"/>
    <cellStyle name="Heading 2 5 15 2 2" xfId="10049"/>
    <cellStyle name="Heading 2 5 15 3" xfId="8817"/>
    <cellStyle name="Heading 2 5 16" xfId="2149"/>
    <cellStyle name="Heading 2 5 16 2" xfId="5402"/>
    <cellStyle name="Heading 2 5 16 2 2" xfId="10050"/>
    <cellStyle name="Heading 2 5 16 3" xfId="8818"/>
    <cellStyle name="Heading 2 5 17" xfId="2150"/>
    <cellStyle name="Heading 2 5 17 2" xfId="5403"/>
    <cellStyle name="Heading 2 5 17 2 2" xfId="10051"/>
    <cellStyle name="Heading 2 5 17 3" xfId="8819"/>
    <cellStyle name="Heading 2 5 18" xfId="2151"/>
    <cellStyle name="Heading 2 5 18 2" xfId="5404"/>
    <cellStyle name="Heading 2 5 18 2 2" xfId="10052"/>
    <cellStyle name="Heading 2 5 18 3" xfId="8820"/>
    <cellStyle name="Heading 2 5 19" xfId="2152"/>
    <cellStyle name="Heading 2 5 19 2" xfId="5405"/>
    <cellStyle name="Heading 2 5 19 2 2" xfId="10053"/>
    <cellStyle name="Heading 2 5 19 3" xfId="8821"/>
    <cellStyle name="Heading 2 5 2" xfId="2153"/>
    <cellStyle name="Heading 2 5 2 2" xfId="5406"/>
    <cellStyle name="Heading 2 5 2 2 2" xfId="10054"/>
    <cellStyle name="Heading 2 5 2 3" xfId="8822"/>
    <cellStyle name="Heading 2 5 20" xfId="2154"/>
    <cellStyle name="Heading 2 5 20 2" xfId="5407"/>
    <cellStyle name="Heading 2 5 20 2 2" xfId="10055"/>
    <cellStyle name="Heading 2 5 20 3" xfId="8823"/>
    <cellStyle name="Heading 2 5 21" xfId="2155"/>
    <cellStyle name="Heading 2 5 21 2" xfId="5408"/>
    <cellStyle name="Heading 2 5 21 2 2" xfId="10056"/>
    <cellStyle name="Heading 2 5 21 3" xfId="8824"/>
    <cellStyle name="Heading 2 5 22" xfId="5409"/>
    <cellStyle name="Heading 2 5 3" xfId="2156"/>
    <cellStyle name="Heading 2 5 3 2" xfId="5410"/>
    <cellStyle name="Heading 2 5 3 2 2" xfId="10057"/>
    <cellStyle name="Heading 2 5 3 3" xfId="8825"/>
    <cellStyle name="Heading 2 5 4" xfId="2157"/>
    <cellStyle name="Heading 2 5 4 2" xfId="5411"/>
    <cellStyle name="Heading 2 5 4 2 2" xfId="10058"/>
    <cellStyle name="Heading 2 5 4 3" xfId="8826"/>
    <cellStyle name="Heading 2 5 5" xfId="2158"/>
    <cellStyle name="Heading 2 5 5 2" xfId="5412"/>
    <cellStyle name="Heading 2 5 5 2 2" xfId="10059"/>
    <cellStyle name="Heading 2 5 5 3" xfId="8827"/>
    <cellStyle name="Heading 2 5 6" xfId="2159"/>
    <cellStyle name="Heading 2 5 6 2" xfId="5413"/>
    <cellStyle name="Heading 2 5 6 2 2" xfId="10060"/>
    <cellStyle name="Heading 2 5 6 3" xfId="8828"/>
    <cellStyle name="Heading 2 5 7" xfId="2160"/>
    <cellStyle name="Heading 2 5 7 2" xfId="5414"/>
    <cellStyle name="Heading 2 5 7 2 2" xfId="10061"/>
    <cellStyle name="Heading 2 5 7 3" xfId="8829"/>
    <cellStyle name="Heading 2 5 8" xfId="2161"/>
    <cellStyle name="Heading 2 5 8 2" xfId="5415"/>
    <cellStyle name="Heading 2 5 8 2 2" xfId="10062"/>
    <cellStyle name="Heading 2 5 8 3" xfId="8830"/>
    <cellStyle name="Heading 2 5 9" xfId="2162"/>
    <cellStyle name="Heading 2 5 9 2" xfId="5416"/>
    <cellStyle name="Heading 2 5 9 2 2" xfId="10063"/>
    <cellStyle name="Heading 2 5 9 3" xfId="8831"/>
    <cellStyle name="Heading 2 6" xfId="2163"/>
    <cellStyle name="Heading 2 6 10" xfId="2164"/>
    <cellStyle name="Heading 2 6 10 2" xfId="5417"/>
    <cellStyle name="Heading 2 6 10 2 2" xfId="10064"/>
    <cellStyle name="Heading 2 6 10 3" xfId="8832"/>
    <cellStyle name="Heading 2 6 11" xfId="2165"/>
    <cellStyle name="Heading 2 6 11 2" xfId="5418"/>
    <cellStyle name="Heading 2 6 11 2 2" xfId="10065"/>
    <cellStyle name="Heading 2 6 11 3" xfId="8833"/>
    <cellStyle name="Heading 2 6 12" xfId="2166"/>
    <cellStyle name="Heading 2 6 12 2" xfId="5419"/>
    <cellStyle name="Heading 2 6 12 2 2" xfId="10066"/>
    <cellStyle name="Heading 2 6 12 3" xfId="8834"/>
    <cellStyle name="Heading 2 6 13" xfId="2167"/>
    <cellStyle name="Heading 2 6 13 2" xfId="5420"/>
    <cellStyle name="Heading 2 6 13 2 2" xfId="10067"/>
    <cellStyle name="Heading 2 6 13 3" xfId="8835"/>
    <cellStyle name="Heading 2 6 14" xfId="2168"/>
    <cellStyle name="Heading 2 6 14 2" xfId="5421"/>
    <cellStyle name="Heading 2 6 14 2 2" xfId="10068"/>
    <cellStyle name="Heading 2 6 14 3" xfId="8836"/>
    <cellStyle name="Heading 2 6 15" xfId="2169"/>
    <cellStyle name="Heading 2 6 15 2" xfId="5422"/>
    <cellStyle name="Heading 2 6 15 2 2" xfId="10069"/>
    <cellStyle name="Heading 2 6 15 3" xfId="8837"/>
    <cellStyle name="Heading 2 6 16" xfId="2170"/>
    <cellStyle name="Heading 2 6 16 2" xfId="5423"/>
    <cellStyle name="Heading 2 6 16 2 2" xfId="10070"/>
    <cellStyle name="Heading 2 6 16 3" xfId="8838"/>
    <cellStyle name="Heading 2 6 17" xfId="2171"/>
    <cellStyle name="Heading 2 6 17 2" xfId="5424"/>
    <cellStyle name="Heading 2 6 17 2 2" xfId="10071"/>
    <cellStyle name="Heading 2 6 17 3" xfId="8839"/>
    <cellStyle name="Heading 2 6 18" xfId="2172"/>
    <cellStyle name="Heading 2 6 18 2" xfId="5425"/>
    <cellStyle name="Heading 2 6 18 2 2" xfId="10072"/>
    <cellStyle name="Heading 2 6 18 3" xfId="8840"/>
    <cellStyle name="Heading 2 6 19" xfId="2173"/>
    <cellStyle name="Heading 2 6 19 2" xfId="5426"/>
    <cellStyle name="Heading 2 6 19 2 2" xfId="10073"/>
    <cellStyle name="Heading 2 6 19 3" xfId="8841"/>
    <cellStyle name="Heading 2 6 2" xfId="2174"/>
    <cellStyle name="Heading 2 6 2 2" xfId="5427"/>
    <cellStyle name="Heading 2 6 2 2 2" xfId="10074"/>
    <cellStyle name="Heading 2 6 2 3" xfId="8842"/>
    <cellStyle name="Heading 2 6 20" xfId="2175"/>
    <cellStyle name="Heading 2 6 20 2" xfId="5428"/>
    <cellStyle name="Heading 2 6 20 2 2" xfId="10075"/>
    <cellStyle name="Heading 2 6 20 3" xfId="8843"/>
    <cellStyle name="Heading 2 6 21" xfId="2176"/>
    <cellStyle name="Heading 2 6 21 2" xfId="5429"/>
    <cellStyle name="Heading 2 6 21 2 2" xfId="10076"/>
    <cellStyle name="Heading 2 6 21 3" xfId="8844"/>
    <cellStyle name="Heading 2 6 22" xfId="5430"/>
    <cellStyle name="Heading 2 6 3" xfId="2177"/>
    <cellStyle name="Heading 2 6 3 2" xfId="5431"/>
    <cellStyle name="Heading 2 6 3 2 2" xfId="10077"/>
    <cellStyle name="Heading 2 6 3 3" xfId="8845"/>
    <cellStyle name="Heading 2 6 4" xfId="2178"/>
    <cellStyle name="Heading 2 6 4 2" xfId="5432"/>
    <cellStyle name="Heading 2 6 4 2 2" xfId="10078"/>
    <cellStyle name="Heading 2 6 4 3" xfId="8846"/>
    <cellStyle name="Heading 2 6 5" xfId="2179"/>
    <cellStyle name="Heading 2 6 5 2" xfId="5433"/>
    <cellStyle name="Heading 2 6 5 2 2" xfId="10079"/>
    <cellStyle name="Heading 2 6 5 3" xfId="8847"/>
    <cellStyle name="Heading 2 6 6" xfId="2180"/>
    <cellStyle name="Heading 2 6 6 2" xfId="5434"/>
    <cellStyle name="Heading 2 6 6 2 2" xfId="10080"/>
    <cellStyle name="Heading 2 6 6 3" xfId="8848"/>
    <cellStyle name="Heading 2 6 7" xfId="2181"/>
    <cellStyle name="Heading 2 6 7 2" xfId="5435"/>
    <cellStyle name="Heading 2 6 7 2 2" xfId="10081"/>
    <cellStyle name="Heading 2 6 7 3" xfId="8849"/>
    <cellStyle name="Heading 2 6 8" xfId="2182"/>
    <cellStyle name="Heading 2 6 8 2" xfId="5436"/>
    <cellStyle name="Heading 2 6 8 2 2" xfId="10082"/>
    <cellStyle name="Heading 2 6 8 3" xfId="8850"/>
    <cellStyle name="Heading 2 6 9" xfId="2183"/>
    <cellStyle name="Heading 2 6 9 2" xfId="5437"/>
    <cellStyle name="Heading 2 6 9 2 2" xfId="10083"/>
    <cellStyle name="Heading 2 6 9 3" xfId="8851"/>
    <cellStyle name="Heading 2 7" xfId="2184"/>
    <cellStyle name="Heading 2 7 10" xfId="2185"/>
    <cellStyle name="Heading 2 7 10 2" xfId="5438"/>
    <cellStyle name="Heading 2 7 10 2 2" xfId="10084"/>
    <cellStyle name="Heading 2 7 10 3" xfId="8852"/>
    <cellStyle name="Heading 2 7 11" xfId="2186"/>
    <cellStyle name="Heading 2 7 11 2" xfId="5439"/>
    <cellStyle name="Heading 2 7 11 2 2" xfId="10085"/>
    <cellStyle name="Heading 2 7 11 3" xfId="8853"/>
    <cellStyle name="Heading 2 7 12" xfId="2187"/>
    <cellStyle name="Heading 2 7 12 2" xfId="5440"/>
    <cellStyle name="Heading 2 7 12 2 2" xfId="10086"/>
    <cellStyle name="Heading 2 7 12 3" xfId="8854"/>
    <cellStyle name="Heading 2 7 13" xfId="2188"/>
    <cellStyle name="Heading 2 7 13 2" xfId="5441"/>
    <cellStyle name="Heading 2 7 13 2 2" xfId="10087"/>
    <cellStyle name="Heading 2 7 13 3" xfId="8855"/>
    <cellStyle name="Heading 2 7 14" xfId="2189"/>
    <cellStyle name="Heading 2 7 14 2" xfId="5442"/>
    <cellStyle name="Heading 2 7 14 2 2" xfId="10088"/>
    <cellStyle name="Heading 2 7 14 3" xfId="8856"/>
    <cellStyle name="Heading 2 7 15" xfId="2190"/>
    <cellStyle name="Heading 2 7 15 2" xfId="5443"/>
    <cellStyle name="Heading 2 7 15 2 2" xfId="10089"/>
    <cellStyle name="Heading 2 7 15 3" xfId="8857"/>
    <cellStyle name="Heading 2 7 16" xfId="2191"/>
    <cellStyle name="Heading 2 7 16 2" xfId="5444"/>
    <cellStyle name="Heading 2 7 16 2 2" xfId="10090"/>
    <cellStyle name="Heading 2 7 16 3" xfId="8858"/>
    <cellStyle name="Heading 2 7 17" xfId="2192"/>
    <cellStyle name="Heading 2 7 17 2" xfId="5445"/>
    <cellStyle name="Heading 2 7 17 2 2" xfId="10091"/>
    <cellStyle name="Heading 2 7 17 3" xfId="8859"/>
    <cellStyle name="Heading 2 7 18" xfId="2193"/>
    <cellStyle name="Heading 2 7 18 2" xfId="5446"/>
    <cellStyle name="Heading 2 7 18 2 2" xfId="10092"/>
    <cellStyle name="Heading 2 7 18 3" xfId="8860"/>
    <cellStyle name="Heading 2 7 19" xfId="2194"/>
    <cellStyle name="Heading 2 7 19 2" xfId="5447"/>
    <cellStyle name="Heading 2 7 19 2 2" xfId="10093"/>
    <cellStyle name="Heading 2 7 19 3" xfId="8861"/>
    <cellStyle name="Heading 2 7 2" xfId="2195"/>
    <cellStyle name="Heading 2 7 2 2" xfId="5448"/>
    <cellStyle name="Heading 2 7 2 2 2" xfId="10094"/>
    <cellStyle name="Heading 2 7 2 3" xfId="8862"/>
    <cellStyle name="Heading 2 7 20" xfId="2196"/>
    <cellStyle name="Heading 2 7 20 2" xfId="5449"/>
    <cellStyle name="Heading 2 7 20 2 2" xfId="10095"/>
    <cellStyle name="Heading 2 7 20 3" xfId="8863"/>
    <cellStyle name="Heading 2 7 21" xfId="2197"/>
    <cellStyle name="Heading 2 7 21 2" xfId="5450"/>
    <cellStyle name="Heading 2 7 21 2 2" xfId="10096"/>
    <cellStyle name="Heading 2 7 21 3" xfId="8864"/>
    <cellStyle name="Heading 2 7 22" xfId="5451"/>
    <cellStyle name="Heading 2 7 3" xfId="2198"/>
    <cellStyle name="Heading 2 7 3 2" xfId="5452"/>
    <cellStyle name="Heading 2 7 3 2 2" xfId="10097"/>
    <cellStyle name="Heading 2 7 3 3" xfId="8865"/>
    <cellStyle name="Heading 2 7 4" xfId="2199"/>
    <cellStyle name="Heading 2 7 4 2" xfId="5453"/>
    <cellStyle name="Heading 2 7 4 2 2" xfId="10098"/>
    <cellStyle name="Heading 2 7 4 3" xfId="8866"/>
    <cellStyle name="Heading 2 7 5" xfId="2200"/>
    <cellStyle name="Heading 2 7 5 2" xfId="5454"/>
    <cellStyle name="Heading 2 7 5 2 2" xfId="10099"/>
    <cellStyle name="Heading 2 7 5 3" xfId="8867"/>
    <cellStyle name="Heading 2 7 6" xfId="2201"/>
    <cellStyle name="Heading 2 7 6 2" xfId="5455"/>
    <cellStyle name="Heading 2 7 6 2 2" xfId="10100"/>
    <cellStyle name="Heading 2 7 6 3" xfId="8868"/>
    <cellStyle name="Heading 2 7 7" xfId="2202"/>
    <cellStyle name="Heading 2 7 7 2" xfId="5456"/>
    <cellStyle name="Heading 2 7 7 2 2" xfId="10101"/>
    <cellStyle name="Heading 2 7 7 3" xfId="8869"/>
    <cellStyle name="Heading 2 7 8" xfId="2203"/>
    <cellStyle name="Heading 2 7 8 2" xfId="5457"/>
    <cellStyle name="Heading 2 7 8 2 2" xfId="10102"/>
    <cellStyle name="Heading 2 7 8 3" xfId="8870"/>
    <cellStyle name="Heading 2 7 9" xfId="2204"/>
    <cellStyle name="Heading 2 7 9 2" xfId="5458"/>
    <cellStyle name="Heading 2 7 9 2 2" xfId="10103"/>
    <cellStyle name="Heading 2 7 9 3" xfId="8871"/>
    <cellStyle name="Heading 2 8" xfId="2205"/>
    <cellStyle name="Heading 2 8 10" xfId="2206"/>
    <cellStyle name="Heading 2 8 10 2" xfId="5459"/>
    <cellStyle name="Heading 2 8 10 2 2" xfId="10104"/>
    <cellStyle name="Heading 2 8 10 3" xfId="8872"/>
    <cellStyle name="Heading 2 8 11" xfId="2207"/>
    <cellStyle name="Heading 2 8 11 2" xfId="5460"/>
    <cellStyle name="Heading 2 8 11 2 2" xfId="10105"/>
    <cellStyle name="Heading 2 8 11 3" xfId="8873"/>
    <cellStyle name="Heading 2 8 12" xfId="2208"/>
    <cellStyle name="Heading 2 8 12 2" xfId="5461"/>
    <cellStyle name="Heading 2 8 12 2 2" xfId="10106"/>
    <cellStyle name="Heading 2 8 12 3" xfId="8874"/>
    <cellStyle name="Heading 2 8 13" xfId="2209"/>
    <cellStyle name="Heading 2 8 13 2" xfId="5462"/>
    <cellStyle name="Heading 2 8 13 2 2" xfId="10107"/>
    <cellStyle name="Heading 2 8 13 3" xfId="8875"/>
    <cellStyle name="Heading 2 8 14" xfId="2210"/>
    <cellStyle name="Heading 2 8 14 2" xfId="5463"/>
    <cellStyle name="Heading 2 8 14 2 2" xfId="10108"/>
    <cellStyle name="Heading 2 8 14 3" xfId="8876"/>
    <cellStyle name="Heading 2 8 15" xfId="2211"/>
    <cellStyle name="Heading 2 8 15 2" xfId="5464"/>
    <cellStyle name="Heading 2 8 15 2 2" xfId="10109"/>
    <cellStyle name="Heading 2 8 15 3" xfId="8877"/>
    <cellStyle name="Heading 2 8 16" xfId="2212"/>
    <cellStyle name="Heading 2 8 16 2" xfId="5465"/>
    <cellStyle name="Heading 2 8 16 2 2" xfId="10110"/>
    <cellStyle name="Heading 2 8 16 3" xfId="8878"/>
    <cellStyle name="Heading 2 8 17" xfId="2213"/>
    <cellStyle name="Heading 2 8 17 2" xfId="5466"/>
    <cellStyle name="Heading 2 8 17 2 2" xfId="10111"/>
    <cellStyle name="Heading 2 8 17 3" xfId="8879"/>
    <cellStyle name="Heading 2 8 18" xfId="2214"/>
    <cellStyle name="Heading 2 8 18 2" xfId="5467"/>
    <cellStyle name="Heading 2 8 18 2 2" xfId="10112"/>
    <cellStyle name="Heading 2 8 18 3" xfId="8880"/>
    <cellStyle name="Heading 2 8 19" xfId="2215"/>
    <cellStyle name="Heading 2 8 19 2" xfId="5468"/>
    <cellStyle name="Heading 2 8 19 2 2" xfId="10113"/>
    <cellStyle name="Heading 2 8 19 3" xfId="8881"/>
    <cellStyle name="Heading 2 8 2" xfId="2216"/>
    <cellStyle name="Heading 2 8 2 2" xfId="5469"/>
    <cellStyle name="Heading 2 8 2 2 2" xfId="10114"/>
    <cellStyle name="Heading 2 8 2 3" xfId="8882"/>
    <cellStyle name="Heading 2 8 20" xfId="2217"/>
    <cellStyle name="Heading 2 8 20 2" xfId="5470"/>
    <cellStyle name="Heading 2 8 20 2 2" xfId="10115"/>
    <cellStyle name="Heading 2 8 20 3" xfId="8883"/>
    <cellStyle name="Heading 2 8 21" xfId="2218"/>
    <cellStyle name="Heading 2 8 21 2" xfId="5471"/>
    <cellStyle name="Heading 2 8 21 2 2" xfId="10116"/>
    <cellStyle name="Heading 2 8 21 3" xfId="8884"/>
    <cellStyle name="Heading 2 8 22" xfId="5472"/>
    <cellStyle name="Heading 2 8 3" xfId="2219"/>
    <cellStyle name="Heading 2 8 3 2" xfId="5473"/>
    <cellStyle name="Heading 2 8 3 2 2" xfId="10117"/>
    <cellStyle name="Heading 2 8 3 3" xfId="8885"/>
    <cellStyle name="Heading 2 8 4" xfId="2220"/>
    <cellStyle name="Heading 2 8 4 2" xfId="5474"/>
    <cellStyle name="Heading 2 8 4 2 2" xfId="10118"/>
    <cellStyle name="Heading 2 8 4 3" xfId="8886"/>
    <cellStyle name="Heading 2 8 5" xfId="2221"/>
    <cellStyle name="Heading 2 8 5 2" xfId="5475"/>
    <cellStyle name="Heading 2 8 5 2 2" xfId="10119"/>
    <cellStyle name="Heading 2 8 5 3" xfId="8887"/>
    <cellStyle name="Heading 2 8 6" xfId="2222"/>
    <cellStyle name="Heading 2 8 6 2" xfId="5476"/>
    <cellStyle name="Heading 2 8 6 2 2" xfId="10120"/>
    <cellStyle name="Heading 2 8 6 3" xfId="8888"/>
    <cellStyle name="Heading 2 8 7" xfId="2223"/>
    <cellStyle name="Heading 2 8 7 2" xfId="5477"/>
    <cellStyle name="Heading 2 8 7 2 2" xfId="10121"/>
    <cellStyle name="Heading 2 8 7 3" xfId="8889"/>
    <cellStyle name="Heading 2 8 8" xfId="2224"/>
    <cellStyle name="Heading 2 8 8 2" xfId="5478"/>
    <cellStyle name="Heading 2 8 8 2 2" xfId="10122"/>
    <cellStyle name="Heading 2 8 8 3" xfId="8890"/>
    <cellStyle name="Heading 2 8 9" xfId="2225"/>
    <cellStyle name="Heading 2 8 9 2" xfId="5479"/>
    <cellStyle name="Heading 2 8 9 2 2" xfId="10123"/>
    <cellStyle name="Heading 2 8 9 3" xfId="8891"/>
    <cellStyle name="Heading 2 9" xfId="2226"/>
    <cellStyle name="Heading 2 9 10" xfId="2227"/>
    <cellStyle name="Heading 2 9 10 2" xfId="5480"/>
    <cellStyle name="Heading 2 9 11" xfId="2228"/>
    <cellStyle name="Heading 2 9 11 2" xfId="5481"/>
    <cellStyle name="Heading 2 9 12" xfId="2229"/>
    <cellStyle name="Heading 2 9 12 2" xfId="5482"/>
    <cellStyle name="Heading 2 9 13" xfId="2230"/>
    <cellStyle name="Heading 2 9 13 2" xfId="5483"/>
    <cellStyle name="Heading 2 9 14" xfId="2231"/>
    <cellStyle name="Heading 2 9 14 2" xfId="5484"/>
    <cellStyle name="Heading 2 9 15" xfId="2232"/>
    <cellStyle name="Heading 2 9 15 2" xfId="5485"/>
    <cellStyle name="Heading 2 9 16" xfId="2233"/>
    <cellStyle name="Heading 2 9 16 2" xfId="5486"/>
    <cellStyle name="Heading 2 9 17" xfId="2234"/>
    <cellStyle name="Heading 2 9 17 2" xfId="5487"/>
    <cellStyle name="Heading 2 9 18" xfId="2235"/>
    <cellStyle name="Heading 2 9 18 2" xfId="5488"/>
    <cellStyle name="Heading 2 9 19" xfId="2236"/>
    <cellStyle name="Heading 2 9 19 2" xfId="5489"/>
    <cellStyle name="Heading 2 9 2" xfId="2237"/>
    <cellStyle name="Heading 2 9 2 2" xfId="5490"/>
    <cellStyle name="Heading 2 9 20" xfId="2238"/>
    <cellStyle name="Heading 2 9 20 2" xfId="5491"/>
    <cellStyle name="Heading 2 9 21" xfId="2239"/>
    <cellStyle name="Heading 2 9 21 2" xfId="5492"/>
    <cellStyle name="Heading 2 9 22" xfId="5493"/>
    <cellStyle name="Heading 2 9 3" xfId="2240"/>
    <cellStyle name="Heading 2 9 3 2" xfId="5494"/>
    <cellStyle name="Heading 2 9 4" xfId="2241"/>
    <cellStyle name="Heading 2 9 4 2" xfId="5495"/>
    <cellStyle name="Heading 2 9 5" xfId="2242"/>
    <cellStyle name="Heading 2 9 5 2" xfId="5496"/>
    <cellStyle name="Heading 2 9 6" xfId="2243"/>
    <cellStyle name="Heading 2 9 6 2" xfId="5497"/>
    <cellStyle name="Heading 2 9 7" xfId="2244"/>
    <cellStyle name="Heading 2 9 7 2" xfId="5498"/>
    <cellStyle name="Heading 2 9 8" xfId="2245"/>
    <cellStyle name="Heading 2 9 8 2" xfId="5499"/>
    <cellStyle name="Heading 2 9 9" xfId="2246"/>
    <cellStyle name="Heading 2 9 9 2" xfId="5500"/>
    <cellStyle name="Heading 3 2" xfId="2247"/>
    <cellStyle name="Heading 3 2 2" xfId="5501"/>
    <cellStyle name="Heading 3 3" xfId="2248"/>
    <cellStyle name="Heading 3 3 2" xfId="5502"/>
    <cellStyle name="Heading 3 4" xfId="2249"/>
    <cellStyle name="Heading 3 4 2" xfId="5503"/>
    <cellStyle name="Heading 3 5" xfId="2250"/>
    <cellStyle name="Heading 3 5 2" xfId="5504"/>
    <cellStyle name="Heading 3 5 2 2" xfId="10124"/>
    <cellStyle name="Heading 3 5 3" xfId="8892"/>
    <cellStyle name="Heading 3 6" xfId="2251"/>
    <cellStyle name="Heading 3 6 2" xfId="5505"/>
    <cellStyle name="Heading 3 6 2 2" xfId="10125"/>
    <cellStyle name="Heading 3 6 3" xfId="8893"/>
    <cellStyle name="Heading 3 7" xfId="2252"/>
    <cellStyle name="Heading 3 7 2" xfId="5506"/>
    <cellStyle name="Heading 3 7 2 2" xfId="10126"/>
    <cellStyle name="Heading 3 7 3" xfId="8894"/>
    <cellStyle name="Heading 3 8" xfId="2253"/>
    <cellStyle name="Heading 3 8 2" xfId="5507"/>
    <cellStyle name="Heading 3 8 2 2" xfId="10127"/>
    <cellStyle name="Heading 3 8 3" xfId="8895"/>
    <cellStyle name="Heading 3 9" xfId="2254"/>
    <cellStyle name="Heading 3 9 2" xfId="5508"/>
    <cellStyle name="Heading 4 2" xfId="2255"/>
    <cellStyle name="Heading 4 2 2" xfId="5509"/>
    <cellStyle name="Heading 4 3" xfId="2256"/>
    <cellStyle name="Heading 4 3 2" xfId="5510"/>
    <cellStyle name="Heading 4 4" xfId="2257"/>
    <cellStyle name="Heading 4 4 2" xfId="5511"/>
    <cellStyle name="Heading 4 5" xfId="2258"/>
    <cellStyle name="Heading 4 5 2" xfId="5512"/>
    <cellStyle name="Heading 4 5 2 2" xfId="10128"/>
    <cellStyle name="Heading 4 5 3" xfId="8896"/>
    <cellStyle name="Heading 4 6" xfId="2259"/>
    <cellStyle name="Heading 4 6 2" xfId="5513"/>
    <cellStyle name="Heading 4 6 2 2" xfId="10129"/>
    <cellStyle name="Heading 4 6 3" xfId="8897"/>
    <cellStyle name="Heading 4 7" xfId="2260"/>
    <cellStyle name="Heading 4 7 2" xfId="5514"/>
    <cellStyle name="Heading 4 7 2 2" xfId="10130"/>
    <cellStyle name="Heading 4 7 3" xfId="8898"/>
    <cellStyle name="Heading 4 8" xfId="2261"/>
    <cellStyle name="Heading 4 8 2" xfId="5515"/>
    <cellStyle name="Heading 4 8 2 2" xfId="10131"/>
    <cellStyle name="Heading 4 8 3" xfId="8899"/>
    <cellStyle name="Heading 4 9" xfId="2262"/>
    <cellStyle name="Heading 4 9 2" xfId="5516"/>
    <cellStyle name="Heading1" xfId="2263"/>
    <cellStyle name="Heading1 2" xfId="8900"/>
    <cellStyle name="Heading2" xfId="2264"/>
    <cellStyle name="Heading2 2" xfId="8901"/>
    <cellStyle name="HEADINGS" xfId="2265"/>
    <cellStyle name="HEADINGS 2" xfId="5517"/>
    <cellStyle name="HEADINGSTOP" xfId="2266"/>
    <cellStyle name="HEADINGSTOP 2" xfId="5518"/>
    <cellStyle name="Hyperlink 2" xfId="2267"/>
    <cellStyle name="Hyperlink 2 2" xfId="5519"/>
    <cellStyle name="Hyperlink 3" xfId="2268"/>
    <cellStyle name="Input [yellow]" xfId="2269"/>
    <cellStyle name="Input [yellow] 2" xfId="2270"/>
    <cellStyle name="Input [yellow] 2 2" xfId="10837"/>
    <cellStyle name="Input [yellow] 2 2 2" xfId="11458"/>
    <cellStyle name="Input [yellow] 2 3" xfId="7451"/>
    <cellStyle name="Input [yellow] 2 3 2" xfId="11329"/>
    <cellStyle name="Input [yellow] 3" xfId="5520"/>
    <cellStyle name="Input [yellow] 3 2" xfId="7751"/>
    <cellStyle name="Input [yellow] 3 2 2" xfId="11397"/>
    <cellStyle name="Input [yellow] 3 3" xfId="11286"/>
    <cellStyle name="Input 2" xfId="2271"/>
    <cellStyle name="Input 2 2" xfId="5521"/>
    <cellStyle name="Input 3" xfId="2272"/>
    <cellStyle name="Input 3 2" xfId="5522"/>
    <cellStyle name="Input 4" xfId="2273"/>
    <cellStyle name="Input 4 2" xfId="5523"/>
    <cellStyle name="Input 5" xfId="2274"/>
    <cellStyle name="Input 5 2" xfId="5524"/>
    <cellStyle name="Input 5 2 2" xfId="10132"/>
    <cellStyle name="Input 5 3" xfId="8902"/>
    <cellStyle name="Input 6" xfId="2275"/>
    <cellStyle name="Input 6 2" xfId="5525"/>
    <cellStyle name="Input 6 2 2" xfId="10133"/>
    <cellStyle name="Input 6 3" xfId="8903"/>
    <cellStyle name="Input 7" xfId="2276"/>
    <cellStyle name="Input 7 2" xfId="5526"/>
    <cellStyle name="Input 7 2 2" xfId="10134"/>
    <cellStyle name="Input 7 3" xfId="8904"/>
    <cellStyle name="Input 8" xfId="2277"/>
    <cellStyle name="Input 8 2" xfId="5527"/>
    <cellStyle name="Input 8 2 2" xfId="10135"/>
    <cellStyle name="Input 8 3" xfId="8905"/>
    <cellStyle name="Input 9" xfId="2278"/>
    <cellStyle name="Input 9 2" xfId="5528"/>
    <cellStyle name="Input Cells" xfId="2279"/>
    <cellStyle name="Input0" xfId="2280"/>
    <cellStyle name="Input0 10" xfId="2281"/>
    <cellStyle name="Input0 10 2" xfId="8907"/>
    <cellStyle name="Input0 11" xfId="2282"/>
    <cellStyle name="Input0 11 2" xfId="8908"/>
    <cellStyle name="Input0 12" xfId="2283"/>
    <cellStyle name="Input0 12 2" xfId="8909"/>
    <cellStyle name="Input0 13" xfId="2284"/>
    <cellStyle name="Input0 13 2" xfId="8910"/>
    <cellStyle name="Input0 14" xfId="2285"/>
    <cellStyle name="Input0 14 2" xfId="8911"/>
    <cellStyle name="Input0 15" xfId="2286"/>
    <cellStyle name="Input0 15 2" xfId="8912"/>
    <cellStyle name="Input0 16" xfId="2287"/>
    <cellStyle name="Input0 16 2" xfId="8913"/>
    <cellStyle name="Input0 17" xfId="2288"/>
    <cellStyle name="Input0 17 2" xfId="8914"/>
    <cellStyle name="Input0 18" xfId="2289"/>
    <cellStyle name="Input0 18 2" xfId="8915"/>
    <cellStyle name="Input0 19" xfId="2290"/>
    <cellStyle name="Input0 19 2" xfId="8916"/>
    <cellStyle name="Input0 2" xfId="2291"/>
    <cellStyle name="Input0 2 2" xfId="8917"/>
    <cellStyle name="Input0 20" xfId="2292"/>
    <cellStyle name="Input0 20 2" xfId="8918"/>
    <cellStyle name="Input0 21" xfId="2293"/>
    <cellStyle name="Input0 21 2" xfId="8919"/>
    <cellStyle name="Input0 22" xfId="2294"/>
    <cellStyle name="Input0 22 2" xfId="8920"/>
    <cellStyle name="Input0 23" xfId="2295"/>
    <cellStyle name="Input0 23 2" xfId="8921"/>
    <cellStyle name="Input0 24" xfId="2296"/>
    <cellStyle name="Input0 24 2" xfId="8922"/>
    <cellStyle name="Input0 25" xfId="2297"/>
    <cellStyle name="Input0 25 2" xfId="8923"/>
    <cellStyle name="Input0 26" xfId="2298"/>
    <cellStyle name="Input0 26 2" xfId="8924"/>
    <cellStyle name="Input0 27" xfId="8906"/>
    <cellStyle name="Input0 3" xfId="2299"/>
    <cellStyle name="Input0 3 2" xfId="8925"/>
    <cellStyle name="Input0 4" xfId="2300"/>
    <cellStyle name="Input0 4 2" xfId="8926"/>
    <cellStyle name="Input0 5" xfId="2301"/>
    <cellStyle name="Input0 5 2" xfId="8927"/>
    <cellStyle name="Input0 6" xfId="2302"/>
    <cellStyle name="Input0 6 2" xfId="8928"/>
    <cellStyle name="Input0 7" xfId="2303"/>
    <cellStyle name="Input0 7 2" xfId="8929"/>
    <cellStyle name="Input0 8" xfId="2304"/>
    <cellStyle name="Input0 8 2" xfId="8930"/>
    <cellStyle name="Input0 9" xfId="2305"/>
    <cellStyle name="Input0 9 2" xfId="8931"/>
    <cellStyle name="InputNormal" xfId="2306"/>
    <cellStyle name="InputNormal 10" xfId="2307"/>
    <cellStyle name="InputNormal 10 2" xfId="8933"/>
    <cellStyle name="InputNormal 11" xfId="2308"/>
    <cellStyle name="InputNormal 11 2" xfId="8934"/>
    <cellStyle name="InputNormal 12" xfId="2309"/>
    <cellStyle name="InputNormal 12 2" xfId="8935"/>
    <cellStyle name="InputNormal 13" xfId="2310"/>
    <cellStyle name="InputNormal 13 2" xfId="8936"/>
    <cellStyle name="InputNormal 14" xfId="2311"/>
    <cellStyle name="InputNormal 14 2" xfId="8937"/>
    <cellStyle name="InputNormal 15" xfId="2312"/>
    <cellStyle name="InputNormal 15 2" xfId="8938"/>
    <cellStyle name="InputNormal 16" xfId="2313"/>
    <cellStyle name="InputNormal 16 2" xfId="8939"/>
    <cellStyle name="InputNormal 17" xfId="2314"/>
    <cellStyle name="InputNormal 17 2" xfId="8940"/>
    <cellStyle name="InputNormal 18" xfId="2315"/>
    <cellStyle name="InputNormal 18 2" xfId="8941"/>
    <cellStyle name="InputNormal 19" xfId="2316"/>
    <cellStyle name="InputNormal 19 2" xfId="8942"/>
    <cellStyle name="InputNormal 2" xfId="2317"/>
    <cellStyle name="InputNormal 2 2" xfId="8943"/>
    <cellStyle name="InputNormal 20" xfId="2318"/>
    <cellStyle name="InputNormal 20 2" xfId="8944"/>
    <cellStyle name="InputNormal 21" xfId="2319"/>
    <cellStyle name="InputNormal 21 2" xfId="8945"/>
    <cellStyle name="InputNormal 22" xfId="2320"/>
    <cellStyle name="InputNormal 22 2" xfId="8946"/>
    <cellStyle name="InputNormal 23" xfId="2321"/>
    <cellStyle name="InputNormal 23 2" xfId="8947"/>
    <cellStyle name="InputNormal 24" xfId="2322"/>
    <cellStyle name="InputNormal 24 2" xfId="8948"/>
    <cellStyle name="InputNormal 25" xfId="2323"/>
    <cellStyle name="InputNormal 25 2" xfId="8949"/>
    <cellStyle name="InputNormal 26" xfId="2324"/>
    <cellStyle name="InputNormal 26 2" xfId="8950"/>
    <cellStyle name="InputNormal 27" xfId="8932"/>
    <cellStyle name="InputNormal 3" xfId="2325"/>
    <cellStyle name="InputNormal 3 2" xfId="8951"/>
    <cellStyle name="InputNormal 4" xfId="2326"/>
    <cellStyle name="InputNormal 4 2" xfId="8952"/>
    <cellStyle name="InputNormal 5" xfId="2327"/>
    <cellStyle name="InputNormal 5 2" xfId="8953"/>
    <cellStyle name="InputNormal 6" xfId="2328"/>
    <cellStyle name="InputNormal 6 2" xfId="8954"/>
    <cellStyle name="InputNormal 7" xfId="2329"/>
    <cellStyle name="InputNormal 7 2" xfId="8955"/>
    <cellStyle name="InputNormal 8" xfId="2330"/>
    <cellStyle name="InputNormal 8 2" xfId="8956"/>
    <cellStyle name="InputNormal 9" xfId="2331"/>
    <cellStyle name="InputNormal 9 2" xfId="8957"/>
    <cellStyle name="InputPercent1" xfId="2332"/>
    <cellStyle name="Labels - Style3" xfId="2333"/>
    <cellStyle name="Labels - Style3 2" xfId="5529"/>
    <cellStyle name="Labels - Style3 2 2" xfId="10901"/>
    <cellStyle name="Labels - Style3 3" xfId="10886"/>
    <cellStyle name="Lien hypertexte" xfId="2334"/>
    <cellStyle name="Lien hypertexte 2" xfId="5530"/>
    <cellStyle name="Link Currency (0)" xfId="2335"/>
    <cellStyle name="Link Currency (2)" xfId="2336"/>
    <cellStyle name="Link Units (0)" xfId="2337"/>
    <cellStyle name="Link Units (1)" xfId="2338"/>
    <cellStyle name="Link Units (2)" xfId="2339"/>
    <cellStyle name="Linked Cell 2" xfId="2340"/>
    <cellStyle name="Linked Cell 2 2" xfId="5531"/>
    <cellStyle name="Linked Cell 3" xfId="2341"/>
    <cellStyle name="Linked Cell 3 2" xfId="5532"/>
    <cellStyle name="Linked Cell 4" xfId="2342"/>
    <cellStyle name="Linked Cell 4 2" xfId="5533"/>
    <cellStyle name="Linked Cell 5" xfId="2343"/>
    <cellStyle name="Linked Cell 5 2" xfId="5534"/>
    <cellStyle name="Linked Cell 5 2 2" xfId="10136"/>
    <cellStyle name="Linked Cell 5 3" xfId="8958"/>
    <cellStyle name="Linked Cell 6" xfId="2344"/>
    <cellStyle name="Linked Cell 6 2" xfId="5535"/>
    <cellStyle name="Linked Cell 6 2 2" xfId="10137"/>
    <cellStyle name="Linked Cell 6 3" xfId="8959"/>
    <cellStyle name="Linked Cell 7" xfId="2345"/>
    <cellStyle name="Linked Cell 7 2" xfId="5536"/>
    <cellStyle name="Linked Cell 7 2 2" xfId="10138"/>
    <cellStyle name="Linked Cell 7 3" xfId="8960"/>
    <cellStyle name="Linked Cell 8" xfId="2346"/>
    <cellStyle name="Linked Cell 8 2" xfId="5537"/>
    <cellStyle name="Linked Cell 8 2 2" xfId="10139"/>
    <cellStyle name="Linked Cell 8 3" xfId="8961"/>
    <cellStyle name="Linked Cell 9" xfId="2347"/>
    <cellStyle name="Linked Cell 9 2" xfId="5538"/>
    <cellStyle name="Linked Cells" xfId="2348"/>
    <cellStyle name="Milliers [0]_!!!GO" xfId="2349"/>
    <cellStyle name="Milliers_!!!GO" xfId="2350"/>
    <cellStyle name="Monétaire [0]_!!!GO" xfId="2351"/>
    <cellStyle name="Monétaire_!!!GO" xfId="2352"/>
    <cellStyle name="Multiple" xfId="2353"/>
    <cellStyle name="Multiple 10" xfId="2354"/>
    <cellStyle name="Multiple 10 2" xfId="8963"/>
    <cellStyle name="Multiple 11" xfId="2355"/>
    <cellStyle name="Multiple 11 2" xfId="8964"/>
    <cellStyle name="Multiple 12" xfId="2356"/>
    <cellStyle name="Multiple 12 2" xfId="8965"/>
    <cellStyle name="Multiple 13" xfId="2357"/>
    <cellStyle name="Multiple 13 2" xfId="8966"/>
    <cellStyle name="Multiple 14" xfId="2358"/>
    <cellStyle name="Multiple 14 2" xfId="8967"/>
    <cellStyle name="Multiple 15" xfId="2359"/>
    <cellStyle name="Multiple 15 2" xfId="8968"/>
    <cellStyle name="Multiple 16" xfId="2360"/>
    <cellStyle name="Multiple 16 2" xfId="8969"/>
    <cellStyle name="Multiple 17" xfId="2361"/>
    <cellStyle name="Multiple 17 2" xfId="8970"/>
    <cellStyle name="Multiple 18" xfId="2362"/>
    <cellStyle name="Multiple 18 2" xfId="8971"/>
    <cellStyle name="Multiple 19" xfId="2363"/>
    <cellStyle name="Multiple 19 2" xfId="8972"/>
    <cellStyle name="Multiple 2" xfId="2364"/>
    <cellStyle name="Multiple 2 2" xfId="8973"/>
    <cellStyle name="Multiple 20" xfId="2365"/>
    <cellStyle name="Multiple 20 2" xfId="8974"/>
    <cellStyle name="Multiple 21" xfId="2366"/>
    <cellStyle name="Multiple 21 2" xfId="8975"/>
    <cellStyle name="Multiple 22" xfId="2367"/>
    <cellStyle name="Multiple 22 2" xfId="8976"/>
    <cellStyle name="Multiple 23" xfId="2368"/>
    <cellStyle name="Multiple 23 2" xfId="8977"/>
    <cellStyle name="Multiple 24" xfId="2369"/>
    <cellStyle name="Multiple 24 2" xfId="8978"/>
    <cellStyle name="Multiple 25" xfId="2370"/>
    <cellStyle name="Multiple 25 2" xfId="8979"/>
    <cellStyle name="Multiple 26" xfId="2371"/>
    <cellStyle name="Multiple 26 2" xfId="8980"/>
    <cellStyle name="Multiple 27" xfId="8962"/>
    <cellStyle name="Multiple 3" xfId="2372"/>
    <cellStyle name="Multiple 3 2" xfId="8981"/>
    <cellStyle name="Multiple 4" xfId="2373"/>
    <cellStyle name="Multiple 4 2" xfId="8982"/>
    <cellStyle name="Multiple 5" xfId="2374"/>
    <cellStyle name="Multiple 5 2" xfId="8983"/>
    <cellStyle name="Multiple 6" xfId="2375"/>
    <cellStyle name="Multiple 6 2" xfId="8984"/>
    <cellStyle name="Multiple 7" xfId="2376"/>
    <cellStyle name="Multiple 7 2" xfId="8985"/>
    <cellStyle name="Multiple 8" xfId="2377"/>
    <cellStyle name="Multiple 8 2" xfId="8986"/>
    <cellStyle name="Multiple 9" xfId="2378"/>
    <cellStyle name="Multiple 9 2" xfId="8987"/>
    <cellStyle name="Neutral 2" xfId="2379"/>
    <cellStyle name="Neutral 2 2" xfId="5539"/>
    <cellStyle name="Neutral 3" xfId="2380"/>
    <cellStyle name="Neutral 3 2" xfId="5540"/>
    <cellStyle name="Neutral 4" xfId="2381"/>
    <cellStyle name="Neutral 4 2" xfId="5541"/>
    <cellStyle name="Neutral 5" xfId="2382"/>
    <cellStyle name="Neutral 5 2" xfId="5542"/>
    <cellStyle name="Neutral 5 2 2" xfId="10140"/>
    <cellStyle name="Neutral 5 3" xfId="8988"/>
    <cellStyle name="Neutral 6" xfId="2383"/>
    <cellStyle name="Neutral 6 2" xfId="5543"/>
    <cellStyle name="Neutral 6 2 2" xfId="10141"/>
    <cellStyle name="Neutral 6 3" xfId="8989"/>
    <cellStyle name="Neutral 7" xfId="2384"/>
    <cellStyle name="Neutral 7 2" xfId="5544"/>
    <cellStyle name="Neutral 7 2 2" xfId="10142"/>
    <cellStyle name="Neutral 7 3" xfId="8990"/>
    <cellStyle name="Neutral 8" xfId="2385"/>
    <cellStyle name="Neutral 8 2" xfId="5545"/>
    <cellStyle name="Neutral 8 2 2" xfId="10143"/>
    <cellStyle name="Neutral 8 3" xfId="8991"/>
    <cellStyle name="Neutral 9" xfId="2386"/>
    <cellStyle name="Neutral 9 2" xfId="5546"/>
    <cellStyle name="no dec" xfId="2387"/>
    <cellStyle name="Norma - Style1" xfId="2388"/>
    <cellStyle name="Norma - Style2" xfId="2389"/>
    <cellStyle name="Norma - Style3" xfId="2390"/>
    <cellStyle name="Norma - Style4" xfId="2391"/>
    <cellStyle name="Norma - Style5" xfId="2392"/>
    <cellStyle name="Norma - Style6" xfId="2393"/>
    <cellStyle name="Norma - Style7" xfId="2394"/>
    <cellStyle name="Norma - Style8" xfId="2395"/>
    <cellStyle name="Normal" xfId="0" builtinId="0"/>
    <cellStyle name="Normal - Style1" xfId="2396"/>
    <cellStyle name="Normal - Style1 10" xfId="2397"/>
    <cellStyle name="Normal - Style1 11" xfId="2398"/>
    <cellStyle name="Normal - Style1 12" xfId="2399"/>
    <cellStyle name="Normal - Style1 13" xfId="2400"/>
    <cellStyle name="Normal - Style1 14" xfId="2401"/>
    <cellStyle name="Normal - Style1 15" xfId="2402"/>
    <cellStyle name="Normal - Style1 16" xfId="2403"/>
    <cellStyle name="Normal - Style1 17" xfId="2404"/>
    <cellStyle name="Normal - Style1 18" xfId="2405"/>
    <cellStyle name="Normal - Style1 19" xfId="2406"/>
    <cellStyle name="Normal - Style1 2" xfId="2407"/>
    <cellStyle name="Normal - Style1 20" xfId="2408"/>
    <cellStyle name="Normal - Style1 21" xfId="2409"/>
    <cellStyle name="Normal - Style1 3" xfId="2410"/>
    <cellStyle name="Normal - Style1 4" xfId="2411"/>
    <cellStyle name="Normal - Style1 5" xfId="2412"/>
    <cellStyle name="Normal - Style1 6" xfId="2413"/>
    <cellStyle name="Normal - Style1 7" xfId="2414"/>
    <cellStyle name="Normal - Style1 8" xfId="2415"/>
    <cellStyle name="Normal - Style1 9" xfId="2416"/>
    <cellStyle name="Normal - Style2" xfId="2417"/>
    <cellStyle name="Normal - Style2 2" xfId="5547"/>
    <cellStyle name="Normal - Style3" xfId="2418"/>
    <cellStyle name="Normal - Style3 2" xfId="5548"/>
    <cellStyle name="Normal - Style4" xfId="2419"/>
    <cellStyle name="Normal - Style4 2" xfId="5549"/>
    <cellStyle name="Normal - Style5" xfId="2420"/>
    <cellStyle name="Normal - Style5 2" xfId="5550"/>
    <cellStyle name="Normal - Style6" xfId="2421"/>
    <cellStyle name="Normal - Style6 2" xfId="5551"/>
    <cellStyle name="Normal - Style7" xfId="2422"/>
    <cellStyle name="Normal - Style7 2" xfId="5552"/>
    <cellStyle name="Normal - Style8" xfId="2423"/>
    <cellStyle name="Normal - Style8 10" xfId="2424"/>
    <cellStyle name="Normal - Style8 10 2" xfId="5553"/>
    <cellStyle name="Normal - Style8 11" xfId="2425"/>
    <cellStyle name="Normal - Style8 11 2" xfId="5554"/>
    <cellStyle name="Normal - Style8 12" xfId="2426"/>
    <cellStyle name="Normal - Style8 12 2" xfId="5555"/>
    <cellStyle name="Normal - Style8 13" xfId="2427"/>
    <cellStyle name="Normal - Style8 13 2" xfId="5556"/>
    <cellStyle name="Normal - Style8 14" xfId="2428"/>
    <cellStyle name="Normal - Style8 14 2" xfId="5557"/>
    <cellStyle name="Normal - Style8 15" xfId="2429"/>
    <cellStyle name="Normal - Style8 15 2" xfId="5558"/>
    <cellStyle name="Normal - Style8 16" xfId="2430"/>
    <cellStyle name="Normal - Style8 16 2" xfId="5559"/>
    <cellStyle name="Normal - Style8 17" xfId="2431"/>
    <cellStyle name="Normal - Style8 17 2" xfId="5560"/>
    <cellStyle name="Normal - Style8 18" xfId="2432"/>
    <cellStyle name="Normal - Style8 18 2" xfId="5561"/>
    <cellStyle name="Normal - Style8 19" xfId="2433"/>
    <cellStyle name="Normal - Style8 19 2" xfId="5562"/>
    <cellStyle name="Normal - Style8 2" xfId="2434"/>
    <cellStyle name="Normal - Style8 2 2" xfId="5563"/>
    <cellStyle name="Normal - Style8 20" xfId="2435"/>
    <cellStyle name="Normal - Style8 20 2" xfId="5564"/>
    <cellStyle name="Normal - Style8 21" xfId="2436"/>
    <cellStyle name="Normal - Style8 21 2" xfId="5565"/>
    <cellStyle name="Normal - Style8 22" xfId="5566"/>
    <cellStyle name="Normal - Style8 3" xfId="2437"/>
    <cellStyle name="Normal - Style8 3 2" xfId="5567"/>
    <cellStyle name="Normal - Style8 4" xfId="2438"/>
    <cellStyle name="Normal - Style8 4 2" xfId="5568"/>
    <cellStyle name="Normal - Style8 5" xfId="2439"/>
    <cellStyle name="Normal - Style8 5 2" xfId="5569"/>
    <cellStyle name="Normal - Style8 6" xfId="2440"/>
    <cellStyle name="Normal - Style8 6 2" xfId="5570"/>
    <cellStyle name="Normal - Style8 7" xfId="2441"/>
    <cellStyle name="Normal - Style8 7 2" xfId="5571"/>
    <cellStyle name="Normal - Style8 8" xfId="2442"/>
    <cellStyle name="Normal - Style8 8 2" xfId="5572"/>
    <cellStyle name="Normal - Style8 9" xfId="2443"/>
    <cellStyle name="Normal - Style8 9 2" xfId="5573"/>
    <cellStyle name="Normal 10" xfId="2"/>
    <cellStyle name="Normal 10 10" xfId="2444"/>
    <cellStyle name="Normal 10 10 2" xfId="8992"/>
    <cellStyle name="Normal 10 11" xfId="2445"/>
    <cellStyle name="Normal 10 11 2" xfId="8993"/>
    <cellStyle name="Normal 10 12" xfId="2446"/>
    <cellStyle name="Normal 10 12 2" xfId="8994"/>
    <cellStyle name="Normal 10 13" xfId="2447"/>
    <cellStyle name="Normal 10 13 2" xfId="8995"/>
    <cellStyle name="Normal 10 14" xfId="2448"/>
    <cellStyle name="Normal 10 14 2" xfId="8996"/>
    <cellStyle name="Normal 10 15" xfId="2449"/>
    <cellStyle name="Normal 10 15 2" xfId="8997"/>
    <cellStyle name="Normal 10 16" xfId="2450"/>
    <cellStyle name="Normal 10 16 2" xfId="8998"/>
    <cellStyle name="Normal 10 17" xfId="2451"/>
    <cellStyle name="Normal 10 17 2" xfId="8999"/>
    <cellStyle name="Normal 10 18" xfId="2452"/>
    <cellStyle name="Normal 10 18 2" xfId="9000"/>
    <cellStyle name="Normal 10 19" xfId="2453"/>
    <cellStyle name="Normal 10 19 2" xfId="9001"/>
    <cellStyle name="Normal 10 2" xfId="2454"/>
    <cellStyle name="Normal 10 2 2" xfId="9002"/>
    <cellStyle name="Normal 10 20" xfId="2455"/>
    <cellStyle name="Normal 10 20 2" xfId="9003"/>
    <cellStyle name="Normal 10 21" xfId="2456"/>
    <cellStyle name="Normal 10 21 2" xfId="9004"/>
    <cellStyle name="Normal 10 22" xfId="2457"/>
    <cellStyle name="Normal 10 23" xfId="5574"/>
    <cellStyle name="Normal 10 24" xfId="7788"/>
    <cellStyle name="Normal 10 3" xfId="2458"/>
    <cellStyle name="Normal 10 3 2" xfId="9005"/>
    <cellStyle name="Normal 10 4" xfId="2459"/>
    <cellStyle name="Normal 10 4 2" xfId="9006"/>
    <cellStyle name="Normal 10 5" xfId="2460"/>
    <cellStyle name="Normal 10 5 2" xfId="9007"/>
    <cellStyle name="Normal 10 6" xfId="2461"/>
    <cellStyle name="Normal 10 6 2" xfId="9008"/>
    <cellStyle name="Normal 10 7" xfId="2462"/>
    <cellStyle name="Normal 10 7 2" xfId="9009"/>
    <cellStyle name="Normal 10 8" xfId="2463"/>
    <cellStyle name="Normal 10 8 2" xfId="9010"/>
    <cellStyle name="Normal 10 9" xfId="2464"/>
    <cellStyle name="Normal 10 9 2" xfId="9011"/>
    <cellStyle name="Normal 11" xfId="2465"/>
    <cellStyle name="Normal 11 10" xfId="2466"/>
    <cellStyle name="Normal 11 10 2" xfId="5575"/>
    <cellStyle name="Normal 11 10 2 2" xfId="10144"/>
    <cellStyle name="Normal 11 10 3" xfId="9012"/>
    <cellStyle name="Normal 11 11" xfId="2467"/>
    <cellStyle name="Normal 11 11 2" xfId="5576"/>
    <cellStyle name="Normal 11 11 2 2" xfId="10145"/>
    <cellStyle name="Normal 11 11 3" xfId="9013"/>
    <cellStyle name="Normal 11 12" xfId="2468"/>
    <cellStyle name="Normal 11 12 2" xfId="5577"/>
    <cellStyle name="Normal 11 12 2 2" xfId="10146"/>
    <cellStyle name="Normal 11 12 3" xfId="9014"/>
    <cellStyle name="Normal 11 13" xfId="2469"/>
    <cellStyle name="Normal 11 13 2" xfId="5578"/>
    <cellStyle name="Normal 11 13 2 2" xfId="10147"/>
    <cellStyle name="Normal 11 13 3" xfId="9015"/>
    <cellStyle name="Normal 11 14" xfId="2470"/>
    <cellStyle name="Normal 11 14 2" xfId="5579"/>
    <cellStyle name="Normal 11 14 2 2" xfId="10148"/>
    <cellStyle name="Normal 11 14 3" xfId="9016"/>
    <cellStyle name="Normal 11 15" xfId="2471"/>
    <cellStyle name="Normal 11 15 2" xfId="5580"/>
    <cellStyle name="Normal 11 15 2 2" xfId="10149"/>
    <cellStyle name="Normal 11 15 3" xfId="9017"/>
    <cellStyle name="Normal 11 16" xfId="2472"/>
    <cellStyle name="Normal 11 16 2" xfId="5581"/>
    <cellStyle name="Normal 11 16 2 2" xfId="10150"/>
    <cellStyle name="Normal 11 16 3" xfId="9018"/>
    <cellStyle name="Normal 11 17" xfId="2473"/>
    <cellStyle name="Normal 11 17 2" xfId="5582"/>
    <cellStyle name="Normal 11 17 2 2" xfId="10151"/>
    <cellStyle name="Normal 11 17 3" xfId="9019"/>
    <cellStyle name="Normal 11 18" xfId="2474"/>
    <cellStyle name="Normal 11 18 2" xfId="5583"/>
    <cellStyle name="Normal 11 18 2 2" xfId="10152"/>
    <cellStyle name="Normal 11 18 3" xfId="9020"/>
    <cellStyle name="Normal 11 19" xfId="2475"/>
    <cellStyle name="Normal 11 19 2" xfId="5584"/>
    <cellStyle name="Normal 11 19 2 2" xfId="10153"/>
    <cellStyle name="Normal 11 19 3" xfId="9021"/>
    <cellStyle name="Normal 11 2" xfId="2476"/>
    <cellStyle name="Normal 11 2 2" xfId="5585"/>
    <cellStyle name="Normal 11 2 2 2" xfId="10154"/>
    <cellStyle name="Normal 11 2 3" xfId="9022"/>
    <cellStyle name="Normal 11 20" xfId="2477"/>
    <cellStyle name="Normal 11 20 2" xfId="5586"/>
    <cellStyle name="Normal 11 20 2 2" xfId="10155"/>
    <cellStyle name="Normal 11 20 3" xfId="9023"/>
    <cellStyle name="Normal 11 21" xfId="2478"/>
    <cellStyle name="Normal 11 21 2" xfId="5587"/>
    <cellStyle name="Normal 11 21 2 2" xfId="10156"/>
    <cellStyle name="Normal 11 21 3" xfId="9024"/>
    <cellStyle name="Normal 11 22" xfId="2479"/>
    <cellStyle name="Normal 11 22 2" xfId="7453"/>
    <cellStyle name="Normal 11 22 2 2" xfId="11143"/>
    <cellStyle name="Normal 11 22 3" xfId="10983"/>
    <cellStyle name="Normal 11 23" xfId="7452"/>
    <cellStyle name="Normal 11 23 2" xfId="11142"/>
    <cellStyle name="Normal 11 24" xfId="10982"/>
    <cellStyle name="Normal 11 3" xfId="2480"/>
    <cellStyle name="Normal 11 3 2" xfId="5588"/>
    <cellStyle name="Normal 11 3 2 2" xfId="10157"/>
    <cellStyle name="Normal 11 3 3" xfId="9025"/>
    <cellStyle name="Normal 11 4" xfId="2481"/>
    <cellStyle name="Normal 11 4 2" xfId="5589"/>
    <cellStyle name="Normal 11 4 2 2" xfId="10158"/>
    <cellStyle name="Normal 11 4 3" xfId="9026"/>
    <cellStyle name="Normal 11 5" xfId="2482"/>
    <cellStyle name="Normal 11 5 2" xfId="5590"/>
    <cellStyle name="Normal 11 5 2 2" xfId="10159"/>
    <cellStyle name="Normal 11 5 3" xfId="9027"/>
    <cellStyle name="Normal 11 6" xfId="2483"/>
    <cellStyle name="Normal 11 6 2" xfId="5591"/>
    <cellStyle name="Normal 11 6 2 2" xfId="10160"/>
    <cellStyle name="Normal 11 6 3" xfId="9028"/>
    <cellStyle name="Normal 11 7" xfId="2484"/>
    <cellStyle name="Normal 11 7 2" xfId="5592"/>
    <cellStyle name="Normal 11 7 2 2" xfId="10161"/>
    <cellStyle name="Normal 11 7 3" xfId="9029"/>
    <cellStyle name="Normal 11 8" xfId="2485"/>
    <cellStyle name="Normal 11 8 2" xfId="5593"/>
    <cellStyle name="Normal 11 8 2 2" xfId="10162"/>
    <cellStyle name="Normal 11 8 3" xfId="9030"/>
    <cellStyle name="Normal 11 9" xfId="2486"/>
    <cellStyle name="Normal 11 9 2" xfId="5594"/>
    <cellStyle name="Normal 11 9 2 2" xfId="10163"/>
    <cellStyle name="Normal 11 9 3" xfId="9031"/>
    <cellStyle name="Normal 12" xfId="2487"/>
    <cellStyle name="Normal 12 10" xfId="2488"/>
    <cellStyle name="Normal 12 10 2" xfId="5595"/>
    <cellStyle name="Normal 12 10 2 2" xfId="10164"/>
    <cellStyle name="Normal 12 10 3" xfId="9032"/>
    <cellStyle name="Normal 12 11" xfId="2489"/>
    <cellStyle name="Normal 12 11 2" xfId="5596"/>
    <cellStyle name="Normal 12 11 2 2" xfId="10165"/>
    <cellStyle name="Normal 12 11 3" xfId="9033"/>
    <cellStyle name="Normal 12 12" xfId="2490"/>
    <cellStyle name="Normal 12 12 2" xfId="5597"/>
    <cellStyle name="Normal 12 12 2 2" xfId="10166"/>
    <cellStyle name="Normal 12 12 3" xfId="9034"/>
    <cellStyle name="Normal 12 13" xfId="2491"/>
    <cellStyle name="Normal 12 13 2" xfId="5598"/>
    <cellStyle name="Normal 12 13 2 2" xfId="10167"/>
    <cellStyle name="Normal 12 13 3" xfId="9035"/>
    <cellStyle name="Normal 12 14" xfId="2492"/>
    <cellStyle name="Normal 12 14 2" xfId="5599"/>
    <cellStyle name="Normal 12 14 2 2" xfId="10168"/>
    <cellStyle name="Normal 12 14 3" xfId="9036"/>
    <cellStyle name="Normal 12 15" xfId="2493"/>
    <cellStyle name="Normal 12 15 2" xfId="5600"/>
    <cellStyle name="Normal 12 15 2 2" xfId="10169"/>
    <cellStyle name="Normal 12 15 3" xfId="9037"/>
    <cellStyle name="Normal 12 16" xfId="2494"/>
    <cellStyle name="Normal 12 16 2" xfId="5601"/>
    <cellStyle name="Normal 12 16 2 2" xfId="10170"/>
    <cellStyle name="Normal 12 16 3" xfId="9038"/>
    <cellStyle name="Normal 12 17" xfId="2495"/>
    <cellStyle name="Normal 12 17 2" xfId="5602"/>
    <cellStyle name="Normal 12 17 2 2" xfId="10171"/>
    <cellStyle name="Normal 12 17 3" xfId="9039"/>
    <cellStyle name="Normal 12 18" xfId="2496"/>
    <cellStyle name="Normal 12 18 2" xfId="5603"/>
    <cellStyle name="Normal 12 18 2 2" xfId="10172"/>
    <cellStyle name="Normal 12 18 3" xfId="9040"/>
    <cellStyle name="Normal 12 19" xfId="2497"/>
    <cellStyle name="Normal 12 19 2" xfId="5604"/>
    <cellStyle name="Normal 12 19 2 2" xfId="10173"/>
    <cellStyle name="Normal 12 19 3" xfId="9041"/>
    <cellStyle name="Normal 12 2" xfId="2498"/>
    <cellStyle name="Normal 12 2 2" xfId="5605"/>
    <cellStyle name="Normal 12 2 2 2" xfId="10174"/>
    <cellStyle name="Normal 12 2 3" xfId="9042"/>
    <cellStyle name="Normal 12 20" xfId="2499"/>
    <cellStyle name="Normal 12 20 2" xfId="5606"/>
    <cellStyle name="Normal 12 20 2 2" xfId="10175"/>
    <cellStyle name="Normal 12 20 3" xfId="9043"/>
    <cellStyle name="Normal 12 21" xfId="2500"/>
    <cellStyle name="Normal 12 21 2" xfId="5607"/>
    <cellStyle name="Normal 12 21 2 2" xfId="10176"/>
    <cellStyle name="Normal 12 21 3" xfId="9044"/>
    <cellStyle name="Normal 12 22" xfId="5608"/>
    <cellStyle name="Normal 12 23" xfId="7454"/>
    <cellStyle name="Normal 12 23 2" xfId="11144"/>
    <cellStyle name="Normal 12 24" xfId="10984"/>
    <cellStyle name="Normal 12 3" xfId="2501"/>
    <cellStyle name="Normal 12 3 2" xfId="5609"/>
    <cellStyle name="Normal 12 3 2 2" xfId="10177"/>
    <cellStyle name="Normal 12 3 3" xfId="9045"/>
    <cellStyle name="Normal 12 4" xfId="2502"/>
    <cellStyle name="Normal 12 4 2" xfId="5610"/>
    <cellStyle name="Normal 12 4 2 2" xfId="10178"/>
    <cellStyle name="Normal 12 4 3" xfId="9046"/>
    <cellStyle name="Normal 12 5" xfId="2503"/>
    <cellStyle name="Normal 12 5 2" xfId="5611"/>
    <cellStyle name="Normal 12 5 2 2" xfId="10179"/>
    <cellStyle name="Normal 12 5 3" xfId="9047"/>
    <cellStyle name="Normal 12 6" xfId="2504"/>
    <cellStyle name="Normal 12 6 2" xfId="5612"/>
    <cellStyle name="Normal 12 6 2 2" xfId="10180"/>
    <cellStyle name="Normal 12 6 3" xfId="9048"/>
    <cellStyle name="Normal 12 7" xfId="2505"/>
    <cellStyle name="Normal 12 7 2" xfId="5613"/>
    <cellStyle name="Normal 12 7 2 2" xfId="10181"/>
    <cellStyle name="Normal 12 7 3" xfId="9049"/>
    <cellStyle name="Normal 12 8" xfId="2506"/>
    <cellStyle name="Normal 12 8 2" xfId="5614"/>
    <cellStyle name="Normal 12 8 2 2" xfId="10182"/>
    <cellStyle name="Normal 12 8 3" xfId="9050"/>
    <cellStyle name="Normal 12 9" xfId="2507"/>
    <cellStyle name="Normal 12 9 2" xfId="5615"/>
    <cellStyle name="Normal 12 9 2 2" xfId="10183"/>
    <cellStyle name="Normal 12 9 3" xfId="9051"/>
    <cellStyle name="Normal 13" xfId="2508"/>
    <cellStyle name="Normal 13 10" xfId="2509"/>
    <cellStyle name="Normal 13 10 2" xfId="5616"/>
    <cellStyle name="Normal 13 10 2 2" xfId="10184"/>
    <cellStyle name="Normal 13 10 3" xfId="9052"/>
    <cellStyle name="Normal 13 11" xfId="2510"/>
    <cellStyle name="Normal 13 11 2" xfId="5617"/>
    <cellStyle name="Normal 13 11 2 2" xfId="10185"/>
    <cellStyle name="Normal 13 11 3" xfId="9053"/>
    <cellStyle name="Normal 13 12" xfId="2511"/>
    <cellStyle name="Normal 13 12 2" xfId="5618"/>
    <cellStyle name="Normal 13 12 2 2" xfId="10186"/>
    <cellStyle name="Normal 13 12 3" xfId="9054"/>
    <cellStyle name="Normal 13 13" xfId="2512"/>
    <cellStyle name="Normal 13 13 2" xfId="5619"/>
    <cellStyle name="Normal 13 13 2 2" xfId="10187"/>
    <cellStyle name="Normal 13 13 3" xfId="9055"/>
    <cellStyle name="Normal 13 14" xfId="2513"/>
    <cellStyle name="Normal 13 14 2" xfId="5620"/>
    <cellStyle name="Normal 13 14 2 2" xfId="10188"/>
    <cellStyle name="Normal 13 14 3" xfId="9056"/>
    <cellStyle name="Normal 13 15" xfId="2514"/>
    <cellStyle name="Normal 13 15 2" xfId="5621"/>
    <cellStyle name="Normal 13 15 2 2" xfId="10189"/>
    <cellStyle name="Normal 13 15 3" xfId="9057"/>
    <cellStyle name="Normal 13 16" xfId="2515"/>
    <cellStyle name="Normal 13 16 2" xfId="5622"/>
    <cellStyle name="Normal 13 16 2 2" xfId="10190"/>
    <cellStyle name="Normal 13 16 3" xfId="9058"/>
    <cellStyle name="Normal 13 17" xfId="2516"/>
    <cellStyle name="Normal 13 17 2" xfId="5623"/>
    <cellStyle name="Normal 13 17 2 2" xfId="10191"/>
    <cellStyle name="Normal 13 17 3" xfId="9059"/>
    <cellStyle name="Normal 13 18" xfId="2517"/>
    <cellStyle name="Normal 13 18 2" xfId="5624"/>
    <cellStyle name="Normal 13 18 2 2" xfId="10192"/>
    <cellStyle name="Normal 13 18 3" xfId="9060"/>
    <cellStyle name="Normal 13 19" xfId="2518"/>
    <cellStyle name="Normal 13 19 2" xfId="5625"/>
    <cellStyle name="Normal 13 19 2 2" xfId="10193"/>
    <cellStyle name="Normal 13 19 3" xfId="9061"/>
    <cellStyle name="Normal 13 2" xfId="2519"/>
    <cellStyle name="Normal 13 2 2" xfId="5626"/>
    <cellStyle name="Normal 13 2 2 2" xfId="10194"/>
    <cellStyle name="Normal 13 2 3" xfId="9062"/>
    <cellStyle name="Normal 13 20" xfId="2520"/>
    <cellStyle name="Normal 13 20 2" xfId="5627"/>
    <cellStyle name="Normal 13 20 2 2" xfId="10195"/>
    <cellStyle name="Normal 13 20 3" xfId="9063"/>
    <cellStyle name="Normal 13 21" xfId="2521"/>
    <cellStyle name="Normal 13 21 2" xfId="5628"/>
    <cellStyle name="Normal 13 21 2 2" xfId="10196"/>
    <cellStyle name="Normal 13 21 3" xfId="9064"/>
    <cellStyle name="Normal 13 22" xfId="5629"/>
    <cellStyle name="Normal 13 23" xfId="7455"/>
    <cellStyle name="Normal 13 3" xfId="2522"/>
    <cellStyle name="Normal 13 3 2" xfId="5630"/>
    <cellStyle name="Normal 13 3 2 2" xfId="10197"/>
    <cellStyle name="Normal 13 3 3" xfId="9065"/>
    <cellStyle name="Normal 13 4" xfId="2523"/>
    <cellStyle name="Normal 13 4 2" xfId="5631"/>
    <cellStyle name="Normal 13 4 2 2" xfId="10198"/>
    <cellStyle name="Normal 13 4 3" xfId="9066"/>
    <cellStyle name="Normal 13 5" xfId="2524"/>
    <cellStyle name="Normal 13 5 2" xfId="5632"/>
    <cellStyle name="Normal 13 5 2 2" xfId="10199"/>
    <cellStyle name="Normal 13 5 3" xfId="9067"/>
    <cellStyle name="Normal 13 6" xfId="2525"/>
    <cellStyle name="Normal 13 6 2" xfId="5633"/>
    <cellStyle name="Normal 13 6 2 2" xfId="10200"/>
    <cellStyle name="Normal 13 6 3" xfId="9068"/>
    <cellStyle name="Normal 13 7" xfId="2526"/>
    <cellStyle name="Normal 13 7 2" xfId="5634"/>
    <cellStyle name="Normal 13 7 2 2" xfId="10201"/>
    <cellStyle name="Normal 13 7 3" xfId="9069"/>
    <cellStyle name="Normal 13 8" xfId="2527"/>
    <cellStyle name="Normal 13 8 2" xfId="5635"/>
    <cellStyle name="Normal 13 8 2 2" xfId="10202"/>
    <cellStyle name="Normal 13 8 3" xfId="9070"/>
    <cellStyle name="Normal 13 9" xfId="2528"/>
    <cellStyle name="Normal 13 9 2" xfId="5636"/>
    <cellStyle name="Normal 13 9 2 2" xfId="10203"/>
    <cellStyle name="Normal 13 9 3" xfId="9071"/>
    <cellStyle name="Normal 14" xfId="2529"/>
    <cellStyle name="Normal 14 10" xfId="2530"/>
    <cellStyle name="Normal 14 10 2" xfId="5637"/>
    <cellStyle name="Normal 14 11" xfId="2531"/>
    <cellStyle name="Normal 14 11 2" xfId="5638"/>
    <cellStyle name="Normal 14 12" xfId="2532"/>
    <cellStyle name="Normal 14 12 2" xfId="5639"/>
    <cellStyle name="Normal 14 13" xfId="2533"/>
    <cellStyle name="Normal 14 13 2" xfId="5640"/>
    <cellStyle name="Normal 14 14" xfId="2534"/>
    <cellStyle name="Normal 14 14 2" xfId="5641"/>
    <cellStyle name="Normal 14 15" xfId="2535"/>
    <cellStyle name="Normal 14 15 2" xfId="5642"/>
    <cellStyle name="Normal 14 16" xfId="2536"/>
    <cellStyle name="Normal 14 16 2" xfId="5643"/>
    <cellStyle name="Normal 14 17" xfId="2537"/>
    <cellStyle name="Normal 14 17 2" xfId="5644"/>
    <cellStyle name="Normal 14 18" xfId="2538"/>
    <cellStyle name="Normal 14 18 2" xfId="5645"/>
    <cellStyle name="Normal 14 19" xfId="2539"/>
    <cellStyle name="Normal 14 19 2" xfId="5646"/>
    <cellStyle name="Normal 14 2" xfId="2540"/>
    <cellStyle name="Normal 14 2 2" xfId="5647"/>
    <cellStyle name="Normal 14 20" xfId="2541"/>
    <cellStyle name="Normal 14 20 2" xfId="5648"/>
    <cellStyle name="Normal 14 21" xfId="2542"/>
    <cellStyle name="Normal 14 21 2" xfId="5649"/>
    <cellStyle name="Normal 14 22" xfId="5650"/>
    <cellStyle name="Normal 14 3" xfId="2543"/>
    <cellStyle name="Normal 14 3 2" xfId="5651"/>
    <cellStyle name="Normal 14 4" xfId="2544"/>
    <cellStyle name="Normal 14 4 2" xfId="5652"/>
    <cellStyle name="Normal 14 5" xfId="2545"/>
    <cellStyle name="Normal 14 5 2" xfId="5653"/>
    <cellStyle name="Normal 14 6" xfId="2546"/>
    <cellStyle name="Normal 14 6 2" xfId="5654"/>
    <cellStyle name="Normal 14 7" xfId="2547"/>
    <cellStyle name="Normal 14 7 2" xfId="5655"/>
    <cellStyle name="Normal 14 8" xfId="2548"/>
    <cellStyle name="Normal 14 8 2" xfId="5656"/>
    <cellStyle name="Normal 14 9" xfId="2549"/>
    <cellStyle name="Normal 14 9 2" xfId="5657"/>
    <cellStyle name="Normal 15" xfId="2550"/>
    <cellStyle name="Normal 15 10" xfId="2551"/>
    <cellStyle name="Normal 15 10 2" xfId="5658"/>
    <cellStyle name="Normal 15 10 2 2" xfId="10204"/>
    <cellStyle name="Normal 15 10 3" xfId="9072"/>
    <cellStyle name="Normal 15 11" xfId="2552"/>
    <cellStyle name="Normal 15 11 2" xfId="5659"/>
    <cellStyle name="Normal 15 11 2 2" xfId="10205"/>
    <cellStyle name="Normal 15 11 3" xfId="9073"/>
    <cellStyle name="Normal 15 12" xfId="2553"/>
    <cellStyle name="Normal 15 12 2" xfId="5660"/>
    <cellStyle name="Normal 15 12 2 2" xfId="10206"/>
    <cellStyle name="Normal 15 12 3" xfId="9074"/>
    <cellStyle name="Normal 15 13" xfId="2554"/>
    <cellStyle name="Normal 15 13 2" xfId="5661"/>
    <cellStyle name="Normal 15 13 2 2" xfId="10207"/>
    <cellStyle name="Normal 15 13 3" xfId="9075"/>
    <cellStyle name="Normal 15 14" xfId="2555"/>
    <cellStyle name="Normal 15 14 2" xfId="5662"/>
    <cellStyle name="Normal 15 14 2 2" xfId="10208"/>
    <cellStyle name="Normal 15 14 3" xfId="9076"/>
    <cellStyle name="Normal 15 15" xfId="2556"/>
    <cellStyle name="Normal 15 15 2" xfId="5663"/>
    <cellStyle name="Normal 15 15 2 2" xfId="10209"/>
    <cellStyle name="Normal 15 15 3" xfId="9077"/>
    <cellStyle name="Normal 15 16" xfId="2557"/>
    <cellStyle name="Normal 15 16 2" xfId="5664"/>
    <cellStyle name="Normal 15 16 2 2" xfId="10210"/>
    <cellStyle name="Normal 15 16 3" xfId="9078"/>
    <cellStyle name="Normal 15 17" xfId="2558"/>
    <cellStyle name="Normal 15 17 2" xfId="5665"/>
    <cellStyle name="Normal 15 17 2 2" xfId="10211"/>
    <cellStyle name="Normal 15 17 3" xfId="9079"/>
    <cellStyle name="Normal 15 18" xfId="2559"/>
    <cellStyle name="Normal 15 18 2" xfId="5666"/>
    <cellStyle name="Normal 15 18 2 2" xfId="10212"/>
    <cellStyle name="Normal 15 18 3" xfId="9080"/>
    <cellStyle name="Normal 15 19" xfId="2560"/>
    <cellStyle name="Normal 15 19 2" xfId="5667"/>
    <cellStyle name="Normal 15 19 2 2" xfId="10213"/>
    <cellStyle name="Normal 15 19 3" xfId="9081"/>
    <cellStyle name="Normal 15 2" xfId="2561"/>
    <cellStyle name="Normal 15 2 2" xfId="5668"/>
    <cellStyle name="Normal 15 2 2 2" xfId="10214"/>
    <cellStyle name="Normal 15 2 3" xfId="9082"/>
    <cellStyle name="Normal 15 20" xfId="2562"/>
    <cellStyle name="Normal 15 20 2" xfId="5669"/>
    <cellStyle name="Normal 15 20 2 2" xfId="10215"/>
    <cellStyle name="Normal 15 20 3" xfId="9083"/>
    <cellStyle name="Normal 15 21" xfId="2563"/>
    <cellStyle name="Normal 15 21 2" xfId="5670"/>
    <cellStyle name="Normal 15 21 2 2" xfId="10216"/>
    <cellStyle name="Normal 15 21 3" xfId="9084"/>
    <cellStyle name="Normal 15 22" xfId="5671"/>
    <cellStyle name="Normal 15 3" xfId="2564"/>
    <cellStyle name="Normal 15 3 2" xfId="5672"/>
    <cellStyle name="Normal 15 3 2 2" xfId="10217"/>
    <cellStyle name="Normal 15 3 3" xfId="9085"/>
    <cellStyle name="Normal 15 4" xfId="2565"/>
    <cellStyle name="Normal 15 4 2" xfId="5673"/>
    <cellStyle name="Normal 15 4 2 2" xfId="10218"/>
    <cellStyle name="Normal 15 4 3" xfId="9086"/>
    <cellStyle name="Normal 15 5" xfId="2566"/>
    <cellStyle name="Normal 15 5 2" xfId="5674"/>
    <cellStyle name="Normal 15 5 2 2" xfId="10219"/>
    <cellStyle name="Normal 15 5 3" xfId="9087"/>
    <cellStyle name="Normal 15 6" xfId="2567"/>
    <cellStyle name="Normal 15 6 2" xfId="5675"/>
    <cellStyle name="Normal 15 6 2 2" xfId="10220"/>
    <cellStyle name="Normal 15 6 3" xfId="9088"/>
    <cellStyle name="Normal 15 7" xfId="2568"/>
    <cellStyle name="Normal 15 7 2" xfId="5676"/>
    <cellStyle name="Normal 15 7 2 2" xfId="10221"/>
    <cellStyle name="Normal 15 7 3" xfId="9089"/>
    <cellStyle name="Normal 15 8" xfId="2569"/>
    <cellStyle name="Normal 15 8 2" xfId="5677"/>
    <cellStyle name="Normal 15 8 2 2" xfId="10222"/>
    <cellStyle name="Normal 15 8 3" xfId="9090"/>
    <cellStyle name="Normal 15 9" xfId="2570"/>
    <cellStyle name="Normal 15 9 2" xfId="5678"/>
    <cellStyle name="Normal 15 9 2 2" xfId="10223"/>
    <cellStyle name="Normal 15 9 3" xfId="9091"/>
    <cellStyle name="Normal 16" xfId="2571"/>
    <cellStyle name="Normal 16 2" xfId="2572"/>
    <cellStyle name="Normal 16 2 2" xfId="5679"/>
    <cellStyle name="Normal 16 2 2 2" xfId="10224"/>
    <cellStyle name="Normal 16 2 3" xfId="9093"/>
    <cellStyle name="Normal 16 3" xfId="2573"/>
    <cellStyle name="Normal 16 3 2" xfId="5680"/>
    <cellStyle name="Normal 16 3 2 2" xfId="10225"/>
    <cellStyle name="Normal 16 3 3" xfId="9094"/>
    <cellStyle name="Normal 16 4" xfId="5681"/>
    <cellStyle name="Normal 16 4 2" xfId="10226"/>
    <cellStyle name="Normal 16 5" xfId="2574"/>
    <cellStyle name="Normal 16 5 2" xfId="9095"/>
    <cellStyle name="Normal 16 6" xfId="9092"/>
    <cellStyle name="Normal 17" xfId="2575"/>
    <cellStyle name="Normal 17 10" xfId="2576"/>
    <cellStyle name="Normal 17 10 2" xfId="5682"/>
    <cellStyle name="Normal 17 10 2 2" xfId="10227"/>
    <cellStyle name="Normal 17 10 3" xfId="9096"/>
    <cellStyle name="Normal 17 11" xfId="2577"/>
    <cellStyle name="Normal 17 11 2" xfId="5683"/>
    <cellStyle name="Normal 17 11 2 2" xfId="10228"/>
    <cellStyle name="Normal 17 11 3" xfId="9097"/>
    <cellStyle name="Normal 17 12" xfId="2578"/>
    <cellStyle name="Normal 17 12 2" xfId="5684"/>
    <cellStyle name="Normal 17 12 2 2" xfId="10229"/>
    <cellStyle name="Normal 17 12 3" xfId="9098"/>
    <cellStyle name="Normal 17 13" xfId="2579"/>
    <cellStyle name="Normal 17 13 2" xfId="5685"/>
    <cellStyle name="Normal 17 13 2 2" xfId="10230"/>
    <cellStyle name="Normal 17 13 3" xfId="9099"/>
    <cellStyle name="Normal 17 14" xfId="2580"/>
    <cellStyle name="Normal 17 14 2" xfId="5686"/>
    <cellStyle name="Normal 17 14 2 2" xfId="10231"/>
    <cellStyle name="Normal 17 14 3" xfId="9100"/>
    <cellStyle name="Normal 17 15" xfId="2581"/>
    <cellStyle name="Normal 17 15 2" xfId="5687"/>
    <cellStyle name="Normal 17 15 2 2" xfId="10232"/>
    <cellStyle name="Normal 17 15 3" xfId="9101"/>
    <cellStyle name="Normal 17 16" xfId="2582"/>
    <cellStyle name="Normal 17 16 2" xfId="5688"/>
    <cellStyle name="Normal 17 16 2 2" xfId="10233"/>
    <cellStyle name="Normal 17 16 3" xfId="9102"/>
    <cellStyle name="Normal 17 17" xfId="2583"/>
    <cellStyle name="Normal 17 17 2" xfId="5689"/>
    <cellStyle name="Normal 17 17 2 2" xfId="10234"/>
    <cellStyle name="Normal 17 17 3" xfId="9103"/>
    <cellStyle name="Normal 17 18" xfId="2584"/>
    <cellStyle name="Normal 17 18 2" xfId="5690"/>
    <cellStyle name="Normal 17 18 2 2" xfId="10235"/>
    <cellStyle name="Normal 17 18 3" xfId="9104"/>
    <cellStyle name="Normal 17 19" xfId="2585"/>
    <cellStyle name="Normal 17 19 2" xfId="5691"/>
    <cellStyle name="Normal 17 19 2 2" xfId="10236"/>
    <cellStyle name="Normal 17 19 3" xfId="9105"/>
    <cellStyle name="Normal 17 2" xfId="2586"/>
    <cellStyle name="Normal 17 2 2" xfId="5692"/>
    <cellStyle name="Normal 17 2 2 2" xfId="10237"/>
    <cellStyle name="Normal 17 2 3" xfId="9106"/>
    <cellStyle name="Normal 17 20" xfId="2587"/>
    <cellStyle name="Normal 17 20 2" xfId="5693"/>
    <cellStyle name="Normal 17 20 2 2" xfId="10238"/>
    <cellStyle name="Normal 17 20 3" xfId="9107"/>
    <cellStyle name="Normal 17 21" xfId="2588"/>
    <cellStyle name="Normal 17 21 2" xfId="5694"/>
    <cellStyle name="Normal 17 21 2 2" xfId="10239"/>
    <cellStyle name="Normal 17 21 3" xfId="9108"/>
    <cellStyle name="Normal 17 22" xfId="5695"/>
    <cellStyle name="Normal 17 3" xfId="2589"/>
    <cellStyle name="Normal 17 3 2" xfId="5696"/>
    <cellStyle name="Normal 17 3 2 2" xfId="10240"/>
    <cellStyle name="Normal 17 3 3" xfId="9109"/>
    <cellStyle name="Normal 17 4" xfId="2590"/>
    <cellStyle name="Normal 17 4 2" xfId="5697"/>
    <cellStyle name="Normal 17 4 2 2" xfId="10241"/>
    <cellStyle name="Normal 17 4 3" xfId="9110"/>
    <cellStyle name="Normal 17 5" xfId="2591"/>
    <cellStyle name="Normal 17 5 2" xfId="5698"/>
    <cellStyle name="Normal 17 5 2 2" xfId="10242"/>
    <cellStyle name="Normal 17 5 3" xfId="9111"/>
    <cellStyle name="Normal 17 6" xfId="2592"/>
    <cellStyle name="Normal 17 6 2" xfId="5699"/>
    <cellStyle name="Normal 17 6 2 2" xfId="10243"/>
    <cellStyle name="Normal 17 6 3" xfId="9112"/>
    <cellStyle name="Normal 17 7" xfId="2593"/>
    <cellStyle name="Normal 17 7 2" xfId="5700"/>
    <cellStyle name="Normal 17 7 2 2" xfId="10244"/>
    <cellStyle name="Normal 17 7 3" xfId="9113"/>
    <cellStyle name="Normal 17 8" xfId="2594"/>
    <cellStyle name="Normal 17 8 2" xfId="5701"/>
    <cellStyle name="Normal 17 8 2 2" xfId="10245"/>
    <cellStyle name="Normal 17 8 3" xfId="9114"/>
    <cellStyle name="Normal 17 9" xfId="2595"/>
    <cellStyle name="Normal 17 9 2" xfId="5702"/>
    <cellStyle name="Normal 17 9 2 2" xfId="10246"/>
    <cellStyle name="Normal 17 9 3" xfId="9115"/>
    <cellStyle name="Normal 18" xfId="2596"/>
    <cellStyle name="Normal 18 10" xfId="2597"/>
    <cellStyle name="Normal 18 10 2" xfId="5703"/>
    <cellStyle name="Normal 18 11" xfId="2598"/>
    <cellStyle name="Normal 18 11 2" xfId="5704"/>
    <cellStyle name="Normal 18 12" xfId="2599"/>
    <cellStyle name="Normal 18 12 2" xfId="5705"/>
    <cellStyle name="Normal 18 13" xfId="2600"/>
    <cellStyle name="Normal 18 13 2" xfId="5706"/>
    <cellStyle name="Normal 18 14" xfId="2601"/>
    <cellStyle name="Normal 18 14 2" xfId="5707"/>
    <cellStyle name="Normal 18 15" xfId="2602"/>
    <cellStyle name="Normal 18 15 2" xfId="5708"/>
    <cellStyle name="Normal 18 16" xfId="2603"/>
    <cellStyle name="Normal 18 16 2" xfId="5709"/>
    <cellStyle name="Normal 18 17" xfId="2604"/>
    <cellStyle name="Normal 18 17 2" xfId="5710"/>
    <cellStyle name="Normal 18 18" xfId="2605"/>
    <cellStyle name="Normal 18 18 2" xfId="5711"/>
    <cellStyle name="Normal 18 19" xfId="2606"/>
    <cellStyle name="Normal 18 19 2" xfId="5712"/>
    <cellStyle name="Normal 18 2" xfId="2607"/>
    <cellStyle name="Normal 18 2 2" xfId="5713"/>
    <cellStyle name="Normal 18 20" xfId="2608"/>
    <cellStyle name="Normal 18 20 2" xfId="5714"/>
    <cellStyle name="Normal 18 21" xfId="2609"/>
    <cellStyle name="Normal 18 21 2" xfId="5715"/>
    <cellStyle name="Normal 18 22" xfId="5716"/>
    <cellStyle name="Normal 18 3" xfId="2610"/>
    <cellStyle name="Normal 18 3 2" xfId="5717"/>
    <cellStyle name="Normal 18 4" xfId="2611"/>
    <cellStyle name="Normal 18 4 2" xfId="5718"/>
    <cellStyle name="Normal 18 5" xfId="2612"/>
    <cellStyle name="Normal 18 5 2" xfId="5719"/>
    <cellStyle name="Normal 18 6" xfId="2613"/>
    <cellStyle name="Normal 18 6 2" xfId="5720"/>
    <cellStyle name="Normal 18 7" xfId="2614"/>
    <cellStyle name="Normal 18 7 2" xfId="5721"/>
    <cellStyle name="Normal 18 8" xfId="2615"/>
    <cellStyle name="Normal 18 8 2" xfId="5722"/>
    <cellStyle name="Normal 18 9" xfId="2616"/>
    <cellStyle name="Normal 18 9 2" xfId="5723"/>
    <cellStyle name="Normal 19" xfId="2617"/>
    <cellStyle name="Normal 19 10" xfId="2618"/>
    <cellStyle name="Normal 19 10 2" xfId="5724"/>
    <cellStyle name="Normal 19 10 2 2" xfId="10247"/>
    <cellStyle name="Normal 19 10 3" xfId="9116"/>
    <cellStyle name="Normal 19 11" xfId="2619"/>
    <cellStyle name="Normal 19 11 2" xfId="5725"/>
    <cellStyle name="Normal 19 11 2 2" xfId="10248"/>
    <cellStyle name="Normal 19 11 3" xfId="9117"/>
    <cellStyle name="Normal 19 12" xfId="2620"/>
    <cellStyle name="Normal 19 12 2" xfId="5726"/>
    <cellStyle name="Normal 19 12 2 2" xfId="10249"/>
    <cellStyle name="Normal 19 12 3" xfId="9118"/>
    <cellStyle name="Normal 19 13" xfId="2621"/>
    <cellStyle name="Normal 19 13 2" xfId="5727"/>
    <cellStyle name="Normal 19 13 2 2" xfId="10250"/>
    <cellStyle name="Normal 19 13 3" xfId="9119"/>
    <cellStyle name="Normal 19 14" xfId="2622"/>
    <cellStyle name="Normal 19 14 2" xfId="5728"/>
    <cellStyle name="Normal 19 14 2 2" xfId="10251"/>
    <cellStyle name="Normal 19 14 3" xfId="9120"/>
    <cellStyle name="Normal 19 15" xfId="2623"/>
    <cellStyle name="Normal 19 15 2" xfId="5729"/>
    <cellStyle name="Normal 19 15 2 2" xfId="10252"/>
    <cellStyle name="Normal 19 15 3" xfId="9121"/>
    <cellStyle name="Normal 19 16" xfId="2624"/>
    <cellStyle name="Normal 19 16 2" xfId="5730"/>
    <cellStyle name="Normal 19 16 2 2" xfId="10253"/>
    <cellStyle name="Normal 19 16 3" xfId="9122"/>
    <cellStyle name="Normal 19 17" xfId="2625"/>
    <cellStyle name="Normal 19 17 2" xfId="5731"/>
    <cellStyle name="Normal 19 17 2 2" xfId="10254"/>
    <cellStyle name="Normal 19 17 3" xfId="9123"/>
    <cellStyle name="Normal 19 18" xfId="2626"/>
    <cellStyle name="Normal 19 18 2" xfId="5732"/>
    <cellStyle name="Normal 19 18 2 2" xfId="10255"/>
    <cellStyle name="Normal 19 18 3" xfId="9124"/>
    <cellStyle name="Normal 19 19" xfId="2627"/>
    <cellStyle name="Normal 19 19 2" xfId="5733"/>
    <cellStyle name="Normal 19 19 2 2" xfId="10256"/>
    <cellStyle name="Normal 19 19 3" xfId="9125"/>
    <cellStyle name="Normal 19 2" xfId="2628"/>
    <cellStyle name="Normal 19 2 2" xfId="5734"/>
    <cellStyle name="Normal 19 2 2 2" xfId="10257"/>
    <cellStyle name="Normal 19 2 3" xfId="9126"/>
    <cellStyle name="Normal 19 20" xfId="2629"/>
    <cellStyle name="Normal 19 20 2" xfId="5735"/>
    <cellStyle name="Normal 19 20 2 2" xfId="10258"/>
    <cellStyle name="Normal 19 20 3" xfId="9127"/>
    <cellStyle name="Normal 19 21" xfId="2630"/>
    <cellStyle name="Normal 19 21 2" xfId="5736"/>
    <cellStyle name="Normal 19 21 2 2" xfId="10259"/>
    <cellStyle name="Normal 19 21 3" xfId="9128"/>
    <cellStyle name="Normal 19 22" xfId="5737"/>
    <cellStyle name="Normal 19 3" xfId="2631"/>
    <cellStyle name="Normal 19 3 2" xfId="5738"/>
    <cellStyle name="Normal 19 3 2 2" xfId="10260"/>
    <cellStyle name="Normal 19 3 3" xfId="9129"/>
    <cellStyle name="Normal 19 4" xfId="2632"/>
    <cellStyle name="Normal 19 4 2" xfId="5739"/>
    <cellStyle name="Normal 19 4 2 2" xfId="10261"/>
    <cellStyle name="Normal 19 4 3" xfId="9130"/>
    <cellStyle name="Normal 19 5" xfId="2633"/>
    <cellStyle name="Normal 19 5 2" xfId="5740"/>
    <cellStyle name="Normal 19 5 2 2" xfId="10262"/>
    <cellStyle name="Normal 19 5 3" xfId="9131"/>
    <cellStyle name="Normal 19 6" xfId="2634"/>
    <cellStyle name="Normal 19 6 2" xfId="5741"/>
    <cellStyle name="Normal 19 6 2 2" xfId="10263"/>
    <cellStyle name="Normal 19 6 3" xfId="9132"/>
    <cellStyle name="Normal 19 7" xfId="2635"/>
    <cellStyle name="Normal 19 7 2" xfId="5742"/>
    <cellStyle name="Normal 19 7 2 2" xfId="10264"/>
    <cellStyle name="Normal 19 7 3" xfId="9133"/>
    <cellStyle name="Normal 19 8" xfId="2636"/>
    <cellStyle name="Normal 19 8 2" xfId="5743"/>
    <cellStyle name="Normal 19 8 2 2" xfId="10265"/>
    <cellStyle name="Normal 19 8 3" xfId="9134"/>
    <cellStyle name="Normal 19 9" xfId="2637"/>
    <cellStyle name="Normal 19 9 2" xfId="5744"/>
    <cellStyle name="Normal 19 9 2 2" xfId="10266"/>
    <cellStyle name="Normal 19 9 3" xfId="9135"/>
    <cellStyle name="Normal 2" xfId="2638"/>
    <cellStyle name="Normal 2 10" xfId="2639"/>
    <cellStyle name="Normal 2 10 2" xfId="5745"/>
    <cellStyle name="Normal 2 10 2 2" xfId="10267"/>
    <cellStyle name="Normal 2 10 3" xfId="9136"/>
    <cellStyle name="Normal 2 11" xfId="2640"/>
    <cellStyle name="Normal 2 11 2" xfId="5746"/>
    <cellStyle name="Normal 2 11 2 2" xfId="10268"/>
    <cellStyle name="Normal 2 11 3" xfId="9137"/>
    <cellStyle name="Normal 2 12" xfId="2641"/>
    <cellStyle name="Normal 2 12 2" xfId="5747"/>
    <cellStyle name="Normal 2 12 2 2" xfId="10269"/>
    <cellStyle name="Normal 2 12 3" xfId="9138"/>
    <cellStyle name="Normal 2 13" xfId="2642"/>
    <cellStyle name="Normal 2 13 2" xfId="5748"/>
    <cellStyle name="Normal 2 13 2 2" xfId="10270"/>
    <cellStyle name="Normal 2 13 3" xfId="9139"/>
    <cellStyle name="Normal 2 14" xfId="2643"/>
    <cellStyle name="Normal 2 14 2" xfId="5749"/>
    <cellStyle name="Normal 2 14 2 2" xfId="10271"/>
    <cellStyle name="Normal 2 14 3" xfId="9140"/>
    <cellStyle name="Normal 2 15" xfId="2644"/>
    <cellStyle name="Normal 2 15 2" xfId="5750"/>
    <cellStyle name="Normal 2 15 2 2" xfId="10272"/>
    <cellStyle name="Normal 2 15 3" xfId="9141"/>
    <cellStyle name="Normal 2 16" xfId="2645"/>
    <cellStyle name="Normal 2 16 2" xfId="5751"/>
    <cellStyle name="Normal 2 16 2 2" xfId="10273"/>
    <cellStyle name="Normal 2 16 3" xfId="9142"/>
    <cellStyle name="Normal 2 17" xfId="2646"/>
    <cellStyle name="Normal 2 17 2" xfId="5752"/>
    <cellStyle name="Normal 2 17 2 2" xfId="10274"/>
    <cellStyle name="Normal 2 17 3" xfId="9143"/>
    <cellStyle name="Normal 2 18" xfId="2647"/>
    <cellStyle name="Normal 2 18 2" xfId="5753"/>
    <cellStyle name="Normal 2 18 2 2" xfId="10275"/>
    <cellStyle name="Normal 2 18 3" xfId="9144"/>
    <cellStyle name="Normal 2 19" xfId="2648"/>
    <cellStyle name="Normal 2 19 2" xfId="5754"/>
    <cellStyle name="Normal 2 19 2 2" xfId="10276"/>
    <cellStyle name="Normal 2 19 3" xfId="9145"/>
    <cellStyle name="Normal 2 2" xfId="2649"/>
    <cellStyle name="Normal 2 2 10" xfId="2650"/>
    <cellStyle name="Normal 2 2 10 2" xfId="5755"/>
    <cellStyle name="Normal 2 2 10 2 2" xfId="10277"/>
    <cellStyle name="Normal 2 2 10 3" xfId="9147"/>
    <cellStyle name="Normal 2 2 11" xfId="2651"/>
    <cellStyle name="Normal 2 2 11 2" xfId="5756"/>
    <cellStyle name="Normal 2 2 11 2 2" xfId="10278"/>
    <cellStyle name="Normal 2 2 11 3" xfId="9148"/>
    <cellStyle name="Normal 2 2 12" xfId="2652"/>
    <cellStyle name="Normal 2 2 12 2" xfId="5757"/>
    <cellStyle name="Normal 2 2 12 2 2" xfId="10279"/>
    <cellStyle name="Normal 2 2 12 3" xfId="9149"/>
    <cellStyle name="Normal 2 2 13" xfId="2653"/>
    <cellStyle name="Normal 2 2 13 2" xfId="5758"/>
    <cellStyle name="Normal 2 2 13 2 2" xfId="10280"/>
    <cellStyle name="Normal 2 2 13 3" xfId="9150"/>
    <cellStyle name="Normal 2 2 14" xfId="2654"/>
    <cellStyle name="Normal 2 2 14 2" xfId="5759"/>
    <cellStyle name="Normal 2 2 14 2 2" xfId="10281"/>
    <cellStyle name="Normal 2 2 14 3" xfId="9151"/>
    <cellStyle name="Normal 2 2 15" xfId="2655"/>
    <cellStyle name="Normal 2 2 15 2" xfId="5760"/>
    <cellStyle name="Normal 2 2 15 2 2" xfId="10282"/>
    <cellStyle name="Normal 2 2 15 3" xfId="9152"/>
    <cellStyle name="Normal 2 2 16" xfId="2656"/>
    <cellStyle name="Normal 2 2 16 2" xfId="5761"/>
    <cellStyle name="Normal 2 2 16 2 2" xfId="10283"/>
    <cellStyle name="Normal 2 2 16 3" xfId="9153"/>
    <cellStyle name="Normal 2 2 17" xfId="2657"/>
    <cellStyle name="Normal 2 2 17 2" xfId="5762"/>
    <cellStyle name="Normal 2 2 17 2 2" xfId="10284"/>
    <cellStyle name="Normal 2 2 17 3" xfId="9154"/>
    <cellStyle name="Normal 2 2 18" xfId="2658"/>
    <cellStyle name="Normal 2 2 18 2" xfId="5763"/>
    <cellStyle name="Normal 2 2 18 2 2" xfId="10285"/>
    <cellStyle name="Normal 2 2 18 3" xfId="9155"/>
    <cellStyle name="Normal 2 2 19" xfId="2659"/>
    <cellStyle name="Normal 2 2 19 2" xfId="5764"/>
    <cellStyle name="Normal 2 2 19 2 2" xfId="10286"/>
    <cellStyle name="Normal 2 2 19 3" xfId="9156"/>
    <cellStyle name="Normal 2 2 2" xfId="2660"/>
    <cellStyle name="Normal 2 2 2 2" xfId="2661"/>
    <cellStyle name="Normal 2 2 2 2 2" xfId="7456"/>
    <cellStyle name="Normal 2 2 2 2 2 2" xfId="11145"/>
    <cellStyle name="Normal 2 2 2 2 3" xfId="10985"/>
    <cellStyle name="Normal 2 2 2 3" xfId="2662"/>
    <cellStyle name="Normal 2 2 2 3 2" xfId="7457"/>
    <cellStyle name="Normal 2 2 2 4" xfId="7329"/>
    <cellStyle name="Normal 2 2 20" xfId="2663"/>
    <cellStyle name="Normal 2 2 20 2" xfId="5765"/>
    <cellStyle name="Normal 2 2 20 2 2" xfId="10287"/>
    <cellStyle name="Normal 2 2 20 3" xfId="9157"/>
    <cellStyle name="Normal 2 2 21" xfId="2664"/>
    <cellStyle name="Normal 2 2 21 2" xfId="5766"/>
    <cellStyle name="Normal 2 2 21 2 2" xfId="10288"/>
    <cellStyle name="Normal 2 2 21 3" xfId="9158"/>
    <cellStyle name="Normal 2 2 22" xfId="2665"/>
    <cellStyle name="Normal 2 2 22 2" xfId="5767"/>
    <cellStyle name="Normal 2 2 22 2 2" xfId="10289"/>
    <cellStyle name="Normal 2 2 22 3" xfId="9159"/>
    <cellStyle name="Normal 2 2 23" xfId="2666"/>
    <cellStyle name="Normal 2 2 23 2" xfId="7458"/>
    <cellStyle name="Normal 2 2 24" xfId="5768"/>
    <cellStyle name="Normal 2 2 24 2" xfId="10290"/>
    <cellStyle name="Normal 2 2 25" xfId="9146"/>
    <cellStyle name="Normal 2 2 3" xfId="2667"/>
    <cellStyle name="Normal 2 2 3 2" xfId="2668"/>
    <cellStyle name="Normal 2 2 3 2 2" xfId="7459"/>
    <cellStyle name="Normal 2 2 3 2 2 2" xfId="11146"/>
    <cellStyle name="Normal 2 2 3 2 3" xfId="10986"/>
    <cellStyle name="Normal 2 2 3 3" xfId="5769"/>
    <cellStyle name="Normal 2 2 3 3 2" xfId="10291"/>
    <cellStyle name="Normal 2 2 3 4" xfId="9160"/>
    <cellStyle name="Normal 2 2 4" xfId="2669"/>
    <cellStyle name="Normal 2 2 4 2" xfId="5770"/>
    <cellStyle name="Normal 2 2 4 2 2" xfId="10292"/>
    <cellStyle name="Normal 2 2 4 3" xfId="9161"/>
    <cellStyle name="Normal 2 2 5" xfId="2670"/>
    <cellStyle name="Normal 2 2 5 2" xfId="5771"/>
    <cellStyle name="Normal 2 2 5 2 2" xfId="10293"/>
    <cellStyle name="Normal 2 2 5 3" xfId="9162"/>
    <cellStyle name="Normal 2 2 6" xfId="2671"/>
    <cellStyle name="Normal 2 2 6 2" xfId="5772"/>
    <cellStyle name="Normal 2 2 6 2 2" xfId="10294"/>
    <cellStyle name="Normal 2 2 6 3" xfId="9163"/>
    <cellStyle name="Normal 2 2 7" xfId="2672"/>
    <cellStyle name="Normal 2 2 7 2" xfId="5773"/>
    <cellStyle name="Normal 2 2 7 2 2" xfId="10295"/>
    <cellStyle name="Normal 2 2 7 3" xfId="9164"/>
    <cellStyle name="Normal 2 2 8" xfId="2673"/>
    <cellStyle name="Normal 2 2 8 2" xfId="5774"/>
    <cellStyle name="Normal 2 2 8 2 2" xfId="10296"/>
    <cellStyle name="Normal 2 2 8 3" xfId="9165"/>
    <cellStyle name="Normal 2 2 9" xfId="2674"/>
    <cellStyle name="Normal 2 2 9 2" xfId="5775"/>
    <cellStyle name="Normal 2 2 9 2 2" xfId="10297"/>
    <cellStyle name="Normal 2 2 9 3" xfId="9166"/>
    <cellStyle name="Normal 2 20" xfId="2675"/>
    <cellStyle name="Normal 2 20 2" xfId="5776"/>
    <cellStyle name="Normal 2 20 2 2" xfId="10298"/>
    <cellStyle name="Normal 2 20 3" xfId="9167"/>
    <cellStyle name="Normal 2 21" xfId="2676"/>
    <cellStyle name="Normal 2 21 2" xfId="5777"/>
    <cellStyle name="Normal 2 21 2 2" xfId="10299"/>
    <cellStyle name="Normal 2 21 3" xfId="9168"/>
    <cellStyle name="Normal 2 22" xfId="2677"/>
    <cellStyle name="Normal 2 22 2" xfId="5778"/>
    <cellStyle name="Normal 2 22 2 2" xfId="10300"/>
    <cellStyle name="Normal 2 22 3" xfId="9169"/>
    <cellStyle name="Normal 2 23" xfId="2678"/>
    <cellStyle name="Normal 2 23 2" xfId="5779"/>
    <cellStyle name="Normal 2 23 2 2" xfId="10301"/>
    <cellStyle name="Normal 2 23 3" xfId="9170"/>
    <cellStyle name="Normal 2 24" xfId="2679"/>
    <cellStyle name="Normal 2 24 2" xfId="5780"/>
    <cellStyle name="Normal 2 24 2 2" xfId="10302"/>
    <cellStyle name="Normal 2 24 3" xfId="9171"/>
    <cellStyle name="Normal 2 25" xfId="2680"/>
    <cellStyle name="Normal 2 25 2" xfId="5781"/>
    <cellStyle name="Normal 2 25 2 2" xfId="10303"/>
    <cellStyle name="Normal 2 25 3" xfId="9172"/>
    <cellStyle name="Normal 2 26" xfId="2681"/>
    <cellStyle name="Normal 2 26 2" xfId="5782"/>
    <cellStyle name="Normal 2 26 2 2" xfId="10304"/>
    <cellStyle name="Normal 2 26 3" xfId="9173"/>
    <cellStyle name="Normal 2 27" xfId="2682"/>
    <cellStyle name="Normal 2 27 2" xfId="5783"/>
    <cellStyle name="Normal 2 27 2 2" xfId="10305"/>
    <cellStyle name="Normal 2 27 3" xfId="9174"/>
    <cellStyle name="Normal 2 28" xfId="2683"/>
    <cellStyle name="Normal 2 28 2" xfId="5784"/>
    <cellStyle name="Normal 2 28 2 2" xfId="10306"/>
    <cellStyle name="Normal 2 28 3" xfId="9175"/>
    <cellStyle name="Normal 2 29" xfId="2684"/>
    <cellStyle name="Normal 2 29 2" xfId="5785"/>
    <cellStyle name="Normal 2 29 2 2" xfId="10307"/>
    <cellStyle name="Normal 2 29 3" xfId="9176"/>
    <cellStyle name="Normal 2 3" xfId="2685"/>
    <cellStyle name="Normal 2 3 2" xfId="5786"/>
    <cellStyle name="Normal 2 3 2 2" xfId="7608"/>
    <cellStyle name="Normal 2 3 3" xfId="7460"/>
    <cellStyle name="Normal 2 30" xfId="2686"/>
    <cellStyle name="Normal 2 30 2" xfId="5787"/>
    <cellStyle name="Normal 2 30 2 2" xfId="10308"/>
    <cellStyle name="Normal 2 30 3" xfId="9177"/>
    <cellStyle name="Normal 2 31" xfId="2687"/>
    <cellStyle name="Normal 2 31 2" xfId="5788"/>
    <cellStyle name="Normal 2 31 2 2" xfId="10309"/>
    <cellStyle name="Normal 2 31 3" xfId="9178"/>
    <cellStyle name="Normal 2 32" xfId="2688"/>
    <cellStyle name="Normal 2 32 2" xfId="5789"/>
    <cellStyle name="Normal 2 32 2 2" xfId="10310"/>
    <cellStyle name="Normal 2 32 3" xfId="9179"/>
    <cellStyle name="Normal 2 33" xfId="2689"/>
    <cellStyle name="Normal 2 33 2" xfId="5790"/>
    <cellStyle name="Normal 2 33 2 2" xfId="10311"/>
    <cellStyle name="Normal 2 33 3" xfId="9180"/>
    <cellStyle name="Normal 2 34" xfId="2690"/>
    <cellStyle name="Normal 2 34 2" xfId="5791"/>
    <cellStyle name="Normal 2 34 2 2" xfId="10312"/>
    <cellStyle name="Normal 2 34 3" xfId="9181"/>
    <cellStyle name="Normal 2 35" xfId="2691"/>
    <cellStyle name="Normal 2 35 2" xfId="5792"/>
    <cellStyle name="Normal 2 35 2 2" xfId="10313"/>
    <cellStyle name="Normal 2 35 3" xfId="9182"/>
    <cellStyle name="Normal 2 36" xfId="2692"/>
    <cellStyle name="Normal 2 36 2" xfId="5793"/>
    <cellStyle name="Normal 2 36 2 2" xfId="10314"/>
    <cellStyle name="Normal 2 36 3" xfId="9183"/>
    <cellStyle name="Normal 2 37" xfId="2693"/>
    <cellStyle name="Normal 2 37 2" xfId="5794"/>
    <cellStyle name="Normal 2 37 2 2" xfId="10315"/>
    <cellStyle name="Normal 2 37 3" xfId="9184"/>
    <cellStyle name="Normal 2 38" xfId="2694"/>
    <cellStyle name="Normal 2 38 2" xfId="5795"/>
    <cellStyle name="Normal 2 38 2 2" xfId="10316"/>
    <cellStyle name="Normal 2 38 3" xfId="9185"/>
    <cellStyle name="Normal 2 39" xfId="2695"/>
    <cellStyle name="Normal 2 39 2" xfId="5796"/>
    <cellStyle name="Normal 2 39 2 2" xfId="7609"/>
    <cellStyle name="Normal 2 39 2 2 2" xfId="11216"/>
    <cellStyle name="Normal 2 39 2 3" xfId="11058"/>
    <cellStyle name="Normal 2 39 3" xfId="7461"/>
    <cellStyle name="Normal 2 39 3 2" xfId="11147"/>
    <cellStyle name="Normal 2 39 4" xfId="10987"/>
    <cellStyle name="Normal 2 4" xfId="2696"/>
    <cellStyle name="Normal 2 4 2" xfId="5797"/>
    <cellStyle name="Normal 2 4 2 2" xfId="10317"/>
    <cellStyle name="Normal 2 4 3" xfId="9186"/>
    <cellStyle name="Normal 2 40" xfId="2697"/>
    <cellStyle name="Normal 2 41" xfId="2698"/>
    <cellStyle name="Normal 2 41 2" xfId="5798"/>
    <cellStyle name="Normal 2 41 2 2" xfId="7610"/>
    <cellStyle name="Normal 2 41 3" xfId="7462"/>
    <cellStyle name="Normal 2 42" xfId="5799"/>
    <cellStyle name="Normal 2 42 2" xfId="7611"/>
    <cellStyle name="Normal 2 43" xfId="5800"/>
    <cellStyle name="Normal 2 44" xfId="2699"/>
    <cellStyle name="Normal 2 44 2" xfId="9187"/>
    <cellStyle name="Normal 2 45" xfId="7782"/>
    <cellStyle name="Normal 2 5" xfId="2700"/>
    <cellStyle name="Normal 2 5 2" xfId="5801"/>
    <cellStyle name="Normal 2 5 2 2" xfId="10318"/>
    <cellStyle name="Normal 2 5 3" xfId="9188"/>
    <cellStyle name="Normal 2 50" xfId="2701"/>
    <cellStyle name="Normal 2 50 2" xfId="7463"/>
    <cellStyle name="Normal 2 6" xfId="2702"/>
    <cellStyle name="Normal 2 6 2" xfId="5802"/>
    <cellStyle name="Normal 2 6 2 2" xfId="10319"/>
    <cellStyle name="Normal 2 6 3" xfId="9189"/>
    <cellStyle name="Normal 2 7" xfId="2703"/>
    <cellStyle name="Normal 2 7 2" xfId="5803"/>
    <cellStyle name="Normal 2 7 2 2" xfId="10320"/>
    <cellStyle name="Normal 2 7 3" xfId="9190"/>
    <cellStyle name="Normal 2 8" xfId="2704"/>
    <cellStyle name="Normal 2 8 2" xfId="5804"/>
    <cellStyle name="Normal 2 8 2 2" xfId="10321"/>
    <cellStyle name="Normal 2 8 3" xfId="9191"/>
    <cellStyle name="Normal 2 9" xfId="2705"/>
    <cellStyle name="Normal 2 9 2" xfId="5805"/>
    <cellStyle name="Normal 2 9 2 2" xfId="10322"/>
    <cellStyle name="Normal 2 9 3" xfId="9192"/>
    <cellStyle name="Normal 20" xfId="2706"/>
    <cellStyle name="Normal 20 2" xfId="5806"/>
    <cellStyle name="Normal 21" xfId="2707"/>
    <cellStyle name="Normal 21 2" xfId="5807"/>
    <cellStyle name="Normal 22" xfId="2708"/>
    <cellStyle name="Normal 22 2" xfId="5808"/>
    <cellStyle name="Normal 23" xfId="2709"/>
    <cellStyle name="Normal 23 2" xfId="5809"/>
    <cellStyle name="Normal 24" xfId="2710"/>
    <cellStyle name="Normal 24 2" xfId="2711"/>
    <cellStyle name="Normal 24 2 2" xfId="5810"/>
    <cellStyle name="Normal 24 2 2 2" xfId="10323"/>
    <cellStyle name="Normal 24 2 3" xfId="9193"/>
    <cellStyle name="Normal 24 3" xfId="5811"/>
    <cellStyle name="Normal 25" xfId="2712"/>
    <cellStyle name="Normal 25 2" xfId="2713"/>
    <cellStyle name="Normal 25 2 2" xfId="5812"/>
    <cellStyle name="Normal 25 2 2 2" xfId="10324"/>
    <cellStyle name="Normal 25 2 3" xfId="9194"/>
    <cellStyle name="Normal 25 3" xfId="5813"/>
    <cellStyle name="Normal 256" xfId="2714"/>
    <cellStyle name="Normal 256 2" xfId="5814"/>
    <cellStyle name="Normal 256 2 2" xfId="10325"/>
    <cellStyle name="Normal 256 3" xfId="9195"/>
    <cellStyle name="Normal 26" xfId="2715"/>
    <cellStyle name="Normal 26 2" xfId="2716"/>
    <cellStyle name="Normal 26 2 2" xfId="5815"/>
    <cellStyle name="Normal 26 2 2 2" xfId="10326"/>
    <cellStyle name="Normal 26 2 3" xfId="9196"/>
    <cellStyle name="Normal 26 3" xfId="5816"/>
    <cellStyle name="Normal 27" xfId="2717"/>
    <cellStyle name="Normal 27 2" xfId="2718"/>
    <cellStyle name="Normal 27 2 2" xfId="5817"/>
    <cellStyle name="Normal 27 2 2 2" xfId="10327"/>
    <cellStyle name="Normal 27 2 3" xfId="9197"/>
    <cellStyle name="Normal 27 3" xfId="5818"/>
    <cellStyle name="Normal 28" xfId="2719"/>
    <cellStyle name="Normal 28 2" xfId="2720"/>
    <cellStyle name="Normal 28 2 2" xfId="5819"/>
    <cellStyle name="Normal 28 2 2 2" xfId="10328"/>
    <cellStyle name="Normal 28 2 3" xfId="9198"/>
    <cellStyle name="Normal 28 3" xfId="5820"/>
    <cellStyle name="Normal 29" xfId="2721"/>
    <cellStyle name="Normal 29 2" xfId="2722"/>
    <cellStyle name="Normal 29 2 2" xfId="5821"/>
    <cellStyle name="Normal 29 2 2 2" xfId="10329"/>
    <cellStyle name="Normal 29 2 3" xfId="9199"/>
    <cellStyle name="Normal 29 3" xfId="5822"/>
    <cellStyle name="Normal 3" xfId="2723"/>
    <cellStyle name="Normal 3 10" xfId="2724"/>
    <cellStyle name="Normal 3 10 2" xfId="5823"/>
    <cellStyle name="Normal 3 10 2 2" xfId="7612"/>
    <cellStyle name="Normal 3 10 2 2 2" xfId="11217"/>
    <cellStyle name="Normal 3 10 2 3" xfId="11059"/>
    <cellStyle name="Normal 3 10 3" xfId="7464"/>
    <cellStyle name="Normal 3 10 3 2" xfId="11148"/>
    <cellStyle name="Normal 3 10 4" xfId="10988"/>
    <cellStyle name="Normal 3 11" xfId="2725"/>
    <cellStyle name="Normal 3 11 2" xfId="5824"/>
    <cellStyle name="Normal 3 11 2 2" xfId="7613"/>
    <cellStyle name="Normal 3 11 2 2 2" xfId="11218"/>
    <cellStyle name="Normal 3 11 2 3" xfId="11060"/>
    <cellStyle name="Normal 3 11 3" xfId="7465"/>
    <cellStyle name="Normal 3 11 3 2" xfId="11149"/>
    <cellStyle name="Normal 3 11 4" xfId="10989"/>
    <cellStyle name="Normal 3 12" xfId="2726"/>
    <cellStyle name="Normal 3 12 2" xfId="5825"/>
    <cellStyle name="Normal 3 12 2 2" xfId="7614"/>
    <cellStyle name="Normal 3 12 2 2 2" xfId="11219"/>
    <cellStyle name="Normal 3 12 2 3" xfId="11061"/>
    <cellStyle name="Normal 3 12 3" xfId="7466"/>
    <cellStyle name="Normal 3 12 3 2" xfId="11150"/>
    <cellStyle name="Normal 3 12 4" xfId="10990"/>
    <cellStyle name="Normal 3 13" xfId="2727"/>
    <cellStyle name="Normal 3 13 2" xfId="5826"/>
    <cellStyle name="Normal 3 13 2 2" xfId="7615"/>
    <cellStyle name="Normal 3 13 2 2 2" xfId="11220"/>
    <cellStyle name="Normal 3 13 2 3" xfId="11062"/>
    <cellStyle name="Normal 3 13 3" xfId="7467"/>
    <cellStyle name="Normal 3 13 3 2" xfId="11151"/>
    <cellStyle name="Normal 3 13 4" xfId="10991"/>
    <cellStyle name="Normal 3 14" xfId="2728"/>
    <cellStyle name="Normal 3 14 2" xfId="5827"/>
    <cellStyle name="Normal 3 14 2 2" xfId="7616"/>
    <cellStyle name="Normal 3 14 2 2 2" xfId="11221"/>
    <cellStyle name="Normal 3 14 2 3" xfId="11063"/>
    <cellStyle name="Normal 3 14 3" xfId="7468"/>
    <cellStyle name="Normal 3 14 3 2" xfId="11152"/>
    <cellStyle name="Normal 3 14 4" xfId="10992"/>
    <cellStyle name="Normal 3 15" xfId="2729"/>
    <cellStyle name="Normal 3 15 2" xfId="5828"/>
    <cellStyle name="Normal 3 15 2 2" xfId="7617"/>
    <cellStyle name="Normal 3 15 2 2 2" xfId="11222"/>
    <cellStyle name="Normal 3 15 2 3" xfId="11064"/>
    <cellStyle name="Normal 3 15 3" xfId="7469"/>
    <cellStyle name="Normal 3 15 3 2" xfId="11153"/>
    <cellStyle name="Normal 3 15 4" xfId="10993"/>
    <cellStyle name="Normal 3 16" xfId="2730"/>
    <cellStyle name="Normal 3 16 2" xfId="5829"/>
    <cellStyle name="Normal 3 16 2 2" xfId="7618"/>
    <cellStyle name="Normal 3 16 2 2 2" xfId="11223"/>
    <cellStyle name="Normal 3 16 2 3" xfId="11065"/>
    <cellStyle name="Normal 3 16 3" xfId="7470"/>
    <cellStyle name="Normal 3 16 3 2" xfId="11154"/>
    <cellStyle name="Normal 3 16 4" xfId="10994"/>
    <cellStyle name="Normal 3 17" xfId="2731"/>
    <cellStyle name="Normal 3 17 2" xfId="5830"/>
    <cellStyle name="Normal 3 17 2 2" xfId="7619"/>
    <cellStyle name="Normal 3 17 2 2 2" xfId="11224"/>
    <cellStyle name="Normal 3 17 2 3" xfId="11066"/>
    <cellStyle name="Normal 3 17 3" xfId="7471"/>
    <cellStyle name="Normal 3 17 3 2" xfId="11155"/>
    <cellStyle name="Normal 3 17 4" xfId="10995"/>
    <cellStyle name="Normal 3 18" xfId="2732"/>
    <cellStyle name="Normal 3 18 2" xfId="5831"/>
    <cellStyle name="Normal 3 18 2 2" xfId="7620"/>
    <cellStyle name="Normal 3 18 2 2 2" xfId="11225"/>
    <cellStyle name="Normal 3 18 2 3" xfId="11067"/>
    <cellStyle name="Normal 3 18 3" xfId="7472"/>
    <cellStyle name="Normal 3 18 3 2" xfId="11156"/>
    <cellStyle name="Normal 3 18 4" xfId="10996"/>
    <cellStyle name="Normal 3 19" xfId="2733"/>
    <cellStyle name="Normal 3 19 2" xfId="5832"/>
    <cellStyle name="Normal 3 19 2 2" xfId="7621"/>
    <cellStyle name="Normal 3 19 2 2 2" xfId="11226"/>
    <cellStyle name="Normal 3 19 2 3" xfId="11068"/>
    <cellStyle name="Normal 3 19 3" xfId="7473"/>
    <cellStyle name="Normal 3 19 3 2" xfId="11157"/>
    <cellStyle name="Normal 3 19 4" xfId="10997"/>
    <cellStyle name="Normal 3 2" xfId="2734"/>
    <cellStyle name="Normal 3 2 10" xfId="2735"/>
    <cellStyle name="Normal 3 2 10 2" xfId="9201"/>
    <cellStyle name="Normal 3 2 11" xfId="2736"/>
    <cellStyle name="Normal 3 2 11 2" xfId="9202"/>
    <cellStyle name="Normal 3 2 12" xfId="2737"/>
    <cellStyle name="Normal 3 2 12 2" xfId="9203"/>
    <cellStyle name="Normal 3 2 13" xfId="2738"/>
    <cellStyle name="Normal 3 2 13 2" xfId="9204"/>
    <cellStyle name="Normal 3 2 14" xfId="2739"/>
    <cellStyle name="Normal 3 2 14 2" xfId="9205"/>
    <cellStyle name="Normal 3 2 15" xfId="2740"/>
    <cellStyle name="Normal 3 2 15 2" xfId="9206"/>
    <cellStyle name="Normal 3 2 16" xfId="2741"/>
    <cellStyle name="Normal 3 2 16 2" xfId="9207"/>
    <cellStyle name="Normal 3 2 17" xfId="2742"/>
    <cellStyle name="Normal 3 2 17 2" xfId="9208"/>
    <cellStyle name="Normal 3 2 18" xfId="2743"/>
    <cellStyle name="Normal 3 2 18 2" xfId="9209"/>
    <cellStyle name="Normal 3 2 19" xfId="2744"/>
    <cellStyle name="Normal 3 2 19 2" xfId="9210"/>
    <cellStyle name="Normal 3 2 2" xfId="2745"/>
    <cellStyle name="Normal 3 2 2 2" xfId="9211"/>
    <cellStyle name="Normal 3 2 20" xfId="2746"/>
    <cellStyle name="Normal 3 2 20 2" xfId="9212"/>
    <cellStyle name="Normal 3 2 21" xfId="2747"/>
    <cellStyle name="Normal 3 2 21 2" xfId="9213"/>
    <cellStyle name="Normal 3 2 22" xfId="5833"/>
    <cellStyle name="Normal 3 2 22 2" xfId="10330"/>
    <cellStyle name="Normal 3 2 23" xfId="9200"/>
    <cellStyle name="Normal 3 2 3" xfId="2748"/>
    <cellStyle name="Normal 3 2 3 2" xfId="9214"/>
    <cellStyle name="Normal 3 2 4" xfId="2749"/>
    <cellStyle name="Normal 3 2 4 2" xfId="9215"/>
    <cellStyle name="Normal 3 2 5" xfId="2750"/>
    <cellStyle name="Normal 3 2 5 2" xfId="9216"/>
    <cellStyle name="Normal 3 2 6" xfId="2751"/>
    <cellStyle name="Normal 3 2 6 2" xfId="9217"/>
    <cellStyle name="Normal 3 2 7" xfId="2752"/>
    <cellStyle name="Normal 3 2 7 2" xfId="9218"/>
    <cellStyle name="Normal 3 2 8" xfId="2753"/>
    <cellStyle name="Normal 3 2 8 2" xfId="9219"/>
    <cellStyle name="Normal 3 2 9" xfId="2754"/>
    <cellStyle name="Normal 3 2 9 2" xfId="9220"/>
    <cellStyle name="Normal 3 20" xfId="2755"/>
    <cellStyle name="Normal 3 20 2" xfId="5834"/>
    <cellStyle name="Normal 3 20 2 2" xfId="7622"/>
    <cellStyle name="Normal 3 20 2 2 2" xfId="11227"/>
    <cellStyle name="Normal 3 20 2 3" xfId="11069"/>
    <cellStyle name="Normal 3 20 3" xfId="7474"/>
    <cellStyle name="Normal 3 20 3 2" xfId="11158"/>
    <cellStyle name="Normal 3 20 4" xfId="10998"/>
    <cellStyle name="Normal 3 21" xfId="2756"/>
    <cellStyle name="Normal 3 21 2" xfId="5835"/>
    <cellStyle name="Normal 3 21 2 2" xfId="7623"/>
    <cellStyle name="Normal 3 21 2 2 2" xfId="11228"/>
    <cellStyle name="Normal 3 21 2 3" xfId="11070"/>
    <cellStyle name="Normal 3 21 3" xfId="7475"/>
    <cellStyle name="Normal 3 21 3 2" xfId="11159"/>
    <cellStyle name="Normal 3 21 4" xfId="10999"/>
    <cellStyle name="Normal 3 22" xfId="2757"/>
    <cellStyle name="Normal 3 22 2" xfId="5836"/>
    <cellStyle name="Normal 3 22 2 2" xfId="7624"/>
    <cellStyle name="Normal 3 22 2 2 2" xfId="11229"/>
    <cellStyle name="Normal 3 22 2 3" xfId="11071"/>
    <cellStyle name="Normal 3 22 3" xfId="7476"/>
    <cellStyle name="Normal 3 22 3 2" xfId="11160"/>
    <cellStyle name="Normal 3 22 4" xfId="11000"/>
    <cellStyle name="Normal 3 23" xfId="2758"/>
    <cellStyle name="Normal 3 23 2" xfId="5837"/>
    <cellStyle name="Normal 3 23 2 2" xfId="7625"/>
    <cellStyle name="Normal 3 23 2 2 2" xfId="11230"/>
    <cellStyle name="Normal 3 23 2 3" xfId="11072"/>
    <cellStyle name="Normal 3 23 3" xfId="7477"/>
    <cellStyle name="Normal 3 23 3 2" xfId="11161"/>
    <cellStyle name="Normal 3 23 4" xfId="11001"/>
    <cellStyle name="Normal 3 24" xfId="2759"/>
    <cellStyle name="Normal 3 24 2" xfId="9221"/>
    <cellStyle name="Normal 3 25" xfId="2760"/>
    <cellStyle name="Normal 3 26" xfId="2761"/>
    <cellStyle name="Normal 3 26 2" xfId="9222"/>
    <cellStyle name="Normal 3 27" xfId="10953"/>
    <cellStyle name="Normal 3 3" xfId="2762"/>
    <cellStyle name="Normal 3 3 2" xfId="5838"/>
    <cellStyle name="Normal 3 4" xfId="2763"/>
    <cellStyle name="Normal 3 4 2" xfId="5839"/>
    <cellStyle name="Normal 3 4 2 2" xfId="7626"/>
    <cellStyle name="Normal 3 4 2 2 2" xfId="11231"/>
    <cellStyle name="Normal 3 4 2 3" xfId="11073"/>
    <cellStyle name="Normal 3 4 3" xfId="7478"/>
    <cellStyle name="Normal 3 4 3 2" xfId="11162"/>
    <cellStyle name="Normal 3 4 4" xfId="11002"/>
    <cellStyle name="Normal 3 5" xfId="2764"/>
    <cellStyle name="Normal 3 5 2" xfId="5840"/>
    <cellStyle name="Normal 3 5 2 2" xfId="7627"/>
    <cellStyle name="Normal 3 5 2 2 2" xfId="11232"/>
    <cellStyle name="Normal 3 5 2 3" xfId="11074"/>
    <cellStyle name="Normal 3 5 3" xfId="7479"/>
    <cellStyle name="Normal 3 5 3 2" xfId="11163"/>
    <cellStyle name="Normal 3 5 4" xfId="11003"/>
    <cellStyle name="Normal 3 6" xfId="2765"/>
    <cellStyle name="Normal 3 6 2" xfId="5841"/>
    <cellStyle name="Normal 3 6 2 2" xfId="7628"/>
    <cellStyle name="Normal 3 6 2 2 2" xfId="11233"/>
    <cellStyle name="Normal 3 6 2 3" xfId="11075"/>
    <cellStyle name="Normal 3 6 3" xfId="7480"/>
    <cellStyle name="Normal 3 6 3 2" xfId="11164"/>
    <cellStyle name="Normal 3 6 4" xfId="11004"/>
    <cellStyle name="Normal 3 7" xfId="2766"/>
    <cellStyle name="Normal 3 7 2" xfId="5842"/>
    <cellStyle name="Normal 3 7 2 2" xfId="7629"/>
    <cellStyle name="Normal 3 7 2 2 2" xfId="11234"/>
    <cellStyle name="Normal 3 7 2 3" xfId="11076"/>
    <cellStyle name="Normal 3 7 3" xfId="7481"/>
    <cellStyle name="Normal 3 7 3 2" xfId="11165"/>
    <cellStyle name="Normal 3 7 4" xfId="11005"/>
    <cellStyle name="Normal 3 8" xfId="2767"/>
    <cellStyle name="Normal 3 8 2" xfId="5843"/>
    <cellStyle name="Normal 3 8 2 2" xfId="7630"/>
    <cellStyle name="Normal 3 8 2 2 2" xfId="11235"/>
    <cellStyle name="Normal 3 8 2 3" xfId="11077"/>
    <cellStyle name="Normal 3 8 3" xfId="7482"/>
    <cellStyle name="Normal 3 8 3 2" xfId="11166"/>
    <cellStyle name="Normal 3 8 4" xfId="11006"/>
    <cellStyle name="Normal 3 9" xfId="2768"/>
    <cellStyle name="Normal 3 9 2" xfId="5844"/>
    <cellStyle name="Normal 3 9 2 2" xfId="7631"/>
    <cellStyle name="Normal 3 9 2 2 2" xfId="11236"/>
    <cellStyle name="Normal 3 9 2 3" xfId="11078"/>
    <cellStyle name="Normal 3 9 3" xfId="7483"/>
    <cellStyle name="Normal 3 9 3 2" xfId="11167"/>
    <cellStyle name="Normal 3 9 4" xfId="11007"/>
    <cellStyle name="Normal 3_N - Deferred tax 2009 - reduction of tax rate" xfId="2769"/>
    <cellStyle name="Normal 30" xfId="2770"/>
    <cellStyle name="Normal 30 2" xfId="2771"/>
    <cellStyle name="Normal 30 2 2" xfId="5845"/>
    <cellStyle name="Normal 30 2 2 2" xfId="10331"/>
    <cellStyle name="Normal 30 2 3" xfId="9223"/>
    <cellStyle name="Normal 30 3" xfId="5846"/>
    <cellStyle name="Normal 31" xfId="2772"/>
    <cellStyle name="Normal 31 2" xfId="5847"/>
    <cellStyle name="Normal 32" xfId="2773"/>
    <cellStyle name="Normal 32 2" xfId="5848"/>
    <cellStyle name="Normal 33" xfId="2774"/>
    <cellStyle name="Normal 33 2" xfId="5849"/>
    <cellStyle name="Normal 34" xfId="2775"/>
    <cellStyle name="Normal 34 10" xfId="2776"/>
    <cellStyle name="Normal 34 10 2" xfId="5850"/>
    <cellStyle name="Normal 34 10 2 2" xfId="7632"/>
    <cellStyle name="Normal 34 10 2 2 2" xfId="11237"/>
    <cellStyle name="Normal 34 10 2 3" xfId="11079"/>
    <cellStyle name="Normal 34 10 3" xfId="7484"/>
    <cellStyle name="Normal 34 10 3 2" xfId="11168"/>
    <cellStyle name="Normal 34 10 4" xfId="11008"/>
    <cellStyle name="Normal 34 11" xfId="2777"/>
    <cellStyle name="Normal 34 11 2" xfId="5851"/>
    <cellStyle name="Normal 34 11 2 2" xfId="7633"/>
    <cellStyle name="Normal 34 11 2 2 2" xfId="11238"/>
    <cellStyle name="Normal 34 11 2 3" xfId="11080"/>
    <cellStyle name="Normal 34 11 3" xfId="7485"/>
    <cellStyle name="Normal 34 11 3 2" xfId="11169"/>
    <cellStyle name="Normal 34 11 4" xfId="11009"/>
    <cellStyle name="Normal 34 12" xfId="2778"/>
    <cellStyle name="Normal 34 12 2" xfId="5852"/>
    <cellStyle name="Normal 34 12 2 2" xfId="7634"/>
    <cellStyle name="Normal 34 12 2 2 2" xfId="11239"/>
    <cellStyle name="Normal 34 12 2 3" xfId="11081"/>
    <cellStyle name="Normal 34 12 3" xfId="7486"/>
    <cellStyle name="Normal 34 12 3 2" xfId="11170"/>
    <cellStyle name="Normal 34 12 4" xfId="11010"/>
    <cellStyle name="Normal 34 13" xfId="2779"/>
    <cellStyle name="Normal 34 13 2" xfId="5853"/>
    <cellStyle name="Normal 34 13 2 2" xfId="7635"/>
    <cellStyle name="Normal 34 13 2 2 2" xfId="11240"/>
    <cellStyle name="Normal 34 13 2 3" xfId="11082"/>
    <cellStyle name="Normal 34 13 3" xfId="7487"/>
    <cellStyle name="Normal 34 13 3 2" xfId="11171"/>
    <cellStyle name="Normal 34 13 4" xfId="11011"/>
    <cellStyle name="Normal 34 14" xfId="2780"/>
    <cellStyle name="Normal 34 14 2" xfId="5854"/>
    <cellStyle name="Normal 34 14 2 2" xfId="7636"/>
    <cellStyle name="Normal 34 14 2 2 2" xfId="11241"/>
    <cellStyle name="Normal 34 14 2 3" xfId="11083"/>
    <cellStyle name="Normal 34 14 3" xfId="7488"/>
    <cellStyle name="Normal 34 14 3 2" xfId="11172"/>
    <cellStyle name="Normal 34 14 4" xfId="11012"/>
    <cellStyle name="Normal 34 15" xfId="2781"/>
    <cellStyle name="Normal 34 15 2" xfId="5855"/>
    <cellStyle name="Normal 34 15 2 2" xfId="7637"/>
    <cellStyle name="Normal 34 15 2 2 2" xfId="11242"/>
    <cellStyle name="Normal 34 15 2 3" xfId="11084"/>
    <cellStyle name="Normal 34 15 3" xfId="7489"/>
    <cellStyle name="Normal 34 15 3 2" xfId="11173"/>
    <cellStyle name="Normal 34 15 4" xfId="11013"/>
    <cellStyle name="Normal 34 16" xfId="2782"/>
    <cellStyle name="Normal 34 16 2" xfId="5856"/>
    <cellStyle name="Normal 34 16 2 2" xfId="7638"/>
    <cellStyle name="Normal 34 16 2 2 2" xfId="11243"/>
    <cellStyle name="Normal 34 16 2 3" xfId="11085"/>
    <cellStyle name="Normal 34 16 3" xfId="7490"/>
    <cellStyle name="Normal 34 16 3 2" xfId="11174"/>
    <cellStyle name="Normal 34 16 4" xfId="11014"/>
    <cellStyle name="Normal 34 17" xfId="2783"/>
    <cellStyle name="Normal 34 17 2" xfId="5857"/>
    <cellStyle name="Normal 34 17 2 2" xfId="7639"/>
    <cellStyle name="Normal 34 17 2 2 2" xfId="11244"/>
    <cellStyle name="Normal 34 17 2 3" xfId="11086"/>
    <cellStyle name="Normal 34 17 3" xfId="7491"/>
    <cellStyle name="Normal 34 17 3 2" xfId="11175"/>
    <cellStyle name="Normal 34 17 4" xfId="11015"/>
    <cellStyle name="Normal 34 18" xfId="2784"/>
    <cellStyle name="Normal 34 18 2" xfId="5858"/>
    <cellStyle name="Normal 34 18 2 2" xfId="7640"/>
    <cellStyle name="Normal 34 18 2 2 2" xfId="11245"/>
    <cellStyle name="Normal 34 18 2 3" xfId="11087"/>
    <cellStyle name="Normal 34 18 3" xfId="7492"/>
    <cellStyle name="Normal 34 18 3 2" xfId="11176"/>
    <cellStyle name="Normal 34 18 4" xfId="11016"/>
    <cellStyle name="Normal 34 19" xfId="2785"/>
    <cellStyle name="Normal 34 19 2" xfId="5859"/>
    <cellStyle name="Normal 34 19 2 2" xfId="7641"/>
    <cellStyle name="Normal 34 19 2 2 2" xfId="11246"/>
    <cellStyle name="Normal 34 19 2 3" xfId="11088"/>
    <cellStyle name="Normal 34 19 3" xfId="7493"/>
    <cellStyle name="Normal 34 19 3 2" xfId="11177"/>
    <cellStyle name="Normal 34 19 4" xfId="11017"/>
    <cellStyle name="Normal 34 2" xfId="2786"/>
    <cellStyle name="Normal 34 2 2" xfId="5860"/>
    <cellStyle name="Normal 34 2 2 2" xfId="7642"/>
    <cellStyle name="Normal 34 2 2 2 2" xfId="11247"/>
    <cellStyle name="Normal 34 2 2 3" xfId="11089"/>
    <cellStyle name="Normal 34 2 3" xfId="7494"/>
    <cellStyle name="Normal 34 2 3 2" xfId="11178"/>
    <cellStyle name="Normal 34 2 4" xfId="11018"/>
    <cellStyle name="Normal 34 20" xfId="2787"/>
    <cellStyle name="Normal 34 20 2" xfId="5861"/>
    <cellStyle name="Normal 34 20 2 2" xfId="7643"/>
    <cellStyle name="Normal 34 20 2 2 2" xfId="11248"/>
    <cellStyle name="Normal 34 20 2 3" xfId="11090"/>
    <cellStyle name="Normal 34 20 3" xfId="7495"/>
    <cellStyle name="Normal 34 20 3 2" xfId="11179"/>
    <cellStyle name="Normal 34 20 4" xfId="11019"/>
    <cellStyle name="Normal 34 21" xfId="2788"/>
    <cellStyle name="Normal 34 21 2" xfId="5862"/>
    <cellStyle name="Normal 34 21 2 2" xfId="7644"/>
    <cellStyle name="Normal 34 21 2 2 2" xfId="11249"/>
    <cellStyle name="Normal 34 21 2 3" xfId="11091"/>
    <cellStyle name="Normal 34 21 3" xfId="7496"/>
    <cellStyle name="Normal 34 21 3 2" xfId="11180"/>
    <cellStyle name="Normal 34 21 4" xfId="11020"/>
    <cellStyle name="Normal 34 22" xfId="5863"/>
    <cellStyle name="Normal 34 3" xfId="2789"/>
    <cellStyle name="Normal 34 3 2" xfId="5864"/>
    <cellStyle name="Normal 34 3 2 2" xfId="7645"/>
    <cellStyle name="Normal 34 3 2 2 2" xfId="11250"/>
    <cellStyle name="Normal 34 3 2 3" xfId="11092"/>
    <cellStyle name="Normal 34 3 3" xfId="7497"/>
    <cellStyle name="Normal 34 3 3 2" xfId="11181"/>
    <cellStyle name="Normal 34 3 4" xfId="11021"/>
    <cellStyle name="Normal 34 4" xfId="2790"/>
    <cellStyle name="Normal 34 4 2" xfId="5865"/>
    <cellStyle name="Normal 34 4 2 2" xfId="7646"/>
    <cellStyle name="Normal 34 4 2 2 2" xfId="11251"/>
    <cellStyle name="Normal 34 4 2 3" xfId="11093"/>
    <cellStyle name="Normal 34 4 3" xfId="7498"/>
    <cellStyle name="Normal 34 4 3 2" xfId="11182"/>
    <cellStyle name="Normal 34 4 4" xfId="11022"/>
    <cellStyle name="Normal 34 5" xfId="2791"/>
    <cellStyle name="Normal 34 5 2" xfId="5866"/>
    <cellStyle name="Normal 34 5 2 2" xfId="7647"/>
    <cellStyle name="Normal 34 5 2 2 2" xfId="11252"/>
    <cellStyle name="Normal 34 5 2 3" xfId="11094"/>
    <cellStyle name="Normal 34 5 3" xfId="7499"/>
    <cellStyle name="Normal 34 5 3 2" xfId="11183"/>
    <cellStyle name="Normal 34 5 4" xfId="11023"/>
    <cellStyle name="Normal 34 6" xfId="2792"/>
    <cellStyle name="Normal 34 6 2" xfId="5867"/>
    <cellStyle name="Normal 34 6 2 2" xfId="7648"/>
    <cellStyle name="Normal 34 6 2 2 2" xfId="11253"/>
    <cellStyle name="Normal 34 6 2 3" xfId="11095"/>
    <cellStyle name="Normal 34 6 3" xfId="7500"/>
    <cellStyle name="Normal 34 6 3 2" xfId="11184"/>
    <cellStyle name="Normal 34 6 4" xfId="11024"/>
    <cellStyle name="Normal 34 7" xfId="2793"/>
    <cellStyle name="Normal 34 7 2" xfId="5868"/>
    <cellStyle name="Normal 34 7 2 2" xfId="7649"/>
    <cellStyle name="Normal 34 7 2 2 2" xfId="11254"/>
    <cellStyle name="Normal 34 7 2 3" xfId="11096"/>
    <cellStyle name="Normal 34 7 3" xfId="7501"/>
    <cellStyle name="Normal 34 7 3 2" xfId="11185"/>
    <cellStyle name="Normal 34 7 4" xfId="11025"/>
    <cellStyle name="Normal 34 8" xfId="2794"/>
    <cellStyle name="Normal 34 8 2" xfId="5869"/>
    <cellStyle name="Normal 34 8 2 2" xfId="7650"/>
    <cellStyle name="Normal 34 8 2 2 2" xfId="11255"/>
    <cellStyle name="Normal 34 8 2 3" xfId="11097"/>
    <cellStyle name="Normal 34 8 3" xfId="7502"/>
    <cellStyle name="Normal 34 8 3 2" xfId="11186"/>
    <cellStyle name="Normal 34 8 4" xfId="11026"/>
    <cellStyle name="Normal 34 9" xfId="2795"/>
    <cellStyle name="Normal 34 9 2" xfId="5870"/>
    <cellStyle name="Normal 34 9 2 2" xfId="7651"/>
    <cellStyle name="Normal 34 9 2 2 2" xfId="11256"/>
    <cellStyle name="Normal 34 9 2 3" xfId="11098"/>
    <cellStyle name="Normal 34 9 3" xfId="7503"/>
    <cellStyle name="Normal 34 9 3 2" xfId="11187"/>
    <cellStyle name="Normal 34 9 4" xfId="11027"/>
    <cellStyle name="Normal 35" xfId="2796"/>
    <cellStyle name="Normal 35 2" xfId="5871"/>
    <cellStyle name="Normal 36" xfId="2797"/>
    <cellStyle name="Normal 36 2" xfId="5872"/>
    <cellStyle name="Normal 37" xfId="2798"/>
    <cellStyle name="Normal 37 2" xfId="5873"/>
    <cellStyle name="Normal 38" xfId="2799"/>
    <cellStyle name="Normal 38 2" xfId="5874"/>
    <cellStyle name="Normal 39" xfId="2800"/>
    <cellStyle name="Normal 39 2" xfId="5875"/>
    <cellStyle name="Normal 4" xfId="2801"/>
    <cellStyle name="Normal 4 10" xfId="2802"/>
    <cellStyle name="Normal 4 10 2" xfId="5876"/>
    <cellStyle name="Normal 4 10 2 2" xfId="7652"/>
    <cellStyle name="Normal 4 10 2 2 2" xfId="11257"/>
    <cellStyle name="Normal 4 10 2 3" xfId="11099"/>
    <cellStyle name="Normal 4 10 3" xfId="7504"/>
    <cellStyle name="Normal 4 10 3 2" xfId="11188"/>
    <cellStyle name="Normal 4 10 4" xfId="11028"/>
    <cellStyle name="Normal 4 11" xfId="2803"/>
    <cellStyle name="Normal 4 11 2" xfId="2804"/>
    <cellStyle name="Normal 4 11 2 2" xfId="7506"/>
    <cellStyle name="Normal 4 11 2 2 2" xfId="11190"/>
    <cellStyle name="Normal 4 11 2 3" xfId="11030"/>
    <cellStyle name="Normal 4 11 3" xfId="7505"/>
    <cellStyle name="Normal 4 11 3 2" xfId="11189"/>
    <cellStyle name="Normal 4 11 4" xfId="11029"/>
    <cellStyle name="Normal 4 12" xfId="2805"/>
    <cellStyle name="Normal 4 12 2" xfId="5877"/>
    <cellStyle name="Normal 4 12 2 2" xfId="7653"/>
    <cellStyle name="Normal 4 12 2 2 2" xfId="11258"/>
    <cellStyle name="Normal 4 12 2 3" xfId="11100"/>
    <cellStyle name="Normal 4 12 3" xfId="7507"/>
    <cellStyle name="Normal 4 12 3 2" xfId="11191"/>
    <cellStyle name="Normal 4 12 4" xfId="11031"/>
    <cellStyle name="Normal 4 13" xfId="2806"/>
    <cellStyle name="Normal 4 13 2" xfId="5878"/>
    <cellStyle name="Normal 4 13 2 2" xfId="7654"/>
    <cellStyle name="Normal 4 13 2 2 2" xfId="11259"/>
    <cellStyle name="Normal 4 13 2 3" xfId="11101"/>
    <cellStyle name="Normal 4 13 3" xfId="7508"/>
    <cellStyle name="Normal 4 13 3 2" xfId="11192"/>
    <cellStyle name="Normal 4 13 4" xfId="11032"/>
    <cellStyle name="Normal 4 14" xfId="2807"/>
    <cellStyle name="Normal 4 14 2" xfId="5879"/>
    <cellStyle name="Normal 4 14 2 2" xfId="7655"/>
    <cellStyle name="Normal 4 14 2 2 2" xfId="11260"/>
    <cellStyle name="Normal 4 14 2 3" xfId="11102"/>
    <cellStyle name="Normal 4 14 3" xfId="7509"/>
    <cellStyle name="Normal 4 14 3 2" xfId="11193"/>
    <cellStyle name="Normal 4 14 4" xfId="11033"/>
    <cellStyle name="Normal 4 15" xfId="2808"/>
    <cellStyle name="Normal 4 15 2" xfId="5880"/>
    <cellStyle name="Normal 4 15 2 2" xfId="7656"/>
    <cellStyle name="Normal 4 15 2 2 2" xfId="11261"/>
    <cellStyle name="Normal 4 15 2 3" xfId="11103"/>
    <cellStyle name="Normal 4 15 3" xfId="7510"/>
    <cellStyle name="Normal 4 15 3 2" xfId="11194"/>
    <cellStyle name="Normal 4 15 4" xfId="11034"/>
    <cellStyle name="Normal 4 16" xfId="2809"/>
    <cellStyle name="Normal 4 16 2" xfId="5881"/>
    <cellStyle name="Normal 4 16 2 2" xfId="7657"/>
    <cellStyle name="Normal 4 16 2 2 2" xfId="11262"/>
    <cellStyle name="Normal 4 16 2 3" xfId="11104"/>
    <cellStyle name="Normal 4 16 3" xfId="7511"/>
    <cellStyle name="Normal 4 16 3 2" xfId="11195"/>
    <cellStyle name="Normal 4 16 4" xfId="11035"/>
    <cellStyle name="Normal 4 17" xfId="2810"/>
    <cellStyle name="Normal 4 17 2" xfId="5882"/>
    <cellStyle name="Normal 4 17 2 2" xfId="7658"/>
    <cellStyle name="Normal 4 17 2 2 2" xfId="11263"/>
    <cellStyle name="Normal 4 17 2 3" xfId="11105"/>
    <cellStyle name="Normal 4 17 3" xfId="7512"/>
    <cellStyle name="Normal 4 17 3 2" xfId="11196"/>
    <cellStyle name="Normal 4 17 4" xfId="11036"/>
    <cellStyle name="Normal 4 18" xfId="2811"/>
    <cellStyle name="Normal 4 18 2" xfId="5883"/>
    <cellStyle name="Normal 4 18 2 2" xfId="7659"/>
    <cellStyle name="Normal 4 18 2 2 2" xfId="11264"/>
    <cellStyle name="Normal 4 18 2 3" xfId="11106"/>
    <cellStyle name="Normal 4 18 3" xfId="7513"/>
    <cellStyle name="Normal 4 18 3 2" xfId="11197"/>
    <cellStyle name="Normal 4 18 4" xfId="11037"/>
    <cellStyle name="Normal 4 19" xfId="2812"/>
    <cellStyle name="Normal 4 19 2" xfId="5884"/>
    <cellStyle name="Normal 4 19 2 2" xfId="7660"/>
    <cellStyle name="Normal 4 19 2 2 2" xfId="11265"/>
    <cellStyle name="Normal 4 19 2 3" xfId="11107"/>
    <cellStyle name="Normal 4 19 3" xfId="7514"/>
    <cellStyle name="Normal 4 19 3 2" xfId="11198"/>
    <cellStyle name="Normal 4 19 4" xfId="11038"/>
    <cellStyle name="Normal 4 2" xfId="2813"/>
    <cellStyle name="Normal 4 2 2" xfId="2814"/>
    <cellStyle name="Normal 4 2 2 2" xfId="9224"/>
    <cellStyle name="Normal 4 2 3" xfId="5885"/>
    <cellStyle name="Normal 4 2 3 2" xfId="7661"/>
    <cellStyle name="Normal 4 2 3 2 2" xfId="11266"/>
    <cellStyle name="Normal 4 2 3 3" xfId="11108"/>
    <cellStyle name="Normal 4 2 4" xfId="7515"/>
    <cellStyle name="Normal 4 2 4 2" xfId="11199"/>
    <cellStyle name="Normal 4 2 5" xfId="11039"/>
    <cellStyle name="Normal 4 20" xfId="2815"/>
    <cellStyle name="Normal 4 20 2" xfId="5886"/>
    <cellStyle name="Normal 4 20 2 2" xfId="7662"/>
    <cellStyle name="Normal 4 20 2 2 2" xfId="11267"/>
    <cellStyle name="Normal 4 20 2 3" xfId="11109"/>
    <cellStyle name="Normal 4 20 3" xfId="7516"/>
    <cellStyle name="Normal 4 20 3 2" xfId="11200"/>
    <cellStyle name="Normal 4 20 4" xfId="11040"/>
    <cellStyle name="Normal 4 21" xfId="2816"/>
    <cellStyle name="Normal 4 21 2" xfId="2817"/>
    <cellStyle name="Normal 4 21 2 2" xfId="7518"/>
    <cellStyle name="Normal 4 21 2 2 2" xfId="11202"/>
    <cellStyle name="Normal 4 21 2 3" xfId="11042"/>
    <cellStyle name="Normal 4 21 3" xfId="7517"/>
    <cellStyle name="Normal 4 21 3 2" xfId="11201"/>
    <cellStyle name="Normal 4 21 4" xfId="11041"/>
    <cellStyle name="Normal 4 22" xfId="2818"/>
    <cellStyle name="Normal 4 22 2" xfId="9225"/>
    <cellStyle name="Normal 4 23" xfId="5887"/>
    <cellStyle name="Normal 4 3" xfId="2819"/>
    <cellStyle name="Normal 4 3 2" xfId="5888"/>
    <cellStyle name="Normal 4 3 2 2" xfId="7663"/>
    <cellStyle name="Normal 4 3 2 2 2" xfId="11268"/>
    <cellStyle name="Normal 4 3 2 3" xfId="11110"/>
    <cellStyle name="Normal 4 3 3" xfId="7519"/>
    <cellStyle name="Normal 4 3 3 2" xfId="11203"/>
    <cellStyle name="Normal 4 3 4" xfId="11043"/>
    <cellStyle name="Normal 4 4" xfId="2820"/>
    <cellStyle name="Normal 4 4 2" xfId="5889"/>
    <cellStyle name="Normal 4 4 2 2" xfId="7664"/>
    <cellStyle name="Normal 4 4 2 2 2" xfId="11269"/>
    <cellStyle name="Normal 4 4 2 3" xfId="11111"/>
    <cellStyle name="Normal 4 4 3" xfId="7520"/>
    <cellStyle name="Normal 4 4 3 2" xfId="11204"/>
    <cellStyle name="Normal 4 4 4" xfId="11044"/>
    <cellStyle name="Normal 4 5" xfId="2821"/>
    <cellStyle name="Normal 4 5 2" xfId="5890"/>
    <cellStyle name="Normal 4 5 2 2" xfId="7665"/>
    <cellStyle name="Normal 4 5 2 2 2" xfId="11270"/>
    <cellStyle name="Normal 4 5 2 3" xfId="11112"/>
    <cellStyle name="Normal 4 5 3" xfId="7521"/>
    <cellStyle name="Normal 4 5 3 2" xfId="11205"/>
    <cellStyle name="Normal 4 5 4" xfId="11045"/>
    <cellStyle name="Normal 4 6" xfId="2822"/>
    <cellStyle name="Normal 4 6 2" xfId="5891"/>
    <cellStyle name="Normal 4 6 2 2" xfId="7666"/>
    <cellStyle name="Normal 4 6 2 2 2" xfId="11271"/>
    <cellStyle name="Normal 4 6 2 3" xfId="11113"/>
    <cellStyle name="Normal 4 6 3" xfId="7522"/>
    <cellStyle name="Normal 4 6 3 2" xfId="11206"/>
    <cellStyle name="Normal 4 6 4" xfId="11046"/>
    <cellStyle name="Normal 4 7" xfId="2823"/>
    <cellStyle name="Normal 4 7 2" xfId="5892"/>
    <cellStyle name="Normal 4 7 2 2" xfId="7667"/>
    <cellStyle name="Normal 4 7 2 2 2" xfId="11272"/>
    <cellStyle name="Normal 4 7 2 3" xfId="11114"/>
    <cellStyle name="Normal 4 7 3" xfId="7523"/>
    <cellStyle name="Normal 4 7 3 2" xfId="11207"/>
    <cellStyle name="Normal 4 7 4" xfId="11047"/>
    <cellStyle name="Normal 4 8" xfId="2824"/>
    <cellStyle name="Normal 4 8 2" xfId="5893"/>
    <cellStyle name="Normal 4 8 2 2" xfId="7668"/>
    <cellStyle name="Normal 4 8 2 2 2" xfId="11273"/>
    <cellStyle name="Normal 4 8 2 3" xfId="11115"/>
    <cellStyle name="Normal 4 8 3" xfId="7524"/>
    <cellStyle name="Normal 4 8 3 2" xfId="11208"/>
    <cellStyle name="Normal 4 8 4" xfId="11048"/>
    <cellStyle name="Normal 4 9" xfId="2825"/>
    <cellStyle name="Normal 4 9 2" xfId="5894"/>
    <cellStyle name="Normal 4 9 2 2" xfId="7669"/>
    <cellStyle name="Normal 4 9 2 2 2" xfId="11274"/>
    <cellStyle name="Normal 4 9 2 3" xfId="11116"/>
    <cellStyle name="Normal 4 9 3" xfId="7525"/>
    <cellStyle name="Normal 4 9 3 2" xfId="11209"/>
    <cellStyle name="Normal 4 9 4" xfId="11049"/>
    <cellStyle name="Normal 40" xfId="2826"/>
    <cellStyle name="Normal 40 2" xfId="5895"/>
    <cellStyle name="Normal 41" xfId="2827"/>
    <cellStyle name="Normal 41 2" xfId="5896"/>
    <cellStyle name="Normal 42" xfId="2828"/>
    <cellStyle name="Normal 42 2" xfId="5897"/>
    <cellStyle name="Normal 43" xfId="2829"/>
    <cellStyle name="Normal 43 2" xfId="5898"/>
    <cellStyle name="Normal 43 2 2" xfId="7670"/>
    <cellStyle name="Normal 43 3" xfId="7526"/>
    <cellStyle name="Normal 44" xfId="2830"/>
    <cellStyle name="Normal 44 2" xfId="5899"/>
    <cellStyle name="Normal 45" xfId="2831"/>
    <cellStyle name="Normal 45 2" xfId="2832"/>
    <cellStyle name="Normal 45 2 2" xfId="9226"/>
    <cellStyle name="Normal 45 3" xfId="5900"/>
    <cellStyle name="Normal 46" xfId="2833"/>
    <cellStyle name="Normal 46 2" xfId="2834"/>
    <cellStyle name="Normal 46 2 2" xfId="5901"/>
    <cellStyle name="Normal 46 2 2 2" xfId="10332"/>
    <cellStyle name="Normal 46 2 3" xfId="9227"/>
    <cellStyle name="Normal 46 3" xfId="2835"/>
    <cellStyle name="Normal 46 3 2" xfId="9228"/>
    <cellStyle name="Normal 46 4" xfId="5902"/>
    <cellStyle name="Normal 46 4 2" xfId="7671"/>
    <cellStyle name="Normal 46 5" xfId="7527"/>
    <cellStyle name="Normal 47" xfId="2836"/>
    <cellStyle name="Normal 47 2" xfId="2837"/>
    <cellStyle name="Normal 47 2 2" xfId="9230"/>
    <cellStyle name="Normal 47 3" xfId="9229"/>
    <cellStyle name="Normal 48" xfId="2838"/>
    <cellStyle name="Normal 48 2" xfId="5903"/>
    <cellStyle name="Normal 49" xfId="2839"/>
    <cellStyle name="Normal 49 2" xfId="2840"/>
    <cellStyle name="Normal 49 3" xfId="5904"/>
    <cellStyle name="Normal 49 3 2" xfId="10333"/>
    <cellStyle name="Normal 49 4" xfId="9231"/>
    <cellStyle name="Normal 5" xfId="2841"/>
    <cellStyle name="Normal 5 10" xfId="2842"/>
    <cellStyle name="Normal 5 10 2" xfId="5905"/>
    <cellStyle name="Normal 5 10 2 2" xfId="10334"/>
    <cellStyle name="Normal 5 10 3" xfId="9232"/>
    <cellStyle name="Normal 5 11" xfId="2843"/>
    <cellStyle name="Normal 5 11 2" xfId="5906"/>
    <cellStyle name="Normal 5 11 2 2" xfId="10335"/>
    <cellStyle name="Normal 5 11 3" xfId="9233"/>
    <cellStyle name="Normal 5 12" xfId="2844"/>
    <cellStyle name="Normal 5 12 2" xfId="5907"/>
    <cellStyle name="Normal 5 12 2 2" xfId="10336"/>
    <cellStyle name="Normal 5 12 3" xfId="9234"/>
    <cellStyle name="Normal 5 13" xfId="2845"/>
    <cellStyle name="Normal 5 13 2" xfId="5908"/>
    <cellStyle name="Normal 5 13 2 2" xfId="10337"/>
    <cellStyle name="Normal 5 13 3" xfId="9235"/>
    <cellStyle name="Normal 5 14" xfId="2846"/>
    <cellStyle name="Normal 5 14 2" xfId="5909"/>
    <cellStyle name="Normal 5 14 2 2" xfId="10338"/>
    <cellStyle name="Normal 5 14 3" xfId="9236"/>
    <cellStyle name="Normal 5 15" xfId="2847"/>
    <cellStyle name="Normal 5 15 2" xfId="5910"/>
    <cellStyle name="Normal 5 15 2 2" xfId="10339"/>
    <cellStyle name="Normal 5 15 3" xfId="9237"/>
    <cellStyle name="Normal 5 16" xfId="2848"/>
    <cellStyle name="Normal 5 16 2" xfId="5911"/>
    <cellStyle name="Normal 5 16 2 2" xfId="10340"/>
    <cellStyle name="Normal 5 16 3" xfId="9238"/>
    <cellStyle name="Normal 5 17" xfId="2849"/>
    <cellStyle name="Normal 5 17 2" xfId="5912"/>
    <cellStyle name="Normal 5 17 2 2" xfId="10341"/>
    <cellStyle name="Normal 5 17 3" xfId="9239"/>
    <cellStyle name="Normal 5 18" xfId="2850"/>
    <cellStyle name="Normal 5 18 2" xfId="5913"/>
    <cellStyle name="Normal 5 18 2 2" xfId="10342"/>
    <cellStyle name="Normal 5 18 3" xfId="9240"/>
    <cellStyle name="Normal 5 19" xfId="2851"/>
    <cellStyle name="Normal 5 19 2" xfId="5914"/>
    <cellStyle name="Normal 5 19 2 2" xfId="10343"/>
    <cellStyle name="Normal 5 19 3" xfId="9241"/>
    <cellStyle name="Normal 5 2" xfId="2852"/>
    <cellStyle name="Normal 5 2 2" xfId="5915"/>
    <cellStyle name="Normal 5 2 2 2" xfId="10344"/>
    <cellStyle name="Normal 5 2 3" xfId="9242"/>
    <cellStyle name="Normal 5 20" xfId="2853"/>
    <cellStyle name="Normal 5 20 2" xfId="5916"/>
    <cellStyle name="Normal 5 20 2 2" xfId="10345"/>
    <cellStyle name="Normal 5 20 3" xfId="9243"/>
    <cellStyle name="Normal 5 21" xfId="2854"/>
    <cellStyle name="Normal 5 21 2" xfId="5917"/>
    <cellStyle name="Normal 5 21 2 2" xfId="10346"/>
    <cellStyle name="Normal 5 21 3" xfId="9244"/>
    <cellStyle name="Normal 5 22" xfId="2855"/>
    <cellStyle name="Normal 5 22 2" xfId="7528"/>
    <cellStyle name="Normal 5 23" xfId="2856"/>
    <cellStyle name="Normal 5 23 2" xfId="7529"/>
    <cellStyle name="Normal 5 23 2 2" xfId="11210"/>
    <cellStyle name="Normal 5 23 3" xfId="11050"/>
    <cellStyle name="Normal 5 24" xfId="5918"/>
    <cellStyle name="Normal 5 3" xfId="2857"/>
    <cellStyle name="Normal 5 3 2" xfId="5919"/>
    <cellStyle name="Normal 5 3 2 2" xfId="10347"/>
    <cellStyle name="Normal 5 3 3" xfId="9245"/>
    <cellStyle name="Normal 5 4" xfId="2858"/>
    <cellStyle name="Normal 5 4 2" xfId="5920"/>
    <cellStyle name="Normal 5 4 2 2" xfId="10348"/>
    <cellStyle name="Normal 5 4 3" xfId="9246"/>
    <cellStyle name="Normal 5 5" xfId="2859"/>
    <cellStyle name="Normal 5 5 2" xfId="5921"/>
    <cellStyle name="Normal 5 5 2 2" xfId="10349"/>
    <cellStyle name="Normal 5 5 3" xfId="9247"/>
    <cellStyle name="Normal 5 6" xfId="2860"/>
    <cellStyle name="Normal 5 6 2" xfId="5922"/>
    <cellStyle name="Normal 5 6 2 2" xfId="10350"/>
    <cellStyle name="Normal 5 6 3" xfId="9248"/>
    <cellStyle name="Normal 5 7" xfId="2861"/>
    <cellStyle name="Normal 5 7 2" xfId="5923"/>
    <cellStyle name="Normal 5 7 2 2" xfId="10351"/>
    <cellStyle name="Normal 5 7 3" xfId="9249"/>
    <cellStyle name="Normal 5 8" xfId="2862"/>
    <cellStyle name="Normal 5 8 2" xfId="5924"/>
    <cellStyle name="Normal 5 8 2 2" xfId="10352"/>
    <cellStyle name="Normal 5 8 3" xfId="9250"/>
    <cellStyle name="Normal 5 9" xfId="2863"/>
    <cellStyle name="Normal 5 9 2" xfId="5925"/>
    <cellStyle name="Normal 5 9 2 2" xfId="10353"/>
    <cellStyle name="Normal 5 9 3" xfId="9251"/>
    <cellStyle name="Normal 50" xfId="2864"/>
    <cellStyle name="Normal 50 2" xfId="5926"/>
    <cellStyle name="Normal 50 2 2" xfId="10354"/>
    <cellStyle name="Normal 50 3" xfId="9252"/>
    <cellStyle name="Normal 51" xfId="2865"/>
    <cellStyle name="Normal 51 2" xfId="5927"/>
    <cellStyle name="Normal 51 2 2" xfId="10355"/>
    <cellStyle name="Normal 51 3" xfId="9253"/>
    <cellStyle name="Normal 52" xfId="2866"/>
    <cellStyle name="Normal 52 2" xfId="5928"/>
    <cellStyle name="Normal 52 2 2" xfId="10356"/>
    <cellStyle name="Normal 52 3" xfId="9254"/>
    <cellStyle name="Normal 53" xfId="2867"/>
    <cellStyle name="Normal 53 2" xfId="5929"/>
    <cellStyle name="Normal 53 2 2" xfId="10357"/>
    <cellStyle name="Normal 53 3" xfId="9255"/>
    <cellStyle name="Normal 54" xfId="2868"/>
    <cellStyle name="Normal 54 2" xfId="5930"/>
    <cellStyle name="Normal 54 2 2" xfId="10358"/>
    <cellStyle name="Normal 54 3" xfId="9256"/>
    <cellStyle name="Normal 55" xfId="2869"/>
    <cellStyle name="Normal 55 2" xfId="5931"/>
    <cellStyle name="Normal 56" xfId="2870"/>
    <cellStyle name="Normal 56 2" xfId="5932"/>
    <cellStyle name="Normal 57" xfId="2871"/>
    <cellStyle name="Normal 58" xfId="2872"/>
    <cellStyle name="Normal 59" xfId="2873"/>
    <cellStyle name="Normal 6" xfId="2874"/>
    <cellStyle name="Normal 6 10" xfId="2875"/>
    <cellStyle name="Normal 6 10 2" xfId="5933"/>
    <cellStyle name="Normal 6 11" xfId="2876"/>
    <cellStyle name="Normal 6 11 2" xfId="5934"/>
    <cellStyle name="Normal 6 12" xfId="2877"/>
    <cellStyle name="Normal 6 12 2" xfId="5935"/>
    <cellStyle name="Normal 6 13" xfId="2878"/>
    <cellStyle name="Normal 6 13 2" xfId="5936"/>
    <cellStyle name="Normal 6 14" xfId="2879"/>
    <cellStyle name="Normal 6 14 2" xfId="5937"/>
    <cellStyle name="Normal 6 15" xfId="2880"/>
    <cellStyle name="Normal 6 15 2" xfId="5938"/>
    <cellStyle name="Normal 6 16" xfId="2881"/>
    <cellStyle name="Normal 6 16 2" xfId="5939"/>
    <cellStyle name="Normal 6 17" xfId="2882"/>
    <cellStyle name="Normal 6 17 2" xfId="5940"/>
    <cellStyle name="Normal 6 18" xfId="2883"/>
    <cellStyle name="Normal 6 18 2" xfId="5941"/>
    <cellStyle name="Normal 6 19" xfId="2884"/>
    <cellStyle name="Normal 6 19 2" xfId="5942"/>
    <cellStyle name="Normal 6 2" xfId="2885"/>
    <cellStyle name="Normal 6 2 10" xfId="2886"/>
    <cellStyle name="Normal 6 2 10 2" xfId="5943"/>
    <cellStyle name="Normal 6 2 10 2 2" xfId="7672"/>
    <cellStyle name="Normal 6 2 10 3" xfId="7530"/>
    <cellStyle name="Normal 6 2 11" xfId="2887"/>
    <cellStyle name="Normal 6 2 11 2" xfId="5944"/>
    <cellStyle name="Normal 6 2 11 2 2" xfId="7673"/>
    <cellStyle name="Normal 6 2 11 3" xfId="7531"/>
    <cellStyle name="Normal 6 2 12" xfId="2888"/>
    <cellStyle name="Normal 6 2 12 2" xfId="5945"/>
    <cellStyle name="Normal 6 2 12 2 2" xfId="7674"/>
    <cellStyle name="Normal 6 2 12 3" xfId="7532"/>
    <cellStyle name="Normal 6 2 13" xfId="2889"/>
    <cellStyle name="Normal 6 2 13 2" xfId="5946"/>
    <cellStyle name="Normal 6 2 13 2 2" xfId="7675"/>
    <cellStyle name="Normal 6 2 13 3" xfId="7533"/>
    <cellStyle name="Normal 6 2 14" xfId="2890"/>
    <cellStyle name="Normal 6 2 14 2" xfId="5947"/>
    <cellStyle name="Normal 6 2 14 2 2" xfId="7676"/>
    <cellStyle name="Normal 6 2 14 3" xfId="7534"/>
    <cellStyle name="Normal 6 2 15" xfId="2891"/>
    <cellStyle name="Normal 6 2 15 2" xfId="5948"/>
    <cellStyle name="Normal 6 2 15 2 2" xfId="7677"/>
    <cellStyle name="Normal 6 2 15 3" xfId="7535"/>
    <cellStyle name="Normal 6 2 16" xfId="2892"/>
    <cellStyle name="Normal 6 2 16 2" xfId="5949"/>
    <cellStyle name="Normal 6 2 16 2 2" xfId="7678"/>
    <cellStyle name="Normal 6 2 16 3" xfId="7536"/>
    <cellStyle name="Normal 6 2 17" xfId="2893"/>
    <cellStyle name="Normal 6 2 17 2" xfId="5950"/>
    <cellStyle name="Normal 6 2 17 2 2" xfId="7679"/>
    <cellStyle name="Normal 6 2 17 3" xfId="7537"/>
    <cellStyle name="Normal 6 2 18" xfId="2894"/>
    <cellStyle name="Normal 6 2 18 2" xfId="5951"/>
    <cellStyle name="Normal 6 2 18 2 2" xfId="7680"/>
    <cellStyle name="Normal 6 2 18 3" xfId="7538"/>
    <cellStyle name="Normal 6 2 19" xfId="2895"/>
    <cellStyle name="Normal 6 2 19 2" xfId="5952"/>
    <cellStyle name="Normal 6 2 19 2 2" xfId="7681"/>
    <cellStyle name="Normal 6 2 19 3" xfId="7539"/>
    <cellStyle name="Normal 6 2 2" xfId="2896"/>
    <cellStyle name="Normal 6 2 2 2" xfId="5953"/>
    <cellStyle name="Normal 6 2 2 2 2" xfId="7682"/>
    <cellStyle name="Normal 6 2 2 3" xfId="7540"/>
    <cellStyle name="Normal 6 2 20" xfId="2897"/>
    <cellStyle name="Normal 6 2 20 2" xfId="5954"/>
    <cellStyle name="Normal 6 2 20 2 2" xfId="7683"/>
    <cellStyle name="Normal 6 2 20 3" xfId="7541"/>
    <cellStyle name="Normal 6 2 21" xfId="2898"/>
    <cellStyle name="Normal 6 2 21 2" xfId="5955"/>
    <cellStyle name="Normal 6 2 21 2 2" xfId="7684"/>
    <cellStyle name="Normal 6 2 21 3" xfId="7542"/>
    <cellStyle name="Normal 6 2 22" xfId="5956"/>
    <cellStyle name="Normal 6 2 3" xfId="2899"/>
    <cellStyle name="Normal 6 2 3 2" xfId="5957"/>
    <cellStyle name="Normal 6 2 3 2 2" xfId="7685"/>
    <cellStyle name="Normal 6 2 3 3" xfId="7543"/>
    <cellStyle name="Normal 6 2 4" xfId="2900"/>
    <cellStyle name="Normal 6 2 4 2" xfId="5958"/>
    <cellStyle name="Normal 6 2 4 2 2" xfId="7686"/>
    <cellStyle name="Normal 6 2 4 3" xfId="7544"/>
    <cellStyle name="Normal 6 2 5" xfId="2901"/>
    <cellStyle name="Normal 6 2 5 2" xfId="5959"/>
    <cellStyle name="Normal 6 2 5 2 2" xfId="7687"/>
    <cellStyle name="Normal 6 2 5 3" xfId="7545"/>
    <cellStyle name="Normal 6 2 6" xfId="2902"/>
    <cellStyle name="Normal 6 2 6 2" xfId="5960"/>
    <cellStyle name="Normal 6 2 6 2 2" xfId="7688"/>
    <cellStyle name="Normal 6 2 6 3" xfId="7546"/>
    <cellStyle name="Normal 6 2 7" xfId="2903"/>
    <cellStyle name="Normal 6 2 7 2" xfId="5961"/>
    <cellStyle name="Normal 6 2 7 2 2" xfId="7689"/>
    <cellStyle name="Normal 6 2 7 3" xfId="7547"/>
    <cellStyle name="Normal 6 2 8" xfId="2904"/>
    <cellStyle name="Normal 6 2 8 2" xfId="5962"/>
    <cellStyle name="Normal 6 2 8 2 2" xfId="7690"/>
    <cellStyle name="Normal 6 2 8 3" xfId="7548"/>
    <cellStyle name="Normal 6 2 9" xfId="2905"/>
    <cellStyle name="Normal 6 2 9 2" xfId="5963"/>
    <cellStyle name="Normal 6 2 9 2 2" xfId="7691"/>
    <cellStyle name="Normal 6 2 9 3" xfId="7549"/>
    <cellStyle name="Normal 6 20" xfId="2906"/>
    <cellStyle name="Normal 6 20 2" xfId="5964"/>
    <cellStyle name="Normal 6 21" xfId="2907"/>
    <cellStyle name="Normal 6 21 2" xfId="5965"/>
    <cellStyle name="Normal 6 22" xfId="2908"/>
    <cellStyle name="Normal 6 22 2" xfId="5966"/>
    <cellStyle name="Normal 6 22 2 2" xfId="10359"/>
    <cellStyle name="Normal 6 22 3" xfId="9257"/>
    <cellStyle name="Normal 6 23" xfId="2909"/>
    <cellStyle name="Normal 6 24" xfId="5967"/>
    <cellStyle name="Normal 6 3" xfId="2910"/>
    <cellStyle name="Normal 6 3 2" xfId="5968"/>
    <cellStyle name="Normal 6 4" xfId="2911"/>
    <cellStyle name="Normal 6 4 2" xfId="5969"/>
    <cellStyle name="Normal 6 5" xfId="2912"/>
    <cellStyle name="Normal 6 5 2" xfId="5970"/>
    <cellStyle name="Normal 6 6" xfId="2913"/>
    <cellStyle name="Normal 6 6 2" xfId="5971"/>
    <cellStyle name="Normal 6 7" xfId="2914"/>
    <cellStyle name="Normal 6 7 2" xfId="5972"/>
    <cellStyle name="Normal 6 8" xfId="2915"/>
    <cellStyle name="Normal 6 8 2" xfId="5973"/>
    <cellStyle name="Normal 6 9" xfId="2916"/>
    <cellStyle name="Normal 6 9 2" xfId="5974"/>
    <cellStyle name="Normal 60" xfId="2917"/>
    <cellStyle name="Normal 61" xfId="4737"/>
    <cellStyle name="Normal 61 2" xfId="9843"/>
    <cellStyle name="Normal 61 3" xfId="7580"/>
    <cellStyle name="Normal 62" xfId="7325"/>
    <cellStyle name="Normal 62 2" xfId="10904"/>
    <cellStyle name="Normal 62 3" xfId="7786"/>
    <cellStyle name="Normal 63" xfId="7332"/>
    <cellStyle name="Normal 63 2" xfId="10771"/>
    <cellStyle name="Normal 63 3" xfId="10758"/>
    <cellStyle name="Normal 64" xfId="7697"/>
    <cellStyle name="Normal 64 2" xfId="10908"/>
    <cellStyle name="Normal 64 3" xfId="10761"/>
    <cellStyle name="Normal 65" xfId="7737"/>
    <cellStyle name="Normal 65 2" xfId="10911"/>
    <cellStyle name="Normal 65 3" xfId="10763"/>
    <cellStyle name="Normal 66" xfId="7750"/>
    <cellStyle name="Normal 66 2" xfId="10765"/>
    <cellStyle name="Normal 67" xfId="7771"/>
    <cellStyle name="Normal 67 2" xfId="10915"/>
    <cellStyle name="Normal 67 3" xfId="10768"/>
    <cellStyle name="Normal 68" xfId="10834"/>
    <cellStyle name="Normal 69" xfId="10835"/>
    <cellStyle name="Normal 7" xfId="2918"/>
    <cellStyle name="Normal 7 10" xfId="2919"/>
    <cellStyle name="Normal 7 10 2" xfId="5975"/>
    <cellStyle name="Normal 7 10 2 2" xfId="10360"/>
    <cellStyle name="Normal 7 10 3" xfId="9258"/>
    <cellStyle name="Normal 7 11" xfId="2920"/>
    <cellStyle name="Normal 7 11 2" xfId="5976"/>
    <cellStyle name="Normal 7 11 2 2" xfId="10361"/>
    <cellStyle name="Normal 7 11 3" xfId="9259"/>
    <cellStyle name="Normal 7 12" xfId="2921"/>
    <cellStyle name="Normal 7 12 2" xfId="5977"/>
    <cellStyle name="Normal 7 12 2 2" xfId="10362"/>
    <cellStyle name="Normal 7 12 3" xfId="9260"/>
    <cellStyle name="Normal 7 13" xfId="2922"/>
    <cellStyle name="Normal 7 13 2" xfId="5978"/>
    <cellStyle name="Normal 7 13 2 2" xfId="10363"/>
    <cellStyle name="Normal 7 13 3" xfId="9261"/>
    <cellStyle name="Normal 7 14" xfId="2923"/>
    <cellStyle name="Normal 7 14 2" xfId="5979"/>
    <cellStyle name="Normal 7 14 2 2" xfId="10364"/>
    <cellStyle name="Normal 7 14 3" xfId="9262"/>
    <cellStyle name="Normal 7 15" xfId="2924"/>
    <cellStyle name="Normal 7 15 2" xfId="5980"/>
    <cellStyle name="Normal 7 15 2 2" xfId="10365"/>
    <cellStyle name="Normal 7 15 3" xfId="9263"/>
    <cellStyle name="Normal 7 16" xfId="2925"/>
    <cellStyle name="Normal 7 16 2" xfId="5981"/>
    <cellStyle name="Normal 7 16 2 2" xfId="10366"/>
    <cellStyle name="Normal 7 16 3" xfId="9264"/>
    <cellStyle name="Normal 7 17" xfId="2926"/>
    <cellStyle name="Normal 7 17 2" xfId="5982"/>
    <cellStyle name="Normal 7 17 2 2" xfId="10367"/>
    <cellStyle name="Normal 7 17 3" xfId="9265"/>
    <cellStyle name="Normal 7 18" xfId="2927"/>
    <cellStyle name="Normal 7 18 2" xfId="5983"/>
    <cellStyle name="Normal 7 18 2 2" xfId="10368"/>
    <cellStyle name="Normal 7 18 3" xfId="9266"/>
    <cellStyle name="Normal 7 19" xfId="2928"/>
    <cellStyle name="Normal 7 19 2" xfId="5984"/>
    <cellStyle name="Normal 7 19 2 2" xfId="10369"/>
    <cellStyle name="Normal 7 19 3" xfId="9267"/>
    <cellStyle name="Normal 7 2" xfId="2929"/>
    <cellStyle name="Normal 7 2 2" xfId="5985"/>
    <cellStyle name="Normal 7 2 2 2" xfId="10370"/>
    <cellStyle name="Normal 7 2 3" xfId="9268"/>
    <cellStyle name="Normal 7 20" xfId="2930"/>
    <cellStyle name="Normal 7 20 2" xfId="5986"/>
    <cellStyle name="Normal 7 20 2 2" xfId="10371"/>
    <cellStyle name="Normal 7 20 3" xfId="9269"/>
    <cellStyle name="Normal 7 21" xfId="2931"/>
    <cellStyle name="Normal 7 21 2" xfId="5987"/>
    <cellStyle name="Normal 7 21 2 2" xfId="10372"/>
    <cellStyle name="Normal 7 21 3" xfId="9270"/>
    <cellStyle name="Normal 7 22" xfId="2932"/>
    <cellStyle name="Normal 7 22 2" xfId="5988"/>
    <cellStyle name="Normal 7 22 2 2" xfId="10373"/>
    <cellStyle name="Normal 7 22 3" xfId="9271"/>
    <cellStyle name="Normal 7 23" xfId="2933"/>
    <cellStyle name="Normal 7 23 2" xfId="5989"/>
    <cellStyle name="Normal 7 23 2 2" xfId="10374"/>
    <cellStyle name="Normal 7 23 3" xfId="9272"/>
    <cellStyle name="Normal 7 24" xfId="2934"/>
    <cellStyle name="Normal 7 24 2" xfId="5990"/>
    <cellStyle name="Normal 7 24 2 2" xfId="10375"/>
    <cellStyle name="Normal 7 24 3" xfId="9273"/>
    <cellStyle name="Normal 7 25" xfId="2935"/>
    <cellStyle name="Normal 7 25 2" xfId="5991"/>
    <cellStyle name="Normal 7 25 2 2" xfId="10376"/>
    <cellStyle name="Normal 7 25 3" xfId="9274"/>
    <cellStyle name="Normal 7 26" xfId="2936"/>
    <cellStyle name="Normal 7 26 2" xfId="5992"/>
    <cellStyle name="Normal 7 26 2 2" xfId="10377"/>
    <cellStyle name="Normal 7 26 3" xfId="9275"/>
    <cellStyle name="Normal 7 27" xfId="2937"/>
    <cellStyle name="Normal 7 27 2" xfId="5993"/>
    <cellStyle name="Normal 7 27 2 2" xfId="10378"/>
    <cellStyle name="Normal 7 27 3" xfId="9276"/>
    <cellStyle name="Normal 7 28" xfId="2938"/>
    <cellStyle name="Normal 7 28 2" xfId="5994"/>
    <cellStyle name="Normal 7 28 2 2" xfId="10379"/>
    <cellStyle name="Normal 7 28 3" xfId="9277"/>
    <cellStyle name="Normal 7 29" xfId="2939"/>
    <cellStyle name="Normal 7 29 2" xfId="5995"/>
    <cellStyle name="Normal 7 29 2 2" xfId="10380"/>
    <cellStyle name="Normal 7 29 3" xfId="9278"/>
    <cellStyle name="Normal 7 3" xfId="2940"/>
    <cellStyle name="Normal 7 3 2" xfId="5996"/>
    <cellStyle name="Normal 7 3 2 2" xfId="10381"/>
    <cellStyle name="Normal 7 3 3" xfId="9279"/>
    <cellStyle name="Normal 7 30" xfId="2941"/>
    <cellStyle name="Normal 7 30 2" xfId="5997"/>
    <cellStyle name="Normal 7 30 2 2" xfId="10382"/>
    <cellStyle name="Normal 7 30 3" xfId="9280"/>
    <cellStyle name="Normal 7 31" xfId="2942"/>
    <cellStyle name="Normal 7 31 2" xfId="5998"/>
    <cellStyle name="Normal 7 31 2 2" xfId="10383"/>
    <cellStyle name="Normal 7 31 3" xfId="9281"/>
    <cellStyle name="Normal 7 32" xfId="2943"/>
    <cellStyle name="Normal 7 32 2" xfId="5999"/>
    <cellStyle name="Normal 7 32 2 2" xfId="10384"/>
    <cellStyle name="Normal 7 32 3" xfId="9282"/>
    <cellStyle name="Normal 7 33" xfId="2944"/>
    <cellStyle name="Normal 7 33 2" xfId="6000"/>
    <cellStyle name="Normal 7 33 2 2" xfId="10385"/>
    <cellStyle name="Normal 7 33 3" xfId="9283"/>
    <cellStyle name="Normal 7 34" xfId="2945"/>
    <cellStyle name="Normal 7 34 2" xfId="6001"/>
    <cellStyle name="Normal 7 34 2 2" xfId="10386"/>
    <cellStyle name="Normal 7 34 3" xfId="9284"/>
    <cellStyle name="Normal 7 35" xfId="2946"/>
    <cellStyle name="Normal 7 35 2" xfId="6002"/>
    <cellStyle name="Normal 7 35 2 2" xfId="10387"/>
    <cellStyle name="Normal 7 35 3" xfId="9285"/>
    <cellStyle name="Normal 7 36" xfId="2947"/>
    <cellStyle name="Normal 7 36 2" xfId="6003"/>
    <cellStyle name="Normal 7 36 2 2" xfId="10388"/>
    <cellStyle name="Normal 7 36 3" xfId="9286"/>
    <cellStyle name="Normal 7 37" xfId="2948"/>
    <cellStyle name="Normal 7 37 2" xfId="6004"/>
    <cellStyle name="Normal 7 37 2 2" xfId="10389"/>
    <cellStyle name="Normal 7 37 3" xfId="9287"/>
    <cellStyle name="Normal 7 38" xfId="2949"/>
    <cellStyle name="Normal 7 38 2" xfId="6005"/>
    <cellStyle name="Normal 7 38 2 2" xfId="10390"/>
    <cellStyle name="Normal 7 38 3" xfId="9288"/>
    <cellStyle name="Normal 7 39" xfId="2950"/>
    <cellStyle name="Normal 7 39 2" xfId="6006"/>
    <cellStyle name="Normal 7 39 2 2" xfId="10391"/>
    <cellStyle name="Normal 7 39 3" xfId="9289"/>
    <cellStyle name="Normal 7 4" xfId="2951"/>
    <cellStyle name="Normal 7 4 2" xfId="6007"/>
    <cellStyle name="Normal 7 4 2 2" xfId="10392"/>
    <cellStyle name="Normal 7 4 3" xfId="9290"/>
    <cellStyle name="Normal 7 40" xfId="2952"/>
    <cellStyle name="Normal 7 40 2" xfId="6008"/>
    <cellStyle name="Normal 7 40 2 2" xfId="10393"/>
    <cellStyle name="Normal 7 40 3" xfId="9291"/>
    <cellStyle name="Normal 7 41" xfId="2953"/>
    <cellStyle name="Normal 7 41 2" xfId="6009"/>
    <cellStyle name="Normal 7 41 2 2" xfId="10394"/>
    <cellStyle name="Normal 7 41 3" xfId="9292"/>
    <cellStyle name="Normal 7 42" xfId="2954"/>
    <cellStyle name="Normal 7 42 2" xfId="6010"/>
    <cellStyle name="Normal 7 42 2 2" xfId="10395"/>
    <cellStyle name="Normal 7 42 3" xfId="9293"/>
    <cellStyle name="Normal 7 43" xfId="2955"/>
    <cellStyle name="Normal 7 43 2" xfId="6011"/>
    <cellStyle name="Normal 7 43 2 2" xfId="10396"/>
    <cellStyle name="Normal 7 43 3" xfId="9294"/>
    <cellStyle name="Normal 7 44" xfId="2956"/>
    <cellStyle name="Normal 7 44 2" xfId="6012"/>
    <cellStyle name="Normal 7 44 2 2" xfId="10397"/>
    <cellStyle name="Normal 7 44 3" xfId="9295"/>
    <cellStyle name="Normal 7 45" xfId="2957"/>
    <cellStyle name="Normal 7 45 2" xfId="6013"/>
    <cellStyle name="Normal 7 45 2 2" xfId="10398"/>
    <cellStyle name="Normal 7 45 3" xfId="9296"/>
    <cellStyle name="Normal 7 46" xfId="2958"/>
    <cellStyle name="Normal 7 46 2" xfId="6014"/>
    <cellStyle name="Normal 7 46 2 2" xfId="10399"/>
    <cellStyle name="Normal 7 46 3" xfId="9297"/>
    <cellStyle name="Normal 7 47" xfId="2959"/>
    <cellStyle name="Normal 7 47 2" xfId="6015"/>
    <cellStyle name="Normal 7 47 2 2" xfId="7692"/>
    <cellStyle name="Normal 7 47 3" xfId="7550"/>
    <cellStyle name="Normal 7 48" xfId="2960"/>
    <cellStyle name="Normal 7 49" xfId="6016"/>
    <cellStyle name="Normal 7 5" xfId="2961"/>
    <cellStyle name="Normal 7 5 2" xfId="6017"/>
    <cellStyle name="Normal 7 5 2 2" xfId="10400"/>
    <cellStyle name="Normal 7 5 3" xfId="9298"/>
    <cellStyle name="Normal 7 6" xfId="2962"/>
    <cellStyle name="Normal 7 6 2" xfId="6018"/>
    <cellStyle name="Normal 7 6 2 2" xfId="10401"/>
    <cellStyle name="Normal 7 6 3" xfId="9299"/>
    <cellStyle name="Normal 7 7" xfId="2963"/>
    <cellStyle name="Normal 7 7 2" xfId="6019"/>
    <cellStyle name="Normal 7 7 2 2" xfId="10402"/>
    <cellStyle name="Normal 7 7 3" xfId="9300"/>
    <cellStyle name="Normal 7 8" xfId="2964"/>
    <cellStyle name="Normal 7 8 2" xfId="6020"/>
    <cellStyle name="Normal 7 8 2 2" xfId="10403"/>
    <cellStyle name="Normal 7 8 3" xfId="9301"/>
    <cellStyle name="Normal 7 9" xfId="2965"/>
    <cellStyle name="Normal 7 9 2" xfId="6021"/>
    <cellStyle name="Normal 7 9 2 2" xfId="10404"/>
    <cellStyle name="Normal 7 9 3" xfId="9302"/>
    <cellStyle name="Normal 70" xfId="10836"/>
    <cellStyle name="Normal 71" xfId="10898"/>
    <cellStyle name="Normal 72" xfId="10900"/>
    <cellStyle name="Normal 73" xfId="10775"/>
    <cellStyle name="Normal 74" xfId="10850"/>
    <cellStyle name="Normal 75" xfId="10773"/>
    <cellStyle name="Normal 76" xfId="7330"/>
    <cellStyle name="Normal 77" xfId="10956"/>
    <cellStyle name="Normal 78" xfId="11276"/>
    <cellStyle name="Normal 79" xfId="11282"/>
    <cellStyle name="Normal 8" xfId="2966"/>
    <cellStyle name="Normal 8 10" xfId="2967"/>
    <cellStyle name="Normal 8 10 2" xfId="6022"/>
    <cellStyle name="Normal 8 10 2 2" xfId="10405"/>
    <cellStyle name="Normal 8 10 3" xfId="9303"/>
    <cellStyle name="Normal 8 11" xfId="2968"/>
    <cellStyle name="Normal 8 11 2" xfId="6023"/>
    <cellStyle name="Normal 8 11 2 2" xfId="10406"/>
    <cellStyle name="Normal 8 11 3" xfId="9304"/>
    <cellStyle name="Normal 8 12" xfId="2969"/>
    <cellStyle name="Normal 8 12 2" xfId="6024"/>
    <cellStyle name="Normal 8 12 2 2" xfId="10407"/>
    <cellStyle name="Normal 8 12 3" xfId="9305"/>
    <cellStyle name="Normal 8 13" xfId="2970"/>
    <cellStyle name="Normal 8 13 2" xfId="6025"/>
    <cellStyle name="Normal 8 13 2 2" xfId="10408"/>
    <cellStyle name="Normal 8 13 3" xfId="9306"/>
    <cellStyle name="Normal 8 14" xfId="2971"/>
    <cellStyle name="Normal 8 14 2" xfId="6026"/>
    <cellStyle name="Normal 8 14 2 2" xfId="10409"/>
    <cellStyle name="Normal 8 14 3" xfId="9307"/>
    <cellStyle name="Normal 8 15" xfId="2972"/>
    <cellStyle name="Normal 8 15 2" xfId="6027"/>
    <cellStyle name="Normal 8 15 2 2" xfId="10410"/>
    <cellStyle name="Normal 8 15 3" xfId="9308"/>
    <cellStyle name="Normal 8 16" xfId="2973"/>
    <cellStyle name="Normal 8 16 2" xfId="6028"/>
    <cellStyle name="Normal 8 16 2 2" xfId="10411"/>
    <cellStyle name="Normal 8 16 3" xfId="9309"/>
    <cellStyle name="Normal 8 17" xfId="2974"/>
    <cellStyle name="Normal 8 17 2" xfId="6029"/>
    <cellStyle name="Normal 8 17 2 2" xfId="10412"/>
    <cellStyle name="Normal 8 17 3" xfId="9310"/>
    <cellStyle name="Normal 8 18" xfId="2975"/>
    <cellStyle name="Normal 8 18 2" xfId="6030"/>
    <cellStyle name="Normal 8 18 2 2" xfId="10413"/>
    <cellStyle name="Normal 8 18 3" xfId="9311"/>
    <cellStyle name="Normal 8 19" xfId="2976"/>
    <cellStyle name="Normal 8 19 2" xfId="6031"/>
    <cellStyle name="Normal 8 19 2 2" xfId="10414"/>
    <cellStyle name="Normal 8 19 3" xfId="9312"/>
    <cellStyle name="Normal 8 2" xfId="2977"/>
    <cellStyle name="Normal 8 2 2" xfId="6032"/>
    <cellStyle name="Normal 8 2 3" xfId="6033"/>
    <cellStyle name="Normal 8 2 3 2" xfId="7693"/>
    <cellStyle name="Normal 8 20" xfId="2978"/>
    <cellStyle name="Normal 8 20 2" xfId="6034"/>
    <cellStyle name="Normal 8 20 2 2" xfId="10415"/>
    <cellStyle name="Normal 8 20 3" xfId="9313"/>
    <cellStyle name="Normal 8 21" xfId="2979"/>
    <cellStyle name="Normal 8 21 2" xfId="6035"/>
    <cellStyle name="Normal 8 21 2 2" xfId="10416"/>
    <cellStyle name="Normal 8 21 3" xfId="9314"/>
    <cellStyle name="Normal 8 22" xfId="2980"/>
    <cellStyle name="Normal 8 22 2" xfId="6036"/>
    <cellStyle name="Normal 8 22 2 2" xfId="10417"/>
    <cellStyle name="Normal 8 22 3" xfId="9315"/>
    <cellStyle name="Normal 8 23" xfId="2981"/>
    <cellStyle name="Normal 8 24" xfId="6037"/>
    <cellStyle name="Normal 8 24 2" xfId="10418"/>
    <cellStyle name="Normal 8 3" xfId="2982"/>
    <cellStyle name="Normal 8 3 2" xfId="6038"/>
    <cellStyle name="Normal 8 3 2 2" xfId="10419"/>
    <cellStyle name="Normal 8 3 3" xfId="9316"/>
    <cellStyle name="Normal 8 4" xfId="2983"/>
    <cellStyle name="Normal 8 4 2" xfId="6039"/>
    <cellStyle name="Normal 8 4 2 2" xfId="10420"/>
    <cellStyle name="Normal 8 4 3" xfId="9317"/>
    <cellStyle name="Normal 8 5" xfId="2984"/>
    <cellStyle name="Normal 8 5 2" xfId="6040"/>
    <cellStyle name="Normal 8 5 2 2" xfId="10421"/>
    <cellStyle name="Normal 8 5 3" xfId="9318"/>
    <cellStyle name="Normal 8 6" xfId="2985"/>
    <cellStyle name="Normal 8 6 2" xfId="6041"/>
    <cellStyle name="Normal 8 6 2 2" xfId="10422"/>
    <cellStyle name="Normal 8 6 3" xfId="9319"/>
    <cellStyle name="Normal 8 7" xfId="2986"/>
    <cellStyle name="Normal 8 7 2" xfId="6042"/>
    <cellStyle name="Normal 8 7 2 2" xfId="10423"/>
    <cellStyle name="Normal 8 7 3" xfId="9320"/>
    <cellStyle name="Normal 8 8" xfId="2987"/>
    <cellStyle name="Normal 8 8 2" xfId="6043"/>
    <cellStyle name="Normal 8 8 2 2" xfId="10424"/>
    <cellStyle name="Normal 8 8 3" xfId="9321"/>
    <cellStyle name="Normal 8 9" xfId="2988"/>
    <cellStyle name="Normal 8 9 2" xfId="6044"/>
    <cellStyle name="Normal 8 9 2 2" xfId="10425"/>
    <cellStyle name="Normal 8 9 3" xfId="9322"/>
    <cellStyle name="Normal 80" xfId="11277"/>
    <cellStyle name="Normal 81" xfId="10954"/>
    <cellStyle name="Normal 82" xfId="11479"/>
    <cellStyle name="Normal 9" xfId="2989"/>
    <cellStyle name="Normal 9 10" xfId="2990"/>
    <cellStyle name="Normal 9 10 2" xfId="6045"/>
    <cellStyle name="Normal 9 10 2 2" xfId="10426"/>
    <cellStyle name="Normal 9 10 3" xfId="9323"/>
    <cellStyle name="Normal 9 11" xfId="2991"/>
    <cellStyle name="Normal 9 11 2" xfId="6046"/>
    <cellStyle name="Normal 9 11 2 2" xfId="10427"/>
    <cellStyle name="Normal 9 11 3" xfId="9324"/>
    <cellStyle name="Normal 9 12" xfId="2992"/>
    <cellStyle name="Normal 9 12 2" xfId="6047"/>
    <cellStyle name="Normal 9 12 2 2" xfId="10428"/>
    <cellStyle name="Normal 9 12 3" xfId="9325"/>
    <cellStyle name="Normal 9 13" xfId="2993"/>
    <cellStyle name="Normal 9 13 2" xfId="6048"/>
    <cellStyle name="Normal 9 13 2 2" xfId="10429"/>
    <cellStyle name="Normal 9 13 3" xfId="9326"/>
    <cellStyle name="Normal 9 14" xfId="2994"/>
    <cellStyle name="Normal 9 14 2" xfId="6049"/>
    <cellStyle name="Normal 9 14 2 2" xfId="10430"/>
    <cellStyle name="Normal 9 14 3" xfId="9327"/>
    <cellStyle name="Normal 9 15" xfId="2995"/>
    <cellStyle name="Normal 9 15 2" xfId="6050"/>
    <cellStyle name="Normal 9 15 2 2" xfId="10431"/>
    <cellStyle name="Normal 9 15 3" xfId="9328"/>
    <cellStyle name="Normal 9 16" xfId="2996"/>
    <cellStyle name="Normal 9 16 2" xfId="6051"/>
    <cellStyle name="Normal 9 16 2 2" xfId="10432"/>
    <cellStyle name="Normal 9 16 3" xfId="9329"/>
    <cellStyle name="Normal 9 17" xfId="2997"/>
    <cellStyle name="Normal 9 17 2" xfId="6052"/>
    <cellStyle name="Normal 9 17 2 2" xfId="10433"/>
    <cellStyle name="Normal 9 17 3" xfId="9330"/>
    <cellStyle name="Normal 9 18" xfId="2998"/>
    <cellStyle name="Normal 9 18 2" xfId="6053"/>
    <cellStyle name="Normal 9 18 2 2" xfId="10434"/>
    <cellStyle name="Normal 9 18 3" xfId="9331"/>
    <cellStyle name="Normal 9 19" xfId="2999"/>
    <cellStyle name="Normal 9 19 2" xfId="6054"/>
    <cellStyle name="Normal 9 19 2 2" xfId="10435"/>
    <cellStyle name="Normal 9 19 3" xfId="9332"/>
    <cellStyle name="Normal 9 2" xfId="3000"/>
    <cellStyle name="Normal 9 2 2" xfId="6055"/>
    <cellStyle name="Normal 9 2 2 2" xfId="10436"/>
    <cellStyle name="Normal 9 2 3" xfId="9333"/>
    <cellStyle name="Normal 9 20" xfId="3001"/>
    <cellStyle name="Normal 9 20 2" xfId="6056"/>
    <cellStyle name="Normal 9 20 2 2" xfId="10437"/>
    <cellStyle name="Normal 9 20 3" xfId="9334"/>
    <cellStyle name="Normal 9 21" xfId="3002"/>
    <cellStyle name="Normal 9 21 2" xfId="6057"/>
    <cellStyle name="Normal 9 21 2 2" xfId="10438"/>
    <cellStyle name="Normal 9 21 3" xfId="9335"/>
    <cellStyle name="Normal 9 22" xfId="6058"/>
    <cellStyle name="Normal 9 3" xfId="3003"/>
    <cellStyle name="Normal 9 3 2" xfId="6059"/>
    <cellStyle name="Normal 9 3 2 2" xfId="10439"/>
    <cellStyle name="Normal 9 3 3" xfId="9336"/>
    <cellStyle name="Normal 9 4" xfId="3004"/>
    <cellStyle name="Normal 9 4 2" xfId="6060"/>
    <cellStyle name="Normal 9 4 2 2" xfId="10440"/>
    <cellStyle name="Normal 9 4 3" xfId="9337"/>
    <cellStyle name="Normal 9 5" xfId="3005"/>
    <cellStyle name="Normal 9 5 2" xfId="6061"/>
    <cellStyle name="Normal 9 5 2 2" xfId="10441"/>
    <cellStyle name="Normal 9 5 3" xfId="9338"/>
    <cellStyle name="Normal 9 6" xfId="3006"/>
    <cellStyle name="Normal 9 6 2" xfId="6062"/>
    <cellStyle name="Normal 9 6 2 2" xfId="10442"/>
    <cellStyle name="Normal 9 6 3" xfId="9339"/>
    <cellStyle name="Normal 9 7" xfId="3007"/>
    <cellStyle name="Normal 9 7 2" xfId="6063"/>
    <cellStyle name="Normal 9 7 2 2" xfId="10443"/>
    <cellStyle name="Normal 9 7 3" xfId="9340"/>
    <cellStyle name="Normal 9 8" xfId="3008"/>
    <cellStyle name="Normal 9 8 2" xfId="6064"/>
    <cellStyle name="Normal 9 8 2 2" xfId="10444"/>
    <cellStyle name="Normal 9 8 3" xfId="9341"/>
    <cellStyle name="Normal 9 9" xfId="3009"/>
    <cellStyle name="Normal 9 9 2" xfId="6065"/>
    <cellStyle name="Normal 9 9 2 2" xfId="10445"/>
    <cellStyle name="Normal 9 9 3" xfId="9342"/>
    <cellStyle name="Normal_WP Com Agt 2007 2 2" xfId="6"/>
    <cellStyle name="NormalCurrency" xfId="3010"/>
    <cellStyle name="NormalCurrency 10" xfId="3011"/>
    <cellStyle name="NormalCurrency 10 2" xfId="9344"/>
    <cellStyle name="NormalCurrency 11" xfId="3012"/>
    <cellStyle name="NormalCurrency 11 2" xfId="9345"/>
    <cellStyle name="NormalCurrency 12" xfId="3013"/>
    <cellStyle name="NormalCurrency 12 2" xfId="9346"/>
    <cellStyle name="NormalCurrency 13" xfId="3014"/>
    <cellStyle name="NormalCurrency 13 2" xfId="9347"/>
    <cellStyle name="NormalCurrency 14" xfId="3015"/>
    <cellStyle name="NormalCurrency 14 2" xfId="9348"/>
    <cellStyle name="NormalCurrency 15" xfId="3016"/>
    <cellStyle name="NormalCurrency 15 2" xfId="9349"/>
    <cellStyle name="NormalCurrency 16" xfId="3017"/>
    <cellStyle name="NormalCurrency 16 2" xfId="9350"/>
    <cellStyle name="NormalCurrency 17" xfId="3018"/>
    <cellStyle name="NormalCurrency 17 2" xfId="9351"/>
    <cellStyle name="NormalCurrency 18" xfId="3019"/>
    <cellStyle name="NormalCurrency 18 2" xfId="9352"/>
    <cellStyle name="NormalCurrency 19" xfId="3020"/>
    <cellStyle name="NormalCurrency 19 2" xfId="9353"/>
    <cellStyle name="NormalCurrency 2" xfId="3021"/>
    <cellStyle name="NormalCurrency 2 2" xfId="9354"/>
    <cellStyle name="NormalCurrency 20" xfId="3022"/>
    <cellStyle name="NormalCurrency 20 2" xfId="9355"/>
    <cellStyle name="NormalCurrency 21" xfId="3023"/>
    <cellStyle name="NormalCurrency 21 2" xfId="9356"/>
    <cellStyle name="NormalCurrency 22" xfId="3024"/>
    <cellStyle name="NormalCurrency 22 2" xfId="9357"/>
    <cellStyle name="NormalCurrency 23" xfId="3025"/>
    <cellStyle name="NormalCurrency 23 2" xfId="9358"/>
    <cellStyle name="NormalCurrency 24" xfId="3026"/>
    <cellStyle name="NormalCurrency 24 2" xfId="9359"/>
    <cellStyle name="NormalCurrency 25" xfId="3027"/>
    <cellStyle name="NormalCurrency 25 2" xfId="9360"/>
    <cellStyle name="NormalCurrency 26" xfId="3028"/>
    <cellStyle name="NormalCurrency 26 2" xfId="9361"/>
    <cellStyle name="NormalCurrency 27" xfId="9343"/>
    <cellStyle name="NormalCurrency 3" xfId="3029"/>
    <cellStyle name="NormalCurrency 3 2" xfId="9362"/>
    <cellStyle name="NormalCurrency 4" xfId="3030"/>
    <cellStyle name="NormalCurrency 4 2" xfId="9363"/>
    <cellStyle name="NormalCurrency 5" xfId="3031"/>
    <cellStyle name="NormalCurrency 5 2" xfId="9364"/>
    <cellStyle name="NormalCurrency 6" xfId="3032"/>
    <cellStyle name="NormalCurrency 6 2" xfId="9365"/>
    <cellStyle name="NormalCurrency 7" xfId="3033"/>
    <cellStyle name="NormalCurrency 7 2" xfId="9366"/>
    <cellStyle name="NormalCurrency 8" xfId="3034"/>
    <cellStyle name="NormalCurrency 8 2" xfId="9367"/>
    <cellStyle name="NormalCurrency 9" xfId="3035"/>
    <cellStyle name="NormalCurrency 9 2" xfId="9368"/>
    <cellStyle name="Note 10" xfId="3036"/>
    <cellStyle name="Note 10 10" xfId="3037"/>
    <cellStyle name="Note 10 10 2" xfId="6066"/>
    <cellStyle name="Note 10 11" xfId="3038"/>
    <cellStyle name="Note 10 11 2" xfId="6067"/>
    <cellStyle name="Note 10 12" xfId="3039"/>
    <cellStyle name="Note 10 12 2" xfId="6068"/>
    <cellStyle name="Note 10 13" xfId="3040"/>
    <cellStyle name="Note 10 13 2" xfId="6069"/>
    <cellStyle name="Note 10 14" xfId="3041"/>
    <cellStyle name="Note 10 14 2" xfId="6070"/>
    <cellStyle name="Note 10 15" xfId="3042"/>
    <cellStyle name="Note 10 15 2" xfId="6071"/>
    <cellStyle name="Note 10 16" xfId="3043"/>
    <cellStyle name="Note 10 16 2" xfId="6072"/>
    <cellStyle name="Note 10 17" xfId="3044"/>
    <cellStyle name="Note 10 17 2" xfId="6073"/>
    <cellStyle name="Note 10 18" xfId="3045"/>
    <cellStyle name="Note 10 18 2" xfId="6074"/>
    <cellStyle name="Note 10 19" xfId="3046"/>
    <cellStyle name="Note 10 19 2" xfId="6075"/>
    <cellStyle name="Note 10 2" xfId="3047"/>
    <cellStyle name="Note 10 2 2" xfId="6076"/>
    <cellStyle name="Note 10 20" xfId="3048"/>
    <cellStyle name="Note 10 20 2" xfId="6077"/>
    <cellStyle name="Note 10 21" xfId="3049"/>
    <cellStyle name="Note 10 21 2" xfId="6078"/>
    <cellStyle name="Note 10 22" xfId="6079"/>
    <cellStyle name="Note 10 22 2" xfId="10855"/>
    <cellStyle name="Note 10 22 3" xfId="10446"/>
    <cellStyle name="Note 10 23" xfId="10839"/>
    <cellStyle name="Note 10 24" xfId="9369"/>
    <cellStyle name="Note 10 3" xfId="3050"/>
    <cellStyle name="Note 10 3 2" xfId="6080"/>
    <cellStyle name="Note 10 4" xfId="3051"/>
    <cellStyle name="Note 10 4 2" xfId="6081"/>
    <cellStyle name="Note 10 5" xfId="3052"/>
    <cellStyle name="Note 10 5 2" xfId="6082"/>
    <cellStyle name="Note 10 6" xfId="3053"/>
    <cellStyle name="Note 10 6 2" xfId="6083"/>
    <cellStyle name="Note 10 7" xfId="3054"/>
    <cellStyle name="Note 10 7 2" xfId="6084"/>
    <cellStyle name="Note 10 8" xfId="3055"/>
    <cellStyle name="Note 10 8 2" xfId="6085"/>
    <cellStyle name="Note 10 9" xfId="3056"/>
    <cellStyle name="Note 10 9 2" xfId="6086"/>
    <cellStyle name="Note 100" xfId="3057"/>
    <cellStyle name="Note 100 2" xfId="6087"/>
    <cellStyle name="Note 101" xfId="3058"/>
    <cellStyle name="Note 101 2" xfId="6088"/>
    <cellStyle name="Note 102" xfId="3059"/>
    <cellStyle name="Note 102 2" xfId="6089"/>
    <cellStyle name="Note 103" xfId="3060"/>
    <cellStyle name="Note 103 2" xfId="6090"/>
    <cellStyle name="Note 104" xfId="3061"/>
    <cellStyle name="Note 104 2" xfId="6091"/>
    <cellStyle name="Note 105" xfId="3062"/>
    <cellStyle name="Note 105 2" xfId="6092"/>
    <cellStyle name="Note 106" xfId="3063"/>
    <cellStyle name="Note 106 2" xfId="6093"/>
    <cellStyle name="Note 107" xfId="3064"/>
    <cellStyle name="Note 107 2" xfId="6094"/>
    <cellStyle name="Note 108" xfId="3065"/>
    <cellStyle name="Note 108 2" xfId="6095"/>
    <cellStyle name="Note 109" xfId="3066"/>
    <cellStyle name="Note 109 2" xfId="6096"/>
    <cellStyle name="Note 11" xfId="3067"/>
    <cellStyle name="Note 11 10" xfId="3068"/>
    <cellStyle name="Note 11 10 2" xfId="6097"/>
    <cellStyle name="Note 11 11" xfId="3069"/>
    <cellStyle name="Note 11 11 2" xfId="6098"/>
    <cellStyle name="Note 11 12" xfId="3070"/>
    <cellStyle name="Note 11 12 2" xfId="6099"/>
    <cellStyle name="Note 11 13" xfId="3071"/>
    <cellStyle name="Note 11 13 2" xfId="6100"/>
    <cellStyle name="Note 11 14" xfId="3072"/>
    <cellStyle name="Note 11 14 2" xfId="6101"/>
    <cellStyle name="Note 11 15" xfId="3073"/>
    <cellStyle name="Note 11 15 2" xfId="6102"/>
    <cellStyle name="Note 11 16" xfId="3074"/>
    <cellStyle name="Note 11 16 2" xfId="6103"/>
    <cellStyle name="Note 11 17" xfId="3075"/>
    <cellStyle name="Note 11 17 2" xfId="6104"/>
    <cellStyle name="Note 11 18" xfId="3076"/>
    <cellStyle name="Note 11 18 2" xfId="6105"/>
    <cellStyle name="Note 11 19" xfId="3077"/>
    <cellStyle name="Note 11 19 2" xfId="6106"/>
    <cellStyle name="Note 11 2" xfId="3078"/>
    <cellStyle name="Note 11 2 2" xfId="6107"/>
    <cellStyle name="Note 11 20" xfId="3079"/>
    <cellStyle name="Note 11 20 2" xfId="6108"/>
    <cellStyle name="Note 11 21" xfId="3080"/>
    <cellStyle name="Note 11 21 2" xfId="6109"/>
    <cellStyle name="Note 11 22" xfId="6110"/>
    <cellStyle name="Note 11 22 2" xfId="10881"/>
    <cellStyle name="Note 11 22 3" xfId="10447"/>
    <cellStyle name="Note 11 23" xfId="10776"/>
    <cellStyle name="Note 11 24" xfId="9370"/>
    <cellStyle name="Note 11 3" xfId="3081"/>
    <cellStyle name="Note 11 3 2" xfId="6111"/>
    <cellStyle name="Note 11 4" xfId="3082"/>
    <cellStyle name="Note 11 4 2" xfId="6112"/>
    <cellStyle name="Note 11 5" xfId="3083"/>
    <cellStyle name="Note 11 5 2" xfId="6113"/>
    <cellStyle name="Note 11 6" xfId="3084"/>
    <cellStyle name="Note 11 6 2" xfId="6114"/>
    <cellStyle name="Note 11 7" xfId="3085"/>
    <cellStyle name="Note 11 7 2" xfId="6115"/>
    <cellStyle name="Note 11 8" xfId="3086"/>
    <cellStyle name="Note 11 8 2" xfId="6116"/>
    <cellStyle name="Note 11 9" xfId="3087"/>
    <cellStyle name="Note 11 9 2" xfId="6117"/>
    <cellStyle name="Note 110" xfId="3088"/>
    <cellStyle name="Note 110 2" xfId="6118"/>
    <cellStyle name="Note 111" xfId="3089"/>
    <cellStyle name="Note 111 2" xfId="6119"/>
    <cellStyle name="Note 112" xfId="3090"/>
    <cellStyle name="Note 112 2" xfId="6120"/>
    <cellStyle name="Note 113" xfId="3091"/>
    <cellStyle name="Note 113 2" xfId="6121"/>
    <cellStyle name="Note 114" xfId="3092"/>
    <cellStyle name="Note 114 2" xfId="6122"/>
    <cellStyle name="Note 115" xfId="3093"/>
    <cellStyle name="Note 115 2" xfId="6123"/>
    <cellStyle name="Note 116" xfId="3094"/>
    <cellStyle name="Note 116 2" xfId="6124"/>
    <cellStyle name="Note 117" xfId="3095"/>
    <cellStyle name="Note 117 2" xfId="6125"/>
    <cellStyle name="Note 118" xfId="3096"/>
    <cellStyle name="Note 118 2" xfId="6126"/>
    <cellStyle name="Note 119" xfId="3097"/>
    <cellStyle name="Note 119 2" xfId="6127"/>
    <cellStyle name="Note 12" xfId="3098"/>
    <cellStyle name="Note 12 10" xfId="3099"/>
    <cellStyle name="Note 12 10 2" xfId="6128"/>
    <cellStyle name="Note 12 11" xfId="3100"/>
    <cellStyle name="Note 12 11 2" xfId="6129"/>
    <cellStyle name="Note 12 12" xfId="3101"/>
    <cellStyle name="Note 12 12 2" xfId="6130"/>
    <cellStyle name="Note 12 13" xfId="3102"/>
    <cellStyle name="Note 12 13 2" xfId="6131"/>
    <cellStyle name="Note 12 14" xfId="3103"/>
    <cellStyle name="Note 12 14 2" xfId="6132"/>
    <cellStyle name="Note 12 15" xfId="3104"/>
    <cellStyle name="Note 12 15 2" xfId="6133"/>
    <cellStyle name="Note 12 16" xfId="3105"/>
    <cellStyle name="Note 12 16 2" xfId="6134"/>
    <cellStyle name="Note 12 17" xfId="3106"/>
    <cellStyle name="Note 12 17 2" xfId="6135"/>
    <cellStyle name="Note 12 18" xfId="3107"/>
    <cellStyle name="Note 12 18 2" xfId="6136"/>
    <cellStyle name="Note 12 19" xfId="3108"/>
    <cellStyle name="Note 12 19 2" xfId="6137"/>
    <cellStyle name="Note 12 2" xfId="3109"/>
    <cellStyle name="Note 12 2 2" xfId="6138"/>
    <cellStyle name="Note 12 20" xfId="3110"/>
    <cellStyle name="Note 12 20 2" xfId="6139"/>
    <cellStyle name="Note 12 21" xfId="3111"/>
    <cellStyle name="Note 12 21 2" xfId="6140"/>
    <cellStyle name="Note 12 22" xfId="6141"/>
    <cellStyle name="Note 12 22 2" xfId="10902"/>
    <cellStyle name="Note 12 22 3" xfId="10448"/>
    <cellStyle name="Note 12 23" xfId="10888"/>
    <cellStyle name="Note 12 24" xfId="9371"/>
    <cellStyle name="Note 12 3" xfId="3112"/>
    <cellStyle name="Note 12 3 2" xfId="6142"/>
    <cellStyle name="Note 12 4" xfId="3113"/>
    <cellStyle name="Note 12 4 2" xfId="6143"/>
    <cellStyle name="Note 12 5" xfId="3114"/>
    <cellStyle name="Note 12 5 2" xfId="6144"/>
    <cellStyle name="Note 12 6" xfId="3115"/>
    <cellStyle name="Note 12 6 2" xfId="6145"/>
    <cellStyle name="Note 12 7" xfId="3116"/>
    <cellStyle name="Note 12 7 2" xfId="6146"/>
    <cellStyle name="Note 12 8" xfId="3117"/>
    <cellStyle name="Note 12 8 2" xfId="6147"/>
    <cellStyle name="Note 12 9" xfId="3118"/>
    <cellStyle name="Note 12 9 2" xfId="6148"/>
    <cellStyle name="Note 120" xfId="3119"/>
    <cellStyle name="Note 120 2" xfId="6149"/>
    <cellStyle name="Note 121" xfId="3120"/>
    <cellStyle name="Note 121 2" xfId="6150"/>
    <cellStyle name="Note 122" xfId="3121"/>
    <cellStyle name="Note 122 2" xfId="6151"/>
    <cellStyle name="Note 123" xfId="3122"/>
    <cellStyle name="Note 123 2" xfId="6152"/>
    <cellStyle name="Note 124" xfId="3123"/>
    <cellStyle name="Note 124 2" xfId="6153"/>
    <cellStyle name="Note 125" xfId="3124"/>
    <cellStyle name="Note 125 2" xfId="6154"/>
    <cellStyle name="Note 126" xfId="3125"/>
    <cellStyle name="Note 126 2" xfId="6155"/>
    <cellStyle name="Note 127" xfId="3126"/>
    <cellStyle name="Note 127 2" xfId="6156"/>
    <cellStyle name="Note 128" xfId="3127"/>
    <cellStyle name="Note 128 2" xfId="6157"/>
    <cellStyle name="Note 129" xfId="3128"/>
    <cellStyle name="Note 129 2" xfId="6158"/>
    <cellStyle name="Note 13" xfId="3129"/>
    <cellStyle name="Note 13 10" xfId="3130"/>
    <cellStyle name="Note 13 10 2" xfId="6159"/>
    <cellStyle name="Note 13 11" xfId="3131"/>
    <cellStyle name="Note 13 11 2" xfId="6160"/>
    <cellStyle name="Note 13 12" xfId="3132"/>
    <cellStyle name="Note 13 12 2" xfId="6161"/>
    <cellStyle name="Note 13 13" xfId="3133"/>
    <cellStyle name="Note 13 13 2" xfId="6162"/>
    <cellStyle name="Note 13 14" xfId="3134"/>
    <cellStyle name="Note 13 14 2" xfId="6163"/>
    <cellStyle name="Note 13 15" xfId="3135"/>
    <cellStyle name="Note 13 15 2" xfId="6164"/>
    <cellStyle name="Note 13 16" xfId="3136"/>
    <cellStyle name="Note 13 16 2" xfId="6165"/>
    <cellStyle name="Note 13 17" xfId="3137"/>
    <cellStyle name="Note 13 17 2" xfId="6166"/>
    <cellStyle name="Note 13 18" xfId="3138"/>
    <cellStyle name="Note 13 18 2" xfId="6167"/>
    <cellStyle name="Note 13 19" xfId="3139"/>
    <cellStyle name="Note 13 19 2" xfId="6168"/>
    <cellStyle name="Note 13 2" xfId="3140"/>
    <cellStyle name="Note 13 2 2" xfId="6169"/>
    <cellStyle name="Note 13 20" xfId="3141"/>
    <cellStyle name="Note 13 20 2" xfId="6170"/>
    <cellStyle name="Note 13 21" xfId="3142"/>
    <cellStyle name="Note 13 21 2" xfId="6171"/>
    <cellStyle name="Note 13 22" xfId="6172"/>
    <cellStyle name="Note 13 22 2" xfId="10882"/>
    <cellStyle name="Note 13 22 3" xfId="10449"/>
    <cellStyle name="Note 13 23" xfId="10889"/>
    <cellStyle name="Note 13 24" xfId="9372"/>
    <cellStyle name="Note 13 3" xfId="3143"/>
    <cellStyle name="Note 13 3 2" xfId="6173"/>
    <cellStyle name="Note 13 4" xfId="3144"/>
    <cellStyle name="Note 13 4 2" xfId="6174"/>
    <cellStyle name="Note 13 5" xfId="3145"/>
    <cellStyle name="Note 13 5 2" xfId="6175"/>
    <cellStyle name="Note 13 6" xfId="3146"/>
    <cellStyle name="Note 13 6 2" xfId="6176"/>
    <cellStyle name="Note 13 7" xfId="3147"/>
    <cellStyle name="Note 13 7 2" xfId="6177"/>
    <cellStyle name="Note 13 8" xfId="3148"/>
    <cellStyle name="Note 13 8 2" xfId="6178"/>
    <cellStyle name="Note 13 9" xfId="3149"/>
    <cellStyle name="Note 13 9 2" xfId="6179"/>
    <cellStyle name="Note 130" xfId="3150"/>
    <cellStyle name="Note 130 2" xfId="6180"/>
    <cellStyle name="Note 131" xfId="3151"/>
    <cellStyle name="Note 131 2" xfId="6181"/>
    <cellStyle name="Note 132" xfId="3152"/>
    <cellStyle name="Note 132 2" xfId="6182"/>
    <cellStyle name="Note 133" xfId="3153"/>
    <cellStyle name="Note 133 2" xfId="6183"/>
    <cellStyle name="Note 134" xfId="3154"/>
    <cellStyle name="Note 134 2" xfId="6184"/>
    <cellStyle name="Note 135" xfId="3155"/>
    <cellStyle name="Note 135 2" xfId="6185"/>
    <cellStyle name="Note 136" xfId="3156"/>
    <cellStyle name="Note 136 2" xfId="6186"/>
    <cellStyle name="Note 137" xfId="3157"/>
    <cellStyle name="Note 137 2" xfId="6187"/>
    <cellStyle name="Note 138" xfId="3158"/>
    <cellStyle name="Note 138 2" xfId="6188"/>
    <cellStyle name="Note 139" xfId="3159"/>
    <cellStyle name="Note 139 2" xfId="6189"/>
    <cellStyle name="Note 14" xfId="3160"/>
    <cellStyle name="Note 14 10" xfId="3161"/>
    <cellStyle name="Note 14 10 2" xfId="6190"/>
    <cellStyle name="Note 14 11" xfId="3162"/>
    <cellStyle name="Note 14 11 2" xfId="6191"/>
    <cellStyle name="Note 14 12" xfId="3163"/>
    <cellStyle name="Note 14 12 2" xfId="6192"/>
    <cellStyle name="Note 14 13" xfId="3164"/>
    <cellStyle name="Note 14 13 2" xfId="6193"/>
    <cellStyle name="Note 14 14" xfId="3165"/>
    <cellStyle name="Note 14 14 2" xfId="6194"/>
    <cellStyle name="Note 14 15" xfId="3166"/>
    <cellStyle name="Note 14 15 2" xfId="6195"/>
    <cellStyle name="Note 14 16" xfId="3167"/>
    <cellStyle name="Note 14 16 2" xfId="6196"/>
    <cellStyle name="Note 14 17" xfId="3168"/>
    <cellStyle name="Note 14 17 2" xfId="6197"/>
    <cellStyle name="Note 14 18" xfId="3169"/>
    <cellStyle name="Note 14 18 2" xfId="6198"/>
    <cellStyle name="Note 14 19" xfId="3170"/>
    <cellStyle name="Note 14 19 2" xfId="6199"/>
    <cellStyle name="Note 14 2" xfId="3171"/>
    <cellStyle name="Note 14 2 2" xfId="6200"/>
    <cellStyle name="Note 14 20" xfId="3172"/>
    <cellStyle name="Note 14 20 2" xfId="6201"/>
    <cellStyle name="Note 14 21" xfId="3173"/>
    <cellStyle name="Note 14 21 2" xfId="6202"/>
    <cellStyle name="Note 14 22" xfId="6203"/>
    <cellStyle name="Note 14 22 2" xfId="10856"/>
    <cellStyle name="Note 14 22 3" xfId="10450"/>
    <cellStyle name="Note 14 23" xfId="10890"/>
    <cellStyle name="Note 14 24" xfId="9373"/>
    <cellStyle name="Note 14 3" xfId="3174"/>
    <cellStyle name="Note 14 3 2" xfId="6204"/>
    <cellStyle name="Note 14 4" xfId="3175"/>
    <cellStyle name="Note 14 4 2" xfId="6205"/>
    <cellStyle name="Note 14 5" xfId="3176"/>
    <cellStyle name="Note 14 5 2" xfId="6206"/>
    <cellStyle name="Note 14 6" xfId="3177"/>
    <cellStyle name="Note 14 6 2" xfId="6207"/>
    <cellStyle name="Note 14 7" xfId="3178"/>
    <cellStyle name="Note 14 7 2" xfId="6208"/>
    <cellStyle name="Note 14 8" xfId="3179"/>
    <cellStyle name="Note 14 8 2" xfId="6209"/>
    <cellStyle name="Note 14 9" xfId="3180"/>
    <cellStyle name="Note 14 9 2" xfId="6210"/>
    <cellStyle name="Note 140" xfId="3181"/>
    <cellStyle name="Note 140 2" xfId="6211"/>
    <cellStyle name="Note 141" xfId="3182"/>
    <cellStyle name="Note 141 2" xfId="6212"/>
    <cellStyle name="Note 142" xfId="3183"/>
    <cellStyle name="Note 142 2" xfId="6213"/>
    <cellStyle name="Note 143" xfId="3184"/>
    <cellStyle name="Note 143 2" xfId="6214"/>
    <cellStyle name="Note 144" xfId="3185"/>
    <cellStyle name="Note 144 2" xfId="6215"/>
    <cellStyle name="Note 145" xfId="3186"/>
    <cellStyle name="Note 145 2" xfId="6216"/>
    <cellStyle name="Note 146" xfId="3187"/>
    <cellStyle name="Note 146 2" xfId="6217"/>
    <cellStyle name="Note 147" xfId="3188"/>
    <cellStyle name="Note 147 2" xfId="6218"/>
    <cellStyle name="Note 148" xfId="3189"/>
    <cellStyle name="Note 148 2" xfId="6219"/>
    <cellStyle name="Note 149" xfId="3190"/>
    <cellStyle name="Note 149 2" xfId="6220"/>
    <cellStyle name="Note 15" xfId="3191"/>
    <cellStyle name="Note 15 10" xfId="3192"/>
    <cellStyle name="Note 15 10 2" xfId="6221"/>
    <cellStyle name="Note 15 11" xfId="3193"/>
    <cellStyle name="Note 15 11 2" xfId="6222"/>
    <cellStyle name="Note 15 12" xfId="3194"/>
    <cellStyle name="Note 15 12 2" xfId="6223"/>
    <cellStyle name="Note 15 13" xfId="3195"/>
    <cellStyle name="Note 15 13 2" xfId="6224"/>
    <cellStyle name="Note 15 14" xfId="3196"/>
    <cellStyle name="Note 15 14 2" xfId="6225"/>
    <cellStyle name="Note 15 15" xfId="3197"/>
    <cellStyle name="Note 15 15 2" xfId="6226"/>
    <cellStyle name="Note 15 16" xfId="3198"/>
    <cellStyle name="Note 15 16 2" xfId="6227"/>
    <cellStyle name="Note 15 17" xfId="3199"/>
    <cellStyle name="Note 15 17 2" xfId="6228"/>
    <cellStyle name="Note 15 18" xfId="3200"/>
    <cellStyle name="Note 15 18 2" xfId="6229"/>
    <cellStyle name="Note 15 19" xfId="3201"/>
    <cellStyle name="Note 15 19 2" xfId="6230"/>
    <cellStyle name="Note 15 2" xfId="3202"/>
    <cellStyle name="Note 15 2 2" xfId="6231"/>
    <cellStyle name="Note 15 20" xfId="3203"/>
    <cellStyle name="Note 15 20 2" xfId="6232"/>
    <cellStyle name="Note 15 21" xfId="3204"/>
    <cellStyle name="Note 15 21 2" xfId="6233"/>
    <cellStyle name="Note 15 22" xfId="6234"/>
    <cellStyle name="Note 15 22 2" xfId="10903"/>
    <cellStyle name="Note 15 22 3" xfId="10451"/>
    <cellStyle name="Note 15 23" xfId="10777"/>
    <cellStyle name="Note 15 24" xfId="9374"/>
    <cellStyle name="Note 15 3" xfId="3205"/>
    <cellStyle name="Note 15 3 2" xfId="6235"/>
    <cellStyle name="Note 15 4" xfId="3206"/>
    <cellStyle name="Note 15 4 2" xfId="6236"/>
    <cellStyle name="Note 15 5" xfId="3207"/>
    <cellStyle name="Note 15 5 2" xfId="6237"/>
    <cellStyle name="Note 15 6" xfId="3208"/>
    <cellStyle name="Note 15 6 2" xfId="6238"/>
    <cellStyle name="Note 15 7" xfId="3209"/>
    <cellStyle name="Note 15 7 2" xfId="6239"/>
    <cellStyle name="Note 15 8" xfId="3210"/>
    <cellStyle name="Note 15 8 2" xfId="6240"/>
    <cellStyle name="Note 15 9" xfId="3211"/>
    <cellStyle name="Note 15 9 2" xfId="6241"/>
    <cellStyle name="Note 150" xfId="3212"/>
    <cellStyle name="Note 150 2" xfId="6242"/>
    <cellStyle name="Note 151" xfId="3213"/>
    <cellStyle name="Note 151 2" xfId="6243"/>
    <cellStyle name="Note 152" xfId="3214"/>
    <cellStyle name="Note 152 2" xfId="6244"/>
    <cellStyle name="Note 153" xfId="3215"/>
    <cellStyle name="Note 153 2" xfId="6245"/>
    <cellStyle name="Note 154" xfId="3216"/>
    <cellStyle name="Note 154 2" xfId="6246"/>
    <cellStyle name="Note 155" xfId="3217"/>
    <cellStyle name="Note 155 2" xfId="6247"/>
    <cellStyle name="Note 156" xfId="3218"/>
    <cellStyle name="Note 156 2" xfId="6248"/>
    <cellStyle name="Note 157" xfId="3219"/>
    <cellStyle name="Note 157 2" xfId="6249"/>
    <cellStyle name="Note 158" xfId="3220"/>
    <cellStyle name="Note 158 2" xfId="6250"/>
    <cellStyle name="Note 159" xfId="3221"/>
    <cellStyle name="Note 159 2" xfId="6251"/>
    <cellStyle name="Note 16" xfId="3222"/>
    <cellStyle name="Note 16 10" xfId="3223"/>
    <cellStyle name="Note 16 10 2" xfId="6252"/>
    <cellStyle name="Note 16 11" xfId="3224"/>
    <cellStyle name="Note 16 11 2" xfId="6253"/>
    <cellStyle name="Note 16 12" xfId="3225"/>
    <cellStyle name="Note 16 12 2" xfId="6254"/>
    <cellStyle name="Note 16 13" xfId="3226"/>
    <cellStyle name="Note 16 13 2" xfId="6255"/>
    <cellStyle name="Note 16 14" xfId="3227"/>
    <cellStyle name="Note 16 14 2" xfId="6256"/>
    <cellStyle name="Note 16 15" xfId="3228"/>
    <cellStyle name="Note 16 15 2" xfId="6257"/>
    <cellStyle name="Note 16 16" xfId="3229"/>
    <cellStyle name="Note 16 16 2" xfId="6258"/>
    <cellStyle name="Note 16 17" xfId="3230"/>
    <cellStyle name="Note 16 17 2" xfId="6259"/>
    <cellStyle name="Note 16 18" xfId="3231"/>
    <cellStyle name="Note 16 18 2" xfId="6260"/>
    <cellStyle name="Note 16 19" xfId="3232"/>
    <cellStyle name="Note 16 19 2" xfId="6261"/>
    <cellStyle name="Note 16 2" xfId="3233"/>
    <cellStyle name="Note 16 2 2" xfId="6262"/>
    <cellStyle name="Note 16 20" xfId="3234"/>
    <cellStyle name="Note 16 20 2" xfId="6263"/>
    <cellStyle name="Note 16 21" xfId="3235"/>
    <cellStyle name="Note 16 21 2" xfId="6264"/>
    <cellStyle name="Note 16 22" xfId="6265"/>
    <cellStyle name="Note 16 22 2" xfId="10883"/>
    <cellStyle name="Note 16 22 3" xfId="10452"/>
    <cellStyle name="Note 16 23" xfId="10778"/>
    <cellStyle name="Note 16 24" xfId="9375"/>
    <cellStyle name="Note 16 3" xfId="3236"/>
    <cellStyle name="Note 16 3 2" xfId="6266"/>
    <cellStyle name="Note 16 4" xfId="3237"/>
    <cellStyle name="Note 16 4 2" xfId="6267"/>
    <cellStyle name="Note 16 5" xfId="3238"/>
    <cellStyle name="Note 16 5 2" xfId="6268"/>
    <cellStyle name="Note 16 6" xfId="3239"/>
    <cellStyle name="Note 16 6 2" xfId="6269"/>
    <cellStyle name="Note 16 7" xfId="3240"/>
    <cellStyle name="Note 16 7 2" xfId="6270"/>
    <cellStyle name="Note 16 8" xfId="3241"/>
    <cellStyle name="Note 16 8 2" xfId="6271"/>
    <cellStyle name="Note 16 9" xfId="3242"/>
    <cellStyle name="Note 16 9 2" xfId="6272"/>
    <cellStyle name="Note 160" xfId="3243"/>
    <cellStyle name="Note 160 2" xfId="6273"/>
    <cellStyle name="Note 161" xfId="3244"/>
    <cellStyle name="Note 161 2" xfId="6274"/>
    <cellStyle name="Note 162" xfId="3245"/>
    <cellStyle name="Note 162 2" xfId="6275"/>
    <cellStyle name="Note 163" xfId="3246"/>
    <cellStyle name="Note 163 2" xfId="6276"/>
    <cellStyle name="Note 164" xfId="3247"/>
    <cellStyle name="Note 164 2" xfId="6277"/>
    <cellStyle name="Note 165" xfId="3248"/>
    <cellStyle name="Note 165 2" xfId="6278"/>
    <cellStyle name="Note 166" xfId="3249"/>
    <cellStyle name="Note 166 2" xfId="6279"/>
    <cellStyle name="Note 167" xfId="3250"/>
    <cellStyle name="Note 167 2" xfId="6280"/>
    <cellStyle name="Note 168" xfId="3251"/>
    <cellStyle name="Note 168 2" xfId="6281"/>
    <cellStyle name="Note 169" xfId="3252"/>
    <cellStyle name="Note 169 2" xfId="6282"/>
    <cellStyle name="Note 17" xfId="3253"/>
    <cellStyle name="Note 17 10" xfId="3254"/>
    <cellStyle name="Note 17 10 2" xfId="6283"/>
    <cellStyle name="Note 17 11" xfId="3255"/>
    <cellStyle name="Note 17 11 2" xfId="6284"/>
    <cellStyle name="Note 17 12" xfId="3256"/>
    <cellStyle name="Note 17 12 2" xfId="6285"/>
    <cellStyle name="Note 17 13" xfId="3257"/>
    <cellStyle name="Note 17 13 2" xfId="6286"/>
    <cellStyle name="Note 17 14" xfId="3258"/>
    <cellStyle name="Note 17 14 2" xfId="6287"/>
    <cellStyle name="Note 17 15" xfId="3259"/>
    <cellStyle name="Note 17 15 2" xfId="6288"/>
    <cellStyle name="Note 17 16" xfId="3260"/>
    <cellStyle name="Note 17 16 2" xfId="6289"/>
    <cellStyle name="Note 17 17" xfId="3261"/>
    <cellStyle name="Note 17 17 2" xfId="6290"/>
    <cellStyle name="Note 17 18" xfId="3262"/>
    <cellStyle name="Note 17 18 2" xfId="6291"/>
    <cellStyle name="Note 17 19" xfId="3263"/>
    <cellStyle name="Note 17 19 2" xfId="6292"/>
    <cellStyle name="Note 17 2" xfId="3264"/>
    <cellStyle name="Note 17 2 2" xfId="6293"/>
    <cellStyle name="Note 17 20" xfId="3265"/>
    <cellStyle name="Note 17 20 2" xfId="6294"/>
    <cellStyle name="Note 17 21" xfId="3266"/>
    <cellStyle name="Note 17 21 2" xfId="6295"/>
    <cellStyle name="Note 17 22" xfId="6296"/>
    <cellStyle name="Note 17 22 2" xfId="10857"/>
    <cellStyle name="Note 17 22 3" xfId="10453"/>
    <cellStyle name="Note 17 23" xfId="10840"/>
    <cellStyle name="Note 17 24" xfId="9376"/>
    <cellStyle name="Note 17 3" xfId="3267"/>
    <cellStyle name="Note 17 3 2" xfId="6297"/>
    <cellStyle name="Note 17 4" xfId="3268"/>
    <cellStyle name="Note 17 4 2" xfId="6298"/>
    <cellStyle name="Note 17 5" xfId="3269"/>
    <cellStyle name="Note 17 5 2" xfId="6299"/>
    <cellStyle name="Note 17 6" xfId="3270"/>
    <cellStyle name="Note 17 6 2" xfId="6300"/>
    <cellStyle name="Note 17 7" xfId="3271"/>
    <cellStyle name="Note 17 7 2" xfId="6301"/>
    <cellStyle name="Note 17 8" xfId="3272"/>
    <cellStyle name="Note 17 8 2" xfId="6302"/>
    <cellStyle name="Note 17 9" xfId="3273"/>
    <cellStyle name="Note 17 9 2" xfId="6303"/>
    <cellStyle name="Note 170" xfId="3274"/>
    <cellStyle name="Note 170 2" xfId="6304"/>
    <cellStyle name="Note 171" xfId="3275"/>
    <cellStyle name="Note 171 2" xfId="6305"/>
    <cellStyle name="Note 172" xfId="3276"/>
    <cellStyle name="Note 172 2" xfId="6306"/>
    <cellStyle name="Note 173" xfId="3277"/>
    <cellStyle name="Note 173 2" xfId="6307"/>
    <cellStyle name="Note 174" xfId="3278"/>
    <cellStyle name="Note 174 2" xfId="6308"/>
    <cellStyle name="Note 175" xfId="3279"/>
    <cellStyle name="Note 175 2" xfId="6309"/>
    <cellStyle name="Note 176" xfId="3280"/>
    <cellStyle name="Note 176 2" xfId="6310"/>
    <cellStyle name="Note 177" xfId="3281"/>
    <cellStyle name="Note 177 2" xfId="6311"/>
    <cellStyle name="Note 178" xfId="3282"/>
    <cellStyle name="Note 178 2" xfId="6312"/>
    <cellStyle name="Note 179" xfId="3283"/>
    <cellStyle name="Note 179 2" xfId="6313"/>
    <cellStyle name="Note 18" xfId="3284"/>
    <cellStyle name="Note 18 10" xfId="3285"/>
    <cellStyle name="Note 18 10 2" xfId="6314"/>
    <cellStyle name="Note 18 11" xfId="3286"/>
    <cellStyle name="Note 18 11 2" xfId="6315"/>
    <cellStyle name="Note 18 12" xfId="3287"/>
    <cellStyle name="Note 18 12 2" xfId="6316"/>
    <cellStyle name="Note 18 13" xfId="3288"/>
    <cellStyle name="Note 18 13 2" xfId="6317"/>
    <cellStyle name="Note 18 14" xfId="3289"/>
    <cellStyle name="Note 18 14 2" xfId="6318"/>
    <cellStyle name="Note 18 15" xfId="3290"/>
    <cellStyle name="Note 18 15 2" xfId="6319"/>
    <cellStyle name="Note 18 16" xfId="3291"/>
    <cellStyle name="Note 18 16 2" xfId="6320"/>
    <cellStyle name="Note 18 17" xfId="3292"/>
    <cellStyle name="Note 18 17 2" xfId="6321"/>
    <cellStyle name="Note 18 18" xfId="3293"/>
    <cellStyle name="Note 18 18 2" xfId="6322"/>
    <cellStyle name="Note 18 19" xfId="3294"/>
    <cellStyle name="Note 18 19 2" xfId="6323"/>
    <cellStyle name="Note 18 2" xfId="3295"/>
    <cellStyle name="Note 18 2 2" xfId="6324"/>
    <cellStyle name="Note 18 20" xfId="3296"/>
    <cellStyle name="Note 18 20 2" xfId="6325"/>
    <cellStyle name="Note 18 21" xfId="3297"/>
    <cellStyle name="Note 18 21 2" xfId="6326"/>
    <cellStyle name="Note 18 22" xfId="6327"/>
    <cellStyle name="Note 18 22 2" xfId="10833"/>
    <cellStyle name="Note 18 22 3" xfId="10454"/>
    <cellStyle name="Note 18 23" xfId="10841"/>
    <cellStyle name="Note 18 24" xfId="9377"/>
    <cellStyle name="Note 18 3" xfId="3298"/>
    <cellStyle name="Note 18 3 2" xfId="6328"/>
    <cellStyle name="Note 18 4" xfId="3299"/>
    <cellStyle name="Note 18 4 2" xfId="6329"/>
    <cellStyle name="Note 18 5" xfId="3300"/>
    <cellStyle name="Note 18 5 2" xfId="6330"/>
    <cellStyle name="Note 18 6" xfId="3301"/>
    <cellStyle name="Note 18 6 2" xfId="6331"/>
    <cellStyle name="Note 18 7" xfId="3302"/>
    <cellStyle name="Note 18 7 2" xfId="6332"/>
    <cellStyle name="Note 18 8" xfId="3303"/>
    <cellStyle name="Note 18 8 2" xfId="6333"/>
    <cellStyle name="Note 18 9" xfId="3304"/>
    <cellStyle name="Note 18 9 2" xfId="6334"/>
    <cellStyle name="Note 180" xfId="3305"/>
    <cellStyle name="Note 180 2" xfId="6335"/>
    <cellStyle name="Note 181" xfId="3306"/>
    <cellStyle name="Note 181 2" xfId="6336"/>
    <cellStyle name="Note 182" xfId="3307"/>
    <cellStyle name="Note 182 2" xfId="6337"/>
    <cellStyle name="Note 183" xfId="3308"/>
    <cellStyle name="Note 183 2" xfId="6338"/>
    <cellStyle name="Note 184" xfId="3309"/>
    <cellStyle name="Note 184 2" xfId="6339"/>
    <cellStyle name="Note 185" xfId="3310"/>
    <cellStyle name="Note 185 2" xfId="6340"/>
    <cellStyle name="Note 186" xfId="3311"/>
    <cellStyle name="Note 186 2" xfId="6341"/>
    <cellStyle name="Note 187" xfId="3312"/>
    <cellStyle name="Note 187 2" xfId="6342"/>
    <cellStyle name="Note 188" xfId="3313"/>
    <cellStyle name="Note 188 2" xfId="6343"/>
    <cellStyle name="Note 189" xfId="3314"/>
    <cellStyle name="Note 189 2" xfId="6344"/>
    <cellStyle name="Note 19" xfId="3315"/>
    <cellStyle name="Note 19 10" xfId="3316"/>
    <cellStyle name="Note 19 10 2" xfId="6345"/>
    <cellStyle name="Note 19 11" xfId="3317"/>
    <cellStyle name="Note 19 11 2" xfId="6346"/>
    <cellStyle name="Note 19 12" xfId="3318"/>
    <cellStyle name="Note 19 12 2" xfId="6347"/>
    <cellStyle name="Note 19 13" xfId="3319"/>
    <cellStyle name="Note 19 13 2" xfId="6348"/>
    <cellStyle name="Note 19 14" xfId="3320"/>
    <cellStyle name="Note 19 14 2" xfId="6349"/>
    <cellStyle name="Note 19 15" xfId="3321"/>
    <cellStyle name="Note 19 15 2" xfId="6350"/>
    <cellStyle name="Note 19 16" xfId="3322"/>
    <cellStyle name="Note 19 16 2" xfId="6351"/>
    <cellStyle name="Note 19 17" xfId="3323"/>
    <cellStyle name="Note 19 17 2" xfId="6352"/>
    <cellStyle name="Note 19 18" xfId="3324"/>
    <cellStyle name="Note 19 18 2" xfId="6353"/>
    <cellStyle name="Note 19 19" xfId="3325"/>
    <cellStyle name="Note 19 19 2" xfId="6354"/>
    <cellStyle name="Note 19 2" xfId="3326"/>
    <cellStyle name="Note 19 2 2" xfId="6355"/>
    <cellStyle name="Note 19 20" xfId="3327"/>
    <cellStyle name="Note 19 20 2" xfId="6356"/>
    <cellStyle name="Note 19 21" xfId="3328"/>
    <cellStyle name="Note 19 21 2" xfId="6357"/>
    <cellStyle name="Note 19 22" xfId="6358"/>
    <cellStyle name="Note 19 22 2" xfId="10918"/>
    <cellStyle name="Note 19 22 3" xfId="10455"/>
    <cellStyle name="Note 19 23" xfId="10779"/>
    <cellStyle name="Note 19 24" xfId="9378"/>
    <cellStyle name="Note 19 3" xfId="3329"/>
    <cellStyle name="Note 19 3 2" xfId="6359"/>
    <cellStyle name="Note 19 4" xfId="3330"/>
    <cellStyle name="Note 19 4 2" xfId="6360"/>
    <cellStyle name="Note 19 5" xfId="3331"/>
    <cellStyle name="Note 19 5 2" xfId="6361"/>
    <cellStyle name="Note 19 6" xfId="3332"/>
    <cellStyle name="Note 19 6 2" xfId="6362"/>
    <cellStyle name="Note 19 7" xfId="3333"/>
    <cellStyle name="Note 19 7 2" xfId="6363"/>
    <cellStyle name="Note 19 8" xfId="3334"/>
    <cellStyle name="Note 19 8 2" xfId="6364"/>
    <cellStyle name="Note 19 9" xfId="3335"/>
    <cellStyle name="Note 19 9 2" xfId="6365"/>
    <cellStyle name="Note 190" xfId="3336"/>
    <cellStyle name="Note 190 2" xfId="6366"/>
    <cellStyle name="Note 191" xfId="3337"/>
    <cellStyle name="Note 191 2" xfId="6367"/>
    <cellStyle name="Note 192" xfId="3338"/>
    <cellStyle name="Note 192 2" xfId="6368"/>
    <cellStyle name="Note 193" xfId="3339"/>
    <cellStyle name="Note 193 2" xfId="6369"/>
    <cellStyle name="Note 194" xfId="3340"/>
    <cellStyle name="Note 194 2" xfId="6370"/>
    <cellStyle name="Note 195" xfId="3341"/>
    <cellStyle name="Note 195 2" xfId="6371"/>
    <cellStyle name="Note 196" xfId="3342"/>
    <cellStyle name="Note 196 2" xfId="6372"/>
    <cellStyle name="Note 197" xfId="3343"/>
    <cellStyle name="Note 197 2" xfId="6373"/>
    <cellStyle name="Note 198" xfId="3344"/>
    <cellStyle name="Note 198 2" xfId="6374"/>
    <cellStyle name="Note 199" xfId="3345"/>
    <cellStyle name="Note 199 2" xfId="6375"/>
    <cellStyle name="Note 2" xfId="3346"/>
    <cellStyle name="Note 2 10" xfId="3347"/>
    <cellStyle name="Note 2 10 2" xfId="6376"/>
    <cellStyle name="Note 2 11" xfId="3348"/>
    <cellStyle name="Note 2 11 2" xfId="6377"/>
    <cellStyle name="Note 2 12" xfId="3349"/>
    <cellStyle name="Note 2 12 2" xfId="6378"/>
    <cellStyle name="Note 2 13" xfId="3350"/>
    <cellStyle name="Note 2 13 2" xfId="6379"/>
    <cellStyle name="Note 2 14" xfId="3351"/>
    <cellStyle name="Note 2 14 2" xfId="6380"/>
    <cellStyle name="Note 2 15" xfId="3352"/>
    <cellStyle name="Note 2 15 2" xfId="6381"/>
    <cellStyle name="Note 2 16" xfId="3353"/>
    <cellStyle name="Note 2 16 2" xfId="6382"/>
    <cellStyle name="Note 2 17" xfId="3354"/>
    <cellStyle name="Note 2 17 2" xfId="6383"/>
    <cellStyle name="Note 2 18" xfId="3355"/>
    <cellStyle name="Note 2 18 2" xfId="6384"/>
    <cellStyle name="Note 2 19" xfId="3356"/>
    <cellStyle name="Note 2 19 2" xfId="6385"/>
    <cellStyle name="Note 2 2" xfId="3357"/>
    <cellStyle name="Note 2 2 2" xfId="6386"/>
    <cellStyle name="Note 2 20" xfId="3358"/>
    <cellStyle name="Note 2 20 2" xfId="6387"/>
    <cellStyle name="Note 2 21" xfId="3359"/>
    <cellStyle name="Note 2 21 2" xfId="6388"/>
    <cellStyle name="Note 2 22" xfId="6389"/>
    <cellStyle name="Note 2 22 2" xfId="10919"/>
    <cellStyle name="Note 2 22 3" xfId="10456"/>
    <cellStyle name="Note 2 23" xfId="10780"/>
    <cellStyle name="Note 2 24" xfId="9379"/>
    <cellStyle name="Note 2 3" xfId="3360"/>
    <cellStyle name="Note 2 3 2" xfId="6390"/>
    <cellStyle name="Note 2 4" xfId="3361"/>
    <cellStyle name="Note 2 4 2" xfId="6391"/>
    <cellStyle name="Note 2 5" xfId="3362"/>
    <cellStyle name="Note 2 5 2" xfId="6392"/>
    <cellStyle name="Note 2 6" xfId="3363"/>
    <cellStyle name="Note 2 6 2" xfId="6393"/>
    <cellStyle name="Note 2 7" xfId="3364"/>
    <cellStyle name="Note 2 7 2" xfId="6394"/>
    <cellStyle name="Note 2 8" xfId="3365"/>
    <cellStyle name="Note 2 8 2" xfId="6395"/>
    <cellStyle name="Note 2 9" xfId="3366"/>
    <cellStyle name="Note 2 9 2" xfId="6396"/>
    <cellStyle name="Note 20" xfId="3367"/>
    <cellStyle name="Note 20 10" xfId="3368"/>
    <cellStyle name="Note 20 10 2" xfId="6397"/>
    <cellStyle name="Note 20 11" xfId="3369"/>
    <cellStyle name="Note 20 11 2" xfId="6398"/>
    <cellStyle name="Note 20 12" xfId="3370"/>
    <cellStyle name="Note 20 12 2" xfId="6399"/>
    <cellStyle name="Note 20 13" xfId="3371"/>
    <cellStyle name="Note 20 13 2" xfId="6400"/>
    <cellStyle name="Note 20 14" xfId="3372"/>
    <cellStyle name="Note 20 14 2" xfId="6401"/>
    <cellStyle name="Note 20 15" xfId="3373"/>
    <cellStyle name="Note 20 15 2" xfId="6402"/>
    <cellStyle name="Note 20 16" xfId="3374"/>
    <cellStyle name="Note 20 16 2" xfId="6403"/>
    <cellStyle name="Note 20 17" xfId="3375"/>
    <cellStyle name="Note 20 17 2" xfId="6404"/>
    <cellStyle name="Note 20 18" xfId="3376"/>
    <cellStyle name="Note 20 18 2" xfId="6405"/>
    <cellStyle name="Note 20 19" xfId="3377"/>
    <cellStyle name="Note 20 19 2" xfId="6406"/>
    <cellStyle name="Note 20 2" xfId="3378"/>
    <cellStyle name="Note 20 2 2" xfId="6407"/>
    <cellStyle name="Note 20 20" xfId="3379"/>
    <cellStyle name="Note 20 20 2" xfId="6408"/>
    <cellStyle name="Note 20 21" xfId="3380"/>
    <cellStyle name="Note 20 21 2" xfId="6409"/>
    <cellStyle name="Note 20 22" xfId="6410"/>
    <cellStyle name="Note 20 22 2" xfId="10920"/>
    <cellStyle name="Note 20 22 3" xfId="10457"/>
    <cellStyle name="Note 20 23" xfId="10781"/>
    <cellStyle name="Note 20 24" xfId="9380"/>
    <cellStyle name="Note 20 3" xfId="3381"/>
    <cellStyle name="Note 20 3 2" xfId="6411"/>
    <cellStyle name="Note 20 4" xfId="3382"/>
    <cellStyle name="Note 20 4 2" xfId="6412"/>
    <cellStyle name="Note 20 5" xfId="3383"/>
    <cellStyle name="Note 20 5 2" xfId="6413"/>
    <cellStyle name="Note 20 6" xfId="3384"/>
    <cellStyle name="Note 20 6 2" xfId="6414"/>
    <cellStyle name="Note 20 7" xfId="3385"/>
    <cellStyle name="Note 20 7 2" xfId="6415"/>
    <cellStyle name="Note 20 8" xfId="3386"/>
    <cellStyle name="Note 20 8 2" xfId="6416"/>
    <cellStyle name="Note 20 9" xfId="3387"/>
    <cellStyle name="Note 20 9 2" xfId="6417"/>
    <cellStyle name="Note 200" xfId="3388"/>
    <cellStyle name="Note 200 2" xfId="6418"/>
    <cellStyle name="Note 201" xfId="3389"/>
    <cellStyle name="Note 201 2" xfId="6419"/>
    <cellStyle name="Note 202" xfId="3390"/>
    <cellStyle name="Note 202 2" xfId="6420"/>
    <cellStyle name="Note 203" xfId="3391"/>
    <cellStyle name="Note 203 2" xfId="6421"/>
    <cellStyle name="Note 204" xfId="3392"/>
    <cellStyle name="Note 204 2" xfId="6422"/>
    <cellStyle name="Note 205" xfId="3393"/>
    <cellStyle name="Note 205 2" xfId="6423"/>
    <cellStyle name="Note 206" xfId="3394"/>
    <cellStyle name="Note 206 2" xfId="6424"/>
    <cellStyle name="Note 207" xfId="3395"/>
    <cellStyle name="Note 207 2" xfId="6425"/>
    <cellStyle name="Note 208" xfId="3396"/>
    <cellStyle name="Note 208 2" xfId="6426"/>
    <cellStyle name="Note 209" xfId="3397"/>
    <cellStyle name="Note 209 2" xfId="6427"/>
    <cellStyle name="Note 21" xfId="3398"/>
    <cellStyle name="Note 21 10" xfId="3399"/>
    <cellStyle name="Note 21 10 2" xfId="6428"/>
    <cellStyle name="Note 21 11" xfId="3400"/>
    <cellStyle name="Note 21 11 2" xfId="6429"/>
    <cellStyle name="Note 21 12" xfId="3401"/>
    <cellStyle name="Note 21 12 2" xfId="6430"/>
    <cellStyle name="Note 21 13" xfId="3402"/>
    <cellStyle name="Note 21 13 2" xfId="6431"/>
    <cellStyle name="Note 21 14" xfId="3403"/>
    <cellStyle name="Note 21 14 2" xfId="6432"/>
    <cellStyle name="Note 21 15" xfId="3404"/>
    <cellStyle name="Note 21 15 2" xfId="6433"/>
    <cellStyle name="Note 21 16" xfId="3405"/>
    <cellStyle name="Note 21 16 2" xfId="6434"/>
    <cellStyle name="Note 21 17" xfId="3406"/>
    <cellStyle name="Note 21 17 2" xfId="6435"/>
    <cellStyle name="Note 21 18" xfId="3407"/>
    <cellStyle name="Note 21 18 2" xfId="6436"/>
    <cellStyle name="Note 21 19" xfId="3408"/>
    <cellStyle name="Note 21 19 2" xfId="6437"/>
    <cellStyle name="Note 21 2" xfId="3409"/>
    <cellStyle name="Note 21 2 2" xfId="6438"/>
    <cellStyle name="Note 21 20" xfId="3410"/>
    <cellStyle name="Note 21 20 2" xfId="6439"/>
    <cellStyle name="Note 21 21" xfId="3411"/>
    <cellStyle name="Note 21 21 2" xfId="6440"/>
    <cellStyle name="Note 21 22" xfId="6441"/>
    <cellStyle name="Note 21 22 2" xfId="10921"/>
    <cellStyle name="Note 21 22 3" xfId="10458"/>
    <cellStyle name="Note 21 23" xfId="10891"/>
    <cellStyle name="Note 21 24" xfId="9381"/>
    <cellStyle name="Note 21 3" xfId="3412"/>
    <cellStyle name="Note 21 3 2" xfId="6442"/>
    <cellStyle name="Note 21 4" xfId="3413"/>
    <cellStyle name="Note 21 4 2" xfId="6443"/>
    <cellStyle name="Note 21 5" xfId="3414"/>
    <cellStyle name="Note 21 5 2" xfId="6444"/>
    <cellStyle name="Note 21 6" xfId="3415"/>
    <cellStyle name="Note 21 6 2" xfId="6445"/>
    <cellStyle name="Note 21 7" xfId="3416"/>
    <cellStyle name="Note 21 7 2" xfId="6446"/>
    <cellStyle name="Note 21 8" xfId="3417"/>
    <cellStyle name="Note 21 8 2" xfId="6447"/>
    <cellStyle name="Note 21 9" xfId="3418"/>
    <cellStyle name="Note 21 9 2" xfId="6448"/>
    <cellStyle name="Note 210" xfId="3419"/>
    <cellStyle name="Note 210 2" xfId="6449"/>
    <cellStyle name="Note 211" xfId="3420"/>
    <cellStyle name="Note 211 2" xfId="6450"/>
    <cellStyle name="Note 212" xfId="3421"/>
    <cellStyle name="Note 212 2" xfId="6451"/>
    <cellStyle name="Note 213" xfId="3422"/>
    <cellStyle name="Note 213 2" xfId="6452"/>
    <cellStyle name="Note 214" xfId="3423"/>
    <cellStyle name="Note 214 2" xfId="6453"/>
    <cellStyle name="Note 215" xfId="3424"/>
    <cellStyle name="Note 215 2" xfId="6454"/>
    <cellStyle name="Note 216" xfId="3425"/>
    <cellStyle name="Note 216 2" xfId="6455"/>
    <cellStyle name="Note 217" xfId="3426"/>
    <cellStyle name="Note 217 2" xfId="6456"/>
    <cellStyle name="Note 218" xfId="3427"/>
    <cellStyle name="Note 218 2" xfId="6457"/>
    <cellStyle name="Note 219" xfId="3428"/>
    <cellStyle name="Note 219 2" xfId="6458"/>
    <cellStyle name="Note 22" xfId="3429"/>
    <cellStyle name="Note 22 10" xfId="3430"/>
    <cellStyle name="Note 22 10 2" xfId="6459"/>
    <cellStyle name="Note 22 11" xfId="3431"/>
    <cellStyle name="Note 22 11 2" xfId="6460"/>
    <cellStyle name="Note 22 12" xfId="3432"/>
    <cellStyle name="Note 22 12 2" xfId="6461"/>
    <cellStyle name="Note 22 13" xfId="3433"/>
    <cellStyle name="Note 22 13 2" xfId="6462"/>
    <cellStyle name="Note 22 14" xfId="3434"/>
    <cellStyle name="Note 22 14 2" xfId="6463"/>
    <cellStyle name="Note 22 15" xfId="3435"/>
    <cellStyle name="Note 22 15 2" xfId="6464"/>
    <cellStyle name="Note 22 16" xfId="3436"/>
    <cellStyle name="Note 22 16 2" xfId="6465"/>
    <cellStyle name="Note 22 17" xfId="3437"/>
    <cellStyle name="Note 22 17 2" xfId="6466"/>
    <cellStyle name="Note 22 18" xfId="3438"/>
    <cellStyle name="Note 22 18 2" xfId="6467"/>
    <cellStyle name="Note 22 19" xfId="3439"/>
    <cellStyle name="Note 22 19 2" xfId="6468"/>
    <cellStyle name="Note 22 2" xfId="3440"/>
    <cellStyle name="Note 22 2 2" xfId="6469"/>
    <cellStyle name="Note 22 20" xfId="3441"/>
    <cellStyle name="Note 22 20 2" xfId="6470"/>
    <cellStyle name="Note 22 21" xfId="3442"/>
    <cellStyle name="Note 22 21 2" xfId="6471"/>
    <cellStyle name="Note 22 22" xfId="6472"/>
    <cellStyle name="Note 22 22 2" xfId="10922"/>
    <cellStyle name="Note 22 22 3" xfId="10459"/>
    <cellStyle name="Note 22 23" xfId="10892"/>
    <cellStyle name="Note 22 24" xfId="9382"/>
    <cellStyle name="Note 22 3" xfId="3443"/>
    <cellStyle name="Note 22 3 2" xfId="6473"/>
    <cellStyle name="Note 22 4" xfId="3444"/>
    <cellStyle name="Note 22 4 2" xfId="6474"/>
    <cellStyle name="Note 22 5" xfId="3445"/>
    <cellStyle name="Note 22 5 2" xfId="6475"/>
    <cellStyle name="Note 22 6" xfId="3446"/>
    <cellStyle name="Note 22 6 2" xfId="6476"/>
    <cellStyle name="Note 22 7" xfId="3447"/>
    <cellStyle name="Note 22 7 2" xfId="6477"/>
    <cellStyle name="Note 22 8" xfId="3448"/>
    <cellStyle name="Note 22 8 2" xfId="6478"/>
    <cellStyle name="Note 22 9" xfId="3449"/>
    <cellStyle name="Note 22 9 2" xfId="6479"/>
    <cellStyle name="Note 220" xfId="3450"/>
    <cellStyle name="Note 220 2" xfId="6480"/>
    <cellStyle name="Note 221" xfId="3451"/>
    <cellStyle name="Note 221 2" xfId="6481"/>
    <cellStyle name="Note 222" xfId="3452"/>
    <cellStyle name="Note 222 2" xfId="6482"/>
    <cellStyle name="Note 223" xfId="3453"/>
    <cellStyle name="Note 223 2" xfId="6483"/>
    <cellStyle name="Note 224" xfId="3454"/>
    <cellStyle name="Note 224 2" xfId="6484"/>
    <cellStyle name="Note 225" xfId="3455"/>
    <cellStyle name="Note 225 2" xfId="6485"/>
    <cellStyle name="Note 226" xfId="3456"/>
    <cellStyle name="Note 226 2" xfId="6486"/>
    <cellStyle name="Note 227" xfId="3457"/>
    <cellStyle name="Note 227 2" xfId="6487"/>
    <cellStyle name="Note 228" xfId="3458"/>
    <cellStyle name="Note 228 2" xfId="6488"/>
    <cellStyle name="Note 229" xfId="3459"/>
    <cellStyle name="Note 229 2" xfId="6489"/>
    <cellStyle name="Note 23" xfId="3460"/>
    <cellStyle name="Note 23 10" xfId="3461"/>
    <cellStyle name="Note 23 10 2" xfId="6490"/>
    <cellStyle name="Note 23 11" xfId="3462"/>
    <cellStyle name="Note 23 11 2" xfId="6491"/>
    <cellStyle name="Note 23 12" xfId="3463"/>
    <cellStyle name="Note 23 12 2" xfId="6492"/>
    <cellStyle name="Note 23 13" xfId="3464"/>
    <cellStyle name="Note 23 13 2" xfId="6493"/>
    <cellStyle name="Note 23 14" xfId="3465"/>
    <cellStyle name="Note 23 14 2" xfId="6494"/>
    <cellStyle name="Note 23 15" xfId="3466"/>
    <cellStyle name="Note 23 15 2" xfId="6495"/>
    <cellStyle name="Note 23 16" xfId="3467"/>
    <cellStyle name="Note 23 16 2" xfId="6496"/>
    <cellStyle name="Note 23 17" xfId="3468"/>
    <cellStyle name="Note 23 17 2" xfId="6497"/>
    <cellStyle name="Note 23 18" xfId="3469"/>
    <cellStyle name="Note 23 18 2" xfId="6498"/>
    <cellStyle name="Note 23 19" xfId="3470"/>
    <cellStyle name="Note 23 19 2" xfId="6499"/>
    <cellStyle name="Note 23 2" xfId="3471"/>
    <cellStyle name="Note 23 2 2" xfId="6500"/>
    <cellStyle name="Note 23 20" xfId="3472"/>
    <cellStyle name="Note 23 20 2" xfId="6501"/>
    <cellStyle name="Note 23 21" xfId="3473"/>
    <cellStyle name="Note 23 21 2" xfId="6502"/>
    <cellStyle name="Note 23 22" xfId="6503"/>
    <cellStyle name="Note 23 22 2" xfId="10923"/>
    <cellStyle name="Note 23 22 3" xfId="10460"/>
    <cellStyle name="Note 23 23" xfId="10893"/>
    <cellStyle name="Note 23 24" xfId="9383"/>
    <cellStyle name="Note 23 3" xfId="3474"/>
    <cellStyle name="Note 23 3 2" xfId="6504"/>
    <cellStyle name="Note 23 4" xfId="3475"/>
    <cellStyle name="Note 23 4 2" xfId="6505"/>
    <cellStyle name="Note 23 5" xfId="3476"/>
    <cellStyle name="Note 23 5 2" xfId="6506"/>
    <cellStyle name="Note 23 6" xfId="3477"/>
    <cellStyle name="Note 23 6 2" xfId="6507"/>
    <cellStyle name="Note 23 7" xfId="3478"/>
    <cellStyle name="Note 23 7 2" xfId="6508"/>
    <cellStyle name="Note 23 8" xfId="3479"/>
    <cellStyle name="Note 23 8 2" xfId="6509"/>
    <cellStyle name="Note 23 9" xfId="3480"/>
    <cellStyle name="Note 23 9 2" xfId="6510"/>
    <cellStyle name="Note 230" xfId="3481"/>
    <cellStyle name="Note 230 2" xfId="6511"/>
    <cellStyle name="Note 231" xfId="3482"/>
    <cellStyle name="Note 231 2" xfId="6512"/>
    <cellStyle name="Note 232" xfId="3483"/>
    <cellStyle name="Note 232 2" xfId="6513"/>
    <cellStyle name="Note 233" xfId="3484"/>
    <cellStyle name="Note 233 2" xfId="6514"/>
    <cellStyle name="Note 234" xfId="3485"/>
    <cellStyle name="Note 234 2" xfId="6515"/>
    <cellStyle name="Note 235" xfId="3486"/>
    <cellStyle name="Note 235 2" xfId="6516"/>
    <cellStyle name="Note 236" xfId="3487"/>
    <cellStyle name="Note 236 2" xfId="6517"/>
    <cellStyle name="Note 237" xfId="3488"/>
    <cellStyle name="Note 237 2" xfId="6518"/>
    <cellStyle name="Note 238" xfId="3489"/>
    <cellStyle name="Note 238 2" xfId="6519"/>
    <cellStyle name="Note 239" xfId="3490"/>
    <cellStyle name="Note 239 2" xfId="6520"/>
    <cellStyle name="Note 24" xfId="3491"/>
    <cellStyle name="Note 24 10" xfId="3492"/>
    <cellStyle name="Note 24 10 2" xfId="6521"/>
    <cellStyle name="Note 24 11" xfId="3493"/>
    <cellStyle name="Note 24 11 2" xfId="6522"/>
    <cellStyle name="Note 24 12" xfId="3494"/>
    <cellStyle name="Note 24 12 2" xfId="6523"/>
    <cellStyle name="Note 24 13" xfId="3495"/>
    <cellStyle name="Note 24 13 2" xfId="6524"/>
    <cellStyle name="Note 24 14" xfId="3496"/>
    <cellStyle name="Note 24 14 2" xfId="6525"/>
    <cellStyle name="Note 24 15" xfId="3497"/>
    <cellStyle name="Note 24 15 2" xfId="6526"/>
    <cellStyle name="Note 24 16" xfId="3498"/>
    <cellStyle name="Note 24 16 2" xfId="6527"/>
    <cellStyle name="Note 24 17" xfId="3499"/>
    <cellStyle name="Note 24 17 2" xfId="6528"/>
    <cellStyle name="Note 24 18" xfId="3500"/>
    <cellStyle name="Note 24 18 2" xfId="6529"/>
    <cellStyle name="Note 24 19" xfId="3501"/>
    <cellStyle name="Note 24 19 2" xfId="6530"/>
    <cellStyle name="Note 24 2" xfId="3502"/>
    <cellStyle name="Note 24 2 2" xfId="6531"/>
    <cellStyle name="Note 24 20" xfId="3503"/>
    <cellStyle name="Note 24 20 2" xfId="6532"/>
    <cellStyle name="Note 24 21" xfId="3504"/>
    <cellStyle name="Note 24 21 2" xfId="6533"/>
    <cellStyle name="Note 24 22" xfId="6534"/>
    <cellStyle name="Note 24 22 2" xfId="10924"/>
    <cellStyle name="Note 24 22 3" xfId="10461"/>
    <cellStyle name="Note 24 23" xfId="10783"/>
    <cellStyle name="Note 24 24" xfId="9384"/>
    <cellStyle name="Note 24 3" xfId="3505"/>
    <cellStyle name="Note 24 3 2" xfId="6535"/>
    <cellStyle name="Note 24 4" xfId="3506"/>
    <cellStyle name="Note 24 4 2" xfId="6536"/>
    <cellStyle name="Note 24 5" xfId="3507"/>
    <cellStyle name="Note 24 5 2" xfId="6537"/>
    <cellStyle name="Note 24 6" xfId="3508"/>
    <cellStyle name="Note 24 6 2" xfId="6538"/>
    <cellStyle name="Note 24 7" xfId="3509"/>
    <cellStyle name="Note 24 7 2" xfId="6539"/>
    <cellStyle name="Note 24 8" xfId="3510"/>
    <cellStyle name="Note 24 8 2" xfId="6540"/>
    <cellStyle name="Note 24 9" xfId="3511"/>
    <cellStyle name="Note 24 9 2" xfId="6541"/>
    <cellStyle name="Note 240" xfId="3512"/>
    <cellStyle name="Note 240 2" xfId="6542"/>
    <cellStyle name="Note 241" xfId="3513"/>
    <cellStyle name="Note 241 2" xfId="6543"/>
    <cellStyle name="Note 242" xfId="3514"/>
    <cellStyle name="Note 242 2" xfId="6544"/>
    <cellStyle name="Note 243" xfId="3515"/>
    <cellStyle name="Note 243 2" xfId="6545"/>
    <cellStyle name="Note 244" xfId="3516"/>
    <cellStyle name="Note 244 2" xfId="6546"/>
    <cellStyle name="Note 245" xfId="3517"/>
    <cellStyle name="Note 245 2" xfId="6547"/>
    <cellStyle name="Note 246" xfId="3518"/>
    <cellStyle name="Note 246 2" xfId="6548"/>
    <cellStyle name="Note 247" xfId="3519"/>
    <cellStyle name="Note 247 2" xfId="6549"/>
    <cellStyle name="Note 248" xfId="3520"/>
    <cellStyle name="Note 248 2" xfId="6550"/>
    <cellStyle name="Note 249" xfId="3521"/>
    <cellStyle name="Note 249 2" xfId="6551"/>
    <cellStyle name="Note 25" xfId="3522"/>
    <cellStyle name="Note 25 10" xfId="3523"/>
    <cellStyle name="Note 25 10 2" xfId="6552"/>
    <cellStyle name="Note 25 11" xfId="3524"/>
    <cellStyle name="Note 25 11 2" xfId="6553"/>
    <cellStyle name="Note 25 12" xfId="3525"/>
    <cellStyle name="Note 25 12 2" xfId="6554"/>
    <cellStyle name="Note 25 13" xfId="3526"/>
    <cellStyle name="Note 25 13 2" xfId="6555"/>
    <cellStyle name="Note 25 14" xfId="3527"/>
    <cellStyle name="Note 25 14 2" xfId="6556"/>
    <cellStyle name="Note 25 15" xfId="3528"/>
    <cellStyle name="Note 25 15 2" xfId="6557"/>
    <cellStyle name="Note 25 16" xfId="3529"/>
    <cellStyle name="Note 25 16 2" xfId="6558"/>
    <cellStyle name="Note 25 17" xfId="3530"/>
    <cellStyle name="Note 25 17 2" xfId="6559"/>
    <cellStyle name="Note 25 18" xfId="3531"/>
    <cellStyle name="Note 25 18 2" xfId="6560"/>
    <cellStyle name="Note 25 19" xfId="3532"/>
    <cellStyle name="Note 25 19 2" xfId="6561"/>
    <cellStyle name="Note 25 2" xfId="3533"/>
    <cellStyle name="Note 25 2 2" xfId="6562"/>
    <cellStyle name="Note 25 20" xfId="3534"/>
    <cellStyle name="Note 25 20 2" xfId="6563"/>
    <cellStyle name="Note 25 21" xfId="3535"/>
    <cellStyle name="Note 25 21 2" xfId="6564"/>
    <cellStyle name="Note 25 22" xfId="6565"/>
    <cellStyle name="Note 25 22 2" xfId="10925"/>
    <cellStyle name="Note 25 22 3" xfId="10462"/>
    <cellStyle name="Note 25 23" xfId="10784"/>
    <cellStyle name="Note 25 24" xfId="9385"/>
    <cellStyle name="Note 25 3" xfId="3536"/>
    <cellStyle name="Note 25 3 2" xfId="6566"/>
    <cellStyle name="Note 25 4" xfId="3537"/>
    <cellStyle name="Note 25 4 2" xfId="6567"/>
    <cellStyle name="Note 25 5" xfId="3538"/>
    <cellStyle name="Note 25 5 2" xfId="6568"/>
    <cellStyle name="Note 25 6" xfId="3539"/>
    <cellStyle name="Note 25 6 2" xfId="6569"/>
    <cellStyle name="Note 25 7" xfId="3540"/>
    <cellStyle name="Note 25 7 2" xfId="6570"/>
    <cellStyle name="Note 25 8" xfId="3541"/>
    <cellStyle name="Note 25 8 2" xfId="6571"/>
    <cellStyle name="Note 25 9" xfId="3542"/>
    <cellStyle name="Note 25 9 2" xfId="6572"/>
    <cellStyle name="Note 250" xfId="3543"/>
    <cellStyle name="Note 250 2" xfId="6573"/>
    <cellStyle name="Note 251" xfId="3544"/>
    <cellStyle name="Note 251 2" xfId="6574"/>
    <cellStyle name="Note 252" xfId="3545"/>
    <cellStyle name="Note 252 2" xfId="6575"/>
    <cellStyle name="Note 253" xfId="3546"/>
    <cellStyle name="Note 253 2" xfId="6576"/>
    <cellStyle name="Note 254" xfId="3547"/>
    <cellStyle name="Note 254 2" xfId="6577"/>
    <cellStyle name="Note 255" xfId="3548"/>
    <cellStyle name="Note 255 2" xfId="6578"/>
    <cellStyle name="Note 256" xfId="3549"/>
    <cellStyle name="Note 256 2" xfId="6579"/>
    <cellStyle name="Note 256 2 2" xfId="10463"/>
    <cellStyle name="Note 256 3" xfId="9386"/>
    <cellStyle name="Note 257" xfId="3550"/>
    <cellStyle name="Note 257 2" xfId="6580"/>
    <cellStyle name="Note 257 2 2" xfId="10464"/>
    <cellStyle name="Note 257 3" xfId="9387"/>
    <cellStyle name="Note 258" xfId="3551"/>
    <cellStyle name="Note 258 2" xfId="6581"/>
    <cellStyle name="Note 258 2 2" xfId="10465"/>
    <cellStyle name="Note 258 3" xfId="9388"/>
    <cellStyle name="Note 26" xfId="3552"/>
    <cellStyle name="Note 26 10" xfId="3553"/>
    <cellStyle name="Note 26 10 2" xfId="6582"/>
    <cellStyle name="Note 26 11" xfId="3554"/>
    <cellStyle name="Note 26 11 2" xfId="6583"/>
    <cellStyle name="Note 26 12" xfId="3555"/>
    <cellStyle name="Note 26 12 2" xfId="6584"/>
    <cellStyle name="Note 26 13" xfId="3556"/>
    <cellStyle name="Note 26 13 2" xfId="6585"/>
    <cellStyle name="Note 26 14" xfId="3557"/>
    <cellStyle name="Note 26 14 2" xfId="6586"/>
    <cellStyle name="Note 26 15" xfId="3558"/>
    <cellStyle name="Note 26 15 2" xfId="6587"/>
    <cellStyle name="Note 26 16" xfId="3559"/>
    <cellStyle name="Note 26 16 2" xfId="6588"/>
    <cellStyle name="Note 26 17" xfId="3560"/>
    <cellStyle name="Note 26 17 2" xfId="6589"/>
    <cellStyle name="Note 26 18" xfId="3561"/>
    <cellStyle name="Note 26 18 2" xfId="6590"/>
    <cellStyle name="Note 26 19" xfId="3562"/>
    <cellStyle name="Note 26 19 2" xfId="6591"/>
    <cellStyle name="Note 26 2" xfId="3563"/>
    <cellStyle name="Note 26 2 2" xfId="6592"/>
    <cellStyle name="Note 26 20" xfId="3564"/>
    <cellStyle name="Note 26 20 2" xfId="6593"/>
    <cellStyle name="Note 26 21" xfId="3565"/>
    <cellStyle name="Note 26 21 2" xfId="6594"/>
    <cellStyle name="Note 26 22" xfId="6595"/>
    <cellStyle name="Note 26 22 2" xfId="10926"/>
    <cellStyle name="Note 26 22 3" xfId="10466"/>
    <cellStyle name="Note 26 23" xfId="10842"/>
    <cellStyle name="Note 26 24" xfId="9389"/>
    <cellStyle name="Note 26 3" xfId="3566"/>
    <cellStyle name="Note 26 3 2" xfId="6596"/>
    <cellStyle name="Note 26 4" xfId="3567"/>
    <cellStyle name="Note 26 4 2" xfId="6597"/>
    <cellStyle name="Note 26 5" xfId="3568"/>
    <cellStyle name="Note 26 5 2" xfId="6598"/>
    <cellStyle name="Note 26 6" xfId="3569"/>
    <cellStyle name="Note 26 6 2" xfId="6599"/>
    <cellStyle name="Note 26 7" xfId="3570"/>
    <cellStyle name="Note 26 7 2" xfId="6600"/>
    <cellStyle name="Note 26 8" xfId="3571"/>
    <cellStyle name="Note 26 8 2" xfId="6601"/>
    <cellStyle name="Note 26 9" xfId="3572"/>
    <cellStyle name="Note 26 9 2" xfId="6602"/>
    <cellStyle name="Note 27" xfId="3573"/>
    <cellStyle name="Note 27 10" xfId="3574"/>
    <cellStyle name="Note 27 10 2" xfId="6603"/>
    <cellStyle name="Note 27 11" xfId="3575"/>
    <cellStyle name="Note 27 11 2" xfId="6604"/>
    <cellStyle name="Note 27 12" xfId="3576"/>
    <cellStyle name="Note 27 12 2" xfId="6605"/>
    <cellStyle name="Note 27 13" xfId="3577"/>
    <cellStyle name="Note 27 13 2" xfId="6606"/>
    <cellStyle name="Note 27 14" xfId="3578"/>
    <cellStyle name="Note 27 14 2" xfId="6607"/>
    <cellStyle name="Note 27 15" xfId="3579"/>
    <cellStyle name="Note 27 15 2" xfId="6608"/>
    <cellStyle name="Note 27 16" xfId="3580"/>
    <cellStyle name="Note 27 16 2" xfId="6609"/>
    <cellStyle name="Note 27 17" xfId="3581"/>
    <cellStyle name="Note 27 17 2" xfId="6610"/>
    <cellStyle name="Note 27 18" xfId="3582"/>
    <cellStyle name="Note 27 18 2" xfId="6611"/>
    <cellStyle name="Note 27 19" xfId="3583"/>
    <cellStyle name="Note 27 19 2" xfId="6612"/>
    <cellStyle name="Note 27 2" xfId="3584"/>
    <cellStyle name="Note 27 2 2" xfId="6613"/>
    <cellStyle name="Note 27 20" xfId="3585"/>
    <cellStyle name="Note 27 20 2" xfId="6614"/>
    <cellStyle name="Note 27 21" xfId="3586"/>
    <cellStyle name="Note 27 21 2" xfId="6615"/>
    <cellStyle name="Note 27 22" xfId="6616"/>
    <cellStyle name="Note 27 22 2" xfId="10927"/>
    <cellStyle name="Note 27 22 3" xfId="10467"/>
    <cellStyle name="Note 27 23" xfId="10843"/>
    <cellStyle name="Note 27 24" xfId="9390"/>
    <cellStyle name="Note 27 3" xfId="3587"/>
    <cellStyle name="Note 27 3 2" xfId="6617"/>
    <cellStyle name="Note 27 4" xfId="3588"/>
    <cellStyle name="Note 27 4 2" xfId="6618"/>
    <cellStyle name="Note 27 5" xfId="3589"/>
    <cellStyle name="Note 27 5 2" xfId="6619"/>
    <cellStyle name="Note 27 6" xfId="3590"/>
    <cellStyle name="Note 27 6 2" xfId="6620"/>
    <cellStyle name="Note 27 7" xfId="3591"/>
    <cellStyle name="Note 27 7 2" xfId="6621"/>
    <cellStyle name="Note 27 8" xfId="3592"/>
    <cellStyle name="Note 27 8 2" xfId="6622"/>
    <cellStyle name="Note 27 9" xfId="3593"/>
    <cellStyle name="Note 27 9 2" xfId="6623"/>
    <cellStyle name="Note 28" xfId="3594"/>
    <cellStyle name="Note 28 10" xfId="3595"/>
    <cellStyle name="Note 28 10 2" xfId="6624"/>
    <cellStyle name="Note 28 11" xfId="3596"/>
    <cellStyle name="Note 28 11 2" xfId="6625"/>
    <cellStyle name="Note 28 12" xfId="3597"/>
    <cellStyle name="Note 28 12 2" xfId="6626"/>
    <cellStyle name="Note 28 13" xfId="3598"/>
    <cellStyle name="Note 28 13 2" xfId="6627"/>
    <cellStyle name="Note 28 14" xfId="3599"/>
    <cellStyle name="Note 28 14 2" xfId="6628"/>
    <cellStyle name="Note 28 15" xfId="3600"/>
    <cellStyle name="Note 28 15 2" xfId="6629"/>
    <cellStyle name="Note 28 16" xfId="3601"/>
    <cellStyle name="Note 28 16 2" xfId="6630"/>
    <cellStyle name="Note 28 17" xfId="3602"/>
    <cellStyle name="Note 28 17 2" xfId="6631"/>
    <cellStyle name="Note 28 18" xfId="3603"/>
    <cellStyle name="Note 28 18 2" xfId="6632"/>
    <cellStyle name="Note 28 19" xfId="3604"/>
    <cellStyle name="Note 28 19 2" xfId="6633"/>
    <cellStyle name="Note 28 2" xfId="3605"/>
    <cellStyle name="Note 28 2 2" xfId="6634"/>
    <cellStyle name="Note 28 20" xfId="3606"/>
    <cellStyle name="Note 28 20 2" xfId="6635"/>
    <cellStyle name="Note 28 21" xfId="3607"/>
    <cellStyle name="Note 28 21 2" xfId="6636"/>
    <cellStyle name="Note 28 22" xfId="6637"/>
    <cellStyle name="Note 28 22 2" xfId="10928"/>
    <cellStyle name="Note 28 22 3" xfId="10468"/>
    <cellStyle name="Note 28 23" xfId="10785"/>
    <cellStyle name="Note 28 24" xfId="9391"/>
    <cellStyle name="Note 28 3" xfId="3608"/>
    <cellStyle name="Note 28 3 2" xfId="6638"/>
    <cellStyle name="Note 28 4" xfId="3609"/>
    <cellStyle name="Note 28 4 2" xfId="6639"/>
    <cellStyle name="Note 28 5" xfId="3610"/>
    <cellStyle name="Note 28 5 2" xfId="6640"/>
    <cellStyle name="Note 28 6" xfId="3611"/>
    <cellStyle name="Note 28 6 2" xfId="6641"/>
    <cellStyle name="Note 28 7" xfId="3612"/>
    <cellStyle name="Note 28 7 2" xfId="6642"/>
    <cellStyle name="Note 28 8" xfId="3613"/>
    <cellStyle name="Note 28 8 2" xfId="6643"/>
    <cellStyle name="Note 28 9" xfId="3614"/>
    <cellStyle name="Note 28 9 2" xfId="6644"/>
    <cellStyle name="Note 29" xfId="3615"/>
    <cellStyle name="Note 29 10" xfId="3616"/>
    <cellStyle name="Note 29 10 2" xfId="6645"/>
    <cellStyle name="Note 29 11" xfId="3617"/>
    <cellStyle name="Note 29 11 2" xfId="6646"/>
    <cellStyle name="Note 29 12" xfId="3618"/>
    <cellStyle name="Note 29 12 2" xfId="6647"/>
    <cellStyle name="Note 29 13" xfId="3619"/>
    <cellStyle name="Note 29 13 2" xfId="6648"/>
    <cellStyle name="Note 29 14" xfId="3620"/>
    <cellStyle name="Note 29 14 2" xfId="6649"/>
    <cellStyle name="Note 29 15" xfId="3621"/>
    <cellStyle name="Note 29 15 2" xfId="6650"/>
    <cellStyle name="Note 29 16" xfId="3622"/>
    <cellStyle name="Note 29 16 2" xfId="6651"/>
    <cellStyle name="Note 29 17" xfId="3623"/>
    <cellStyle name="Note 29 17 2" xfId="6652"/>
    <cellStyle name="Note 29 18" xfId="3624"/>
    <cellStyle name="Note 29 18 2" xfId="6653"/>
    <cellStyle name="Note 29 19" xfId="3625"/>
    <cellStyle name="Note 29 19 2" xfId="6654"/>
    <cellStyle name="Note 29 2" xfId="3626"/>
    <cellStyle name="Note 29 2 2" xfId="6655"/>
    <cellStyle name="Note 29 20" xfId="3627"/>
    <cellStyle name="Note 29 20 2" xfId="6656"/>
    <cellStyle name="Note 29 21" xfId="3628"/>
    <cellStyle name="Note 29 21 2" xfId="6657"/>
    <cellStyle name="Note 29 22" xfId="6658"/>
    <cellStyle name="Note 29 22 2" xfId="10929"/>
    <cellStyle name="Note 29 22 3" xfId="10469"/>
    <cellStyle name="Note 29 23" xfId="10786"/>
    <cellStyle name="Note 29 24" xfId="9392"/>
    <cellStyle name="Note 29 3" xfId="3629"/>
    <cellStyle name="Note 29 3 2" xfId="6659"/>
    <cellStyle name="Note 29 4" xfId="3630"/>
    <cellStyle name="Note 29 4 2" xfId="6660"/>
    <cellStyle name="Note 29 5" xfId="3631"/>
    <cellStyle name="Note 29 5 2" xfId="6661"/>
    <cellStyle name="Note 29 6" xfId="3632"/>
    <cellStyle name="Note 29 6 2" xfId="6662"/>
    <cellStyle name="Note 29 7" xfId="3633"/>
    <cellStyle name="Note 29 7 2" xfId="6663"/>
    <cellStyle name="Note 29 8" xfId="3634"/>
    <cellStyle name="Note 29 8 2" xfId="6664"/>
    <cellStyle name="Note 29 9" xfId="3635"/>
    <cellStyle name="Note 29 9 2" xfId="6665"/>
    <cellStyle name="Note 3" xfId="3636"/>
    <cellStyle name="Note 3 10" xfId="3637"/>
    <cellStyle name="Note 3 10 2" xfId="6666"/>
    <cellStyle name="Note 3 11" xfId="3638"/>
    <cellStyle name="Note 3 11 2" xfId="6667"/>
    <cellStyle name="Note 3 12" xfId="3639"/>
    <cellStyle name="Note 3 12 2" xfId="6668"/>
    <cellStyle name="Note 3 13" xfId="3640"/>
    <cellStyle name="Note 3 13 2" xfId="6669"/>
    <cellStyle name="Note 3 14" xfId="3641"/>
    <cellStyle name="Note 3 14 2" xfId="6670"/>
    <cellStyle name="Note 3 15" xfId="3642"/>
    <cellStyle name="Note 3 15 2" xfId="6671"/>
    <cellStyle name="Note 3 16" xfId="3643"/>
    <cellStyle name="Note 3 16 2" xfId="6672"/>
    <cellStyle name="Note 3 17" xfId="3644"/>
    <cellStyle name="Note 3 17 2" xfId="6673"/>
    <cellStyle name="Note 3 18" xfId="3645"/>
    <cellStyle name="Note 3 18 2" xfId="6674"/>
    <cellStyle name="Note 3 19" xfId="3646"/>
    <cellStyle name="Note 3 19 2" xfId="6675"/>
    <cellStyle name="Note 3 2" xfId="3647"/>
    <cellStyle name="Note 3 2 2" xfId="6676"/>
    <cellStyle name="Note 3 20" xfId="3648"/>
    <cellStyle name="Note 3 20 2" xfId="6677"/>
    <cellStyle name="Note 3 21" xfId="3649"/>
    <cellStyle name="Note 3 21 2" xfId="6678"/>
    <cellStyle name="Note 3 22" xfId="6679"/>
    <cellStyle name="Note 3 22 2" xfId="10930"/>
    <cellStyle name="Note 3 22 3" xfId="10470"/>
    <cellStyle name="Note 3 23" xfId="10787"/>
    <cellStyle name="Note 3 24" xfId="9393"/>
    <cellStyle name="Note 3 3" xfId="3650"/>
    <cellStyle name="Note 3 3 2" xfId="6680"/>
    <cellStyle name="Note 3 4" xfId="3651"/>
    <cellStyle name="Note 3 4 2" xfId="6681"/>
    <cellStyle name="Note 3 5" xfId="3652"/>
    <cellStyle name="Note 3 5 2" xfId="6682"/>
    <cellStyle name="Note 3 6" xfId="3653"/>
    <cellStyle name="Note 3 6 2" xfId="6683"/>
    <cellStyle name="Note 3 7" xfId="3654"/>
    <cellStyle name="Note 3 7 2" xfId="6684"/>
    <cellStyle name="Note 3 8" xfId="3655"/>
    <cellStyle name="Note 3 8 2" xfId="6685"/>
    <cellStyle name="Note 3 9" xfId="3656"/>
    <cellStyle name="Note 3 9 2" xfId="6686"/>
    <cellStyle name="Note 30" xfId="3657"/>
    <cellStyle name="Note 30 10" xfId="3658"/>
    <cellStyle name="Note 30 10 2" xfId="6687"/>
    <cellStyle name="Note 30 11" xfId="3659"/>
    <cellStyle name="Note 30 11 2" xfId="6688"/>
    <cellStyle name="Note 30 12" xfId="3660"/>
    <cellStyle name="Note 30 12 2" xfId="6689"/>
    <cellStyle name="Note 30 13" xfId="3661"/>
    <cellStyle name="Note 30 13 2" xfId="6690"/>
    <cellStyle name="Note 30 14" xfId="3662"/>
    <cellStyle name="Note 30 14 2" xfId="6691"/>
    <cellStyle name="Note 30 15" xfId="3663"/>
    <cellStyle name="Note 30 15 2" xfId="6692"/>
    <cellStyle name="Note 30 16" xfId="3664"/>
    <cellStyle name="Note 30 16 2" xfId="6693"/>
    <cellStyle name="Note 30 17" xfId="3665"/>
    <cellStyle name="Note 30 17 2" xfId="6694"/>
    <cellStyle name="Note 30 18" xfId="3666"/>
    <cellStyle name="Note 30 18 2" xfId="6695"/>
    <cellStyle name="Note 30 19" xfId="3667"/>
    <cellStyle name="Note 30 19 2" xfId="6696"/>
    <cellStyle name="Note 30 2" xfId="3668"/>
    <cellStyle name="Note 30 2 2" xfId="6697"/>
    <cellStyle name="Note 30 20" xfId="3669"/>
    <cellStyle name="Note 30 20 2" xfId="6698"/>
    <cellStyle name="Note 30 21" xfId="3670"/>
    <cellStyle name="Note 30 21 2" xfId="6699"/>
    <cellStyle name="Note 30 22" xfId="6700"/>
    <cellStyle name="Note 30 22 2" xfId="10931"/>
    <cellStyle name="Note 30 22 3" xfId="10471"/>
    <cellStyle name="Note 30 23" xfId="10894"/>
    <cellStyle name="Note 30 24" xfId="9394"/>
    <cellStyle name="Note 30 3" xfId="3671"/>
    <cellStyle name="Note 30 3 2" xfId="6701"/>
    <cellStyle name="Note 30 4" xfId="3672"/>
    <cellStyle name="Note 30 4 2" xfId="6702"/>
    <cellStyle name="Note 30 5" xfId="3673"/>
    <cellStyle name="Note 30 5 2" xfId="6703"/>
    <cellStyle name="Note 30 6" xfId="3674"/>
    <cellStyle name="Note 30 6 2" xfId="6704"/>
    <cellStyle name="Note 30 7" xfId="3675"/>
    <cellStyle name="Note 30 7 2" xfId="6705"/>
    <cellStyle name="Note 30 8" xfId="3676"/>
    <cellStyle name="Note 30 8 2" xfId="6706"/>
    <cellStyle name="Note 30 9" xfId="3677"/>
    <cellStyle name="Note 30 9 2" xfId="6707"/>
    <cellStyle name="Note 31" xfId="3678"/>
    <cellStyle name="Note 31 10" xfId="3679"/>
    <cellStyle name="Note 31 10 2" xfId="6708"/>
    <cellStyle name="Note 31 11" xfId="3680"/>
    <cellStyle name="Note 31 11 2" xfId="6709"/>
    <cellStyle name="Note 31 12" xfId="3681"/>
    <cellStyle name="Note 31 12 2" xfId="6710"/>
    <cellStyle name="Note 31 13" xfId="3682"/>
    <cellStyle name="Note 31 13 2" xfId="6711"/>
    <cellStyle name="Note 31 14" xfId="3683"/>
    <cellStyle name="Note 31 14 2" xfId="6712"/>
    <cellStyle name="Note 31 15" xfId="3684"/>
    <cellStyle name="Note 31 15 2" xfId="6713"/>
    <cellStyle name="Note 31 16" xfId="3685"/>
    <cellStyle name="Note 31 16 2" xfId="6714"/>
    <cellStyle name="Note 31 17" xfId="3686"/>
    <cellStyle name="Note 31 17 2" xfId="6715"/>
    <cellStyle name="Note 31 18" xfId="3687"/>
    <cellStyle name="Note 31 18 2" xfId="6716"/>
    <cellStyle name="Note 31 19" xfId="3688"/>
    <cellStyle name="Note 31 19 2" xfId="6717"/>
    <cellStyle name="Note 31 2" xfId="3689"/>
    <cellStyle name="Note 31 2 2" xfId="6718"/>
    <cellStyle name="Note 31 20" xfId="3690"/>
    <cellStyle name="Note 31 20 2" xfId="6719"/>
    <cellStyle name="Note 31 21" xfId="3691"/>
    <cellStyle name="Note 31 21 2" xfId="6720"/>
    <cellStyle name="Note 31 22" xfId="6721"/>
    <cellStyle name="Note 31 22 2" xfId="10932"/>
    <cellStyle name="Note 31 22 3" xfId="10472"/>
    <cellStyle name="Note 31 23" xfId="10895"/>
    <cellStyle name="Note 31 24" xfId="9395"/>
    <cellStyle name="Note 31 3" xfId="3692"/>
    <cellStyle name="Note 31 3 2" xfId="6722"/>
    <cellStyle name="Note 31 4" xfId="3693"/>
    <cellStyle name="Note 31 4 2" xfId="6723"/>
    <cellStyle name="Note 31 5" xfId="3694"/>
    <cellStyle name="Note 31 5 2" xfId="6724"/>
    <cellStyle name="Note 31 6" xfId="3695"/>
    <cellStyle name="Note 31 6 2" xfId="6725"/>
    <cellStyle name="Note 31 7" xfId="3696"/>
    <cellStyle name="Note 31 7 2" xfId="6726"/>
    <cellStyle name="Note 31 8" xfId="3697"/>
    <cellStyle name="Note 31 8 2" xfId="6727"/>
    <cellStyle name="Note 31 9" xfId="3698"/>
    <cellStyle name="Note 31 9 2" xfId="6728"/>
    <cellStyle name="Note 32" xfId="3699"/>
    <cellStyle name="Note 32 10" xfId="3700"/>
    <cellStyle name="Note 32 10 2" xfId="6729"/>
    <cellStyle name="Note 32 11" xfId="3701"/>
    <cellStyle name="Note 32 11 2" xfId="6730"/>
    <cellStyle name="Note 32 12" xfId="3702"/>
    <cellStyle name="Note 32 12 2" xfId="6731"/>
    <cellStyle name="Note 32 13" xfId="3703"/>
    <cellStyle name="Note 32 13 2" xfId="6732"/>
    <cellStyle name="Note 32 14" xfId="3704"/>
    <cellStyle name="Note 32 14 2" xfId="6733"/>
    <cellStyle name="Note 32 15" xfId="3705"/>
    <cellStyle name="Note 32 15 2" xfId="6734"/>
    <cellStyle name="Note 32 16" xfId="3706"/>
    <cellStyle name="Note 32 16 2" xfId="6735"/>
    <cellStyle name="Note 32 17" xfId="3707"/>
    <cellStyle name="Note 32 17 2" xfId="6736"/>
    <cellStyle name="Note 32 18" xfId="3708"/>
    <cellStyle name="Note 32 18 2" xfId="6737"/>
    <cellStyle name="Note 32 19" xfId="3709"/>
    <cellStyle name="Note 32 19 2" xfId="6738"/>
    <cellStyle name="Note 32 2" xfId="3710"/>
    <cellStyle name="Note 32 2 2" xfId="6739"/>
    <cellStyle name="Note 32 20" xfId="3711"/>
    <cellStyle name="Note 32 20 2" xfId="6740"/>
    <cellStyle name="Note 32 21" xfId="3712"/>
    <cellStyle name="Note 32 21 2" xfId="6741"/>
    <cellStyle name="Note 32 22" xfId="6742"/>
    <cellStyle name="Note 32 22 2" xfId="10933"/>
    <cellStyle name="Note 32 22 3" xfId="10473"/>
    <cellStyle name="Note 32 23" xfId="10896"/>
    <cellStyle name="Note 32 24" xfId="9396"/>
    <cellStyle name="Note 32 3" xfId="3713"/>
    <cellStyle name="Note 32 3 2" xfId="6743"/>
    <cellStyle name="Note 32 4" xfId="3714"/>
    <cellStyle name="Note 32 4 2" xfId="6744"/>
    <cellStyle name="Note 32 5" xfId="3715"/>
    <cellStyle name="Note 32 5 2" xfId="6745"/>
    <cellStyle name="Note 32 6" xfId="3716"/>
    <cellStyle name="Note 32 6 2" xfId="6746"/>
    <cellStyle name="Note 32 7" xfId="3717"/>
    <cellStyle name="Note 32 7 2" xfId="6747"/>
    <cellStyle name="Note 32 8" xfId="3718"/>
    <cellStyle name="Note 32 8 2" xfId="6748"/>
    <cellStyle name="Note 32 9" xfId="3719"/>
    <cellStyle name="Note 32 9 2" xfId="6749"/>
    <cellStyle name="Note 33" xfId="3720"/>
    <cellStyle name="Note 33 10" xfId="3721"/>
    <cellStyle name="Note 33 10 2" xfId="6750"/>
    <cellStyle name="Note 33 11" xfId="3722"/>
    <cellStyle name="Note 33 11 2" xfId="6751"/>
    <cellStyle name="Note 33 12" xfId="3723"/>
    <cellStyle name="Note 33 12 2" xfId="6752"/>
    <cellStyle name="Note 33 13" xfId="3724"/>
    <cellStyle name="Note 33 13 2" xfId="6753"/>
    <cellStyle name="Note 33 14" xfId="3725"/>
    <cellStyle name="Note 33 14 2" xfId="6754"/>
    <cellStyle name="Note 33 15" xfId="3726"/>
    <cellStyle name="Note 33 15 2" xfId="6755"/>
    <cellStyle name="Note 33 16" xfId="3727"/>
    <cellStyle name="Note 33 16 2" xfId="6756"/>
    <cellStyle name="Note 33 17" xfId="3728"/>
    <cellStyle name="Note 33 17 2" xfId="6757"/>
    <cellStyle name="Note 33 18" xfId="3729"/>
    <cellStyle name="Note 33 18 2" xfId="6758"/>
    <cellStyle name="Note 33 19" xfId="3730"/>
    <cellStyle name="Note 33 19 2" xfId="6759"/>
    <cellStyle name="Note 33 2" xfId="3731"/>
    <cellStyle name="Note 33 2 2" xfId="6760"/>
    <cellStyle name="Note 33 20" xfId="3732"/>
    <cellStyle name="Note 33 20 2" xfId="6761"/>
    <cellStyle name="Note 33 21" xfId="3733"/>
    <cellStyle name="Note 33 21 2" xfId="6762"/>
    <cellStyle name="Note 33 22" xfId="6763"/>
    <cellStyle name="Note 33 22 2" xfId="10934"/>
    <cellStyle name="Note 33 22 3" xfId="10474"/>
    <cellStyle name="Note 33 23" xfId="10897"/>
    <cellStyle name="Note 33 24" xfId="9397"/>
    <cellStyle name="Note 33 3" xfId="3734"/>
    <cellStyle name="Note 33 3 2" xfId="6764"/>
    <cellStyle name="Note 33 4" xfId="3735"/>
    <cellStyle name="Note 33 4 2" xfId="6765"/>
    <cellStyle name="Note 33 5" xfId="3736"/>
    <cellStyle name="Note 33 5 2" xfId="6766"/>
    <cellStyle name="Note 33 6" xfId="3737"/>
    <cellStyle name="Note 33 6 2" xfId="6767"/>
    <cellStyle name="Note 33 7" xfId="3738"/>
    <cellStyle name="Note 33 7 2" xfId="6768"/>
    <cellStyle name="Note 33 8" xfId="3739"/>
    <cellStyle name="Note 33 8 2" xfId="6769"/>
    <cellStyle name="Note 33 9" xfId="3740"/>
    <cellStyle name="Note 33 9 2" xfId="6770"/>
    <cellStyle name="Note 34" xfId="3741"/>
    <cellStyle name="Note 34 10" xfId="3742"/>
    <cellStyle name="Note 34 10 2" xfId="6771"/>
    <cellStyle name="Note 34 11" xfId="3743"/>
    <cellStyle name="Note 34 11 2" xfId="6772"/>
    <cellStyle name="Note 34 12" xfId="3744"/>
    <cellStyle name="Note 34 12 2" xfId="6773"/>
    <cellStyle name="Note 34 13" xfId="3745"/>
    <cellStyle name="Note 34 13 2" xfId="6774"/>
    <cellStyle name="Note 34 14" xfId="3746"/>
    <cellStyle name="Note 34 14 2" xfId="6775"/>
    <cellStyle name="Note 34 15" xfId="3747"/>
    <cellStyle name="Note 34 15 2" xfId="6776"/>
    <cellStyle name="Note 34 16" xfId="3748"/>
    <cellStyle name="Note 34 16 2" xfId="6777"/>
    <cellStyle name="Note 34 17" xfId="3749"/>
    <cellStyle name="Note 34 17 2" xfId="6778"/>
    <cellStyle name="Note 34 18" xfId="3750"/>
    <cellStyle name="Note 34 18 2" xfId="6779"/>
    <cellStyle name="Note 34 19" xfId="3751"/>
    <cellStyle name="Note 34 19 2" xfId="6780"/>
    <cellStyle name="Note 34 2" xfId="3752"/>
    <cellStyle name="Note 34 2 2" xfId="6781"/>
    <cellStyle name="Note 34 20" xfId="3753"/>
    <cellStyle name="Note 34 20 2" xfId="6782"/>
    <cellStyle name="Note 34 21" xfId="3754"/>
    <cellStyle name="Note 34 21 2" xfId="6783"/>
    <cellStyle name="Note 34 22" xfId="6784"/>
    <cellStyle name="Note 34 22 2" xfId="10935"/>
    <cellStyle name="Note 34 22 3" xfId="10475"/>
    <cellStyle name="Note 34 23" xfId="10844"/>
    <cellStyle name="Note 34 24" xfId="9398"/>
    <cellStyle name="Note 34 3" xfId="3755"/>
    <cellStyle name="Note 34 3 2" xfId="6785"/>
    <cellStyle name="Note 34 4" xfId="3756"/>
    <cellStyle name="Note 34 4 2" xfId="6786"/>
    <cellStyle name="Note 34 5" xfId="3757"/>
    <cellStyle name="Note 34 5 2" xfId="6787"/>
    <cellStyle name="Note 34 6" xfId="3758"/>
    <cellStyle name="Note 34 6 2" xfId="6788"/>
    <cellStyle name="Note 34 7" xfId="3759"/>
    <cellStyle name="Note 34 7 2" xfId="6789"/>
    <cellStyle name="Note 34 8" xfId="3760"/>
    <cellStyle name="Note 34 8 2" xfId="6790"/>
    <cellStyle name="Note 34 9" xfId="3761"/>
    <cellStyle name="Note 34 9 2" xfId="6791"/>
    <cellStyle name="Note 35" xfId="3762"/>
    <cellStyle name="Note 35 10" xfId="3763"/>
    <cellStyle name="Note 35 10 2" xfId="6792"/>
    <cellStyle name="Note 35 11" xfId="3764"/>
    <cellStyle name="Note 35 11 2" xfId="6793"/>
    <cellStyle name="Note 35 12" xfId="3765"/>
    <cellStyle name="Note 35 12 2" xfId="6794"/>
    <cellStyle name="Note 35 13" xfId="3766"/>
    <cellStyle name="Note 35 13 2" xfId="6795"/>
    <cellStyle name="Note 35 14" xfId="3767"/>
    <cellStyle name="Note 35 14 2" xfId="6796"/>
    <cellStyle name="Note 35 15" xfId="3768"/>
    <cellStyle name="Note 35 15 2" xfId="6797"/>
    <cellStyle name="Note 35 16" xfId="3769"/>
    <cellStyle name="Note 35 16 2" xfId="6798"/>
    <cellStyle name="Note 35 17" xfId="3770"/>
    <cellStyle name="Note 35 17 2" xfId="6799"/>
    <cellStyle name="Note 35 18" xfId="3771"/>
    <cellStyle name="Note 35 18 2" xfId="6800"/>
    <cellStyle name="Note 35 19" xfId="3772"/>
    <cellStyle name="Note 35 19 2" xfId="6801"/>
    <cellStyle name="Note 35 2" xfId="3773"/>
    <cellStyle name="Note 35 2 2" xfId="6802"/>
    <cellStyle name="Note 35 20" xfId="3774"/>
    <cellStyle name="Note 35 20 2" xfId="6803"/>
    <cellStyle name="Note 35 21" xfId="3775"/>
    <cellStyle name="Note 35 21 2" xfId="6804"/>
    <cellStyle name="Note 35 22" xfId="6805"/>
    <cellStyle name="Note 35 22 2" xfId="10936"/>
    <cellStyle name="Note 35 22 3" xfId="10476"/>
    <cellStyle name="Note 35 23" xfId="10845"/>
    <cellStyle name="Note 35 24" xfId="9399"/>
    <cellStyle name="Note 35 3" xfId="3776"/>
    <cellStyle name="Note 35 3 2" xfId="6806"/>
    <cellStyle name="Note 35 4" xfId="3777"/>
    <cellStyle name="Note 35 4 2" xfId="6807"/>
    <cellStyle name="Note 35 5" xfId="3778"/>
    <cellStyle name="Note 35 5 2" xfId="6808"/>
    <cellStyle name="Note 35 6" xfId="3779"/>
    <cellStyle name="Note 35 6 2" xfId="6809"/>
    <cellStyle name="Note 35 7" xfId="3780"/>
    <cellStyle name="Note 35 7 2" xfId="6810"/>
    <cellStyle name="Note 35 8" xfId="3781"/>
    <cellStyle name="Note 35 8 2" xfId="6811"/>
    <cellStyle name="Note 35 9" xfId="3782"/>
    <cellStyle name="Note 35 9 2" xfId="6812"/>
    <cellStyle name="Note 36" xfId="3783"/>
    <cellStyle name="Note 36 10" xfId="3784"/>
    <cellStyle name="Note 36 10 2" xfId="6813"/>
    <cellStyle name="Note 36 11" xfId="3785"/>
    <cellStyle name="Note 36 11 2" xfId="6814"/>
    <cellStyle name="Note 36 12" xfId="3786"/>
    <cellStyle name="Note 36 12 2" xfId="6815"/>
    <cellStyle name="Note 36 13" xfId="3787"/>
    <cellStyle name="Note 36 13 2" xfId="6816"/>
    <cellStyle name="Note 36 14" xfId="3788"/>
    <cellStyle name="Note 36 14 2" xfId="6817"/>
    <cellStyle name="Note 36 15" xfId="3789"/>
    <cellStyle name="Note 36 15 2" xfId="6818"/>
    <cellStyle name="Note 36 16" xfId="3790"/>
    <cellStyle name="Note 36 16 2" xfId="6819"/>
    <cellStyle name="Note 36 17" xfId="3791"/>
    <cellStyle name="Note 36 17 2" xfId="6820"/>
    <cellStyle name="Note 36 18" xfId="3792"/>
    <cellStyle name="Note 36 18 2" xfId="6821"/>
    <cellStyle name="Note 36 19" xfId="3793"/>
    <cellStyle name="Note 36 19 2" xfId="6822"/>
    <cellStyle name="Note 36 2" xfId="3794"/>
    <cellStyle name="Note 36 2 2" xfId="6823"/>
    <cellStyle name="Note 36 20" xfId="3795"/>
    <cellStyle name="Note 36 20 2" xfId="6824"/>
    <cellStyle name="Note 36 21" xfId="3796"/>
    <cellStyle name="Note 36 21 2" xfId="6825"/>
    <cellStyle name="Note 36 22" xfId="6826"/>
    <cellStyle name="Note 36 22 2" xfId="10937"/>
    <cellStyle name="Note 36 22 3" xfId="10477"/>
    <cellStyle name="Note 36 23" xfId="10846"/>
    <cellStyle name="Note 36 24" xfId="9400"/>
    <cellStyle name="Note 36 3" xfId="3797"/>
    <cellStyle name="Note 36 3 2" xfId="6827"/>
    <cellStyle name="Note 36 4" xfId="3798"/>
    <cellStyle name="Note 36 4 2" xfId="6828"/>
    <cellStyle name="Note 36 5" xfId="3799"/>
    <cellStyle name="Note 36 5 2" xfId="6829"/>
    <cellStyle name="Note 36 6" xfId="3800"/>
    <cellStyle name="Note 36 6 2" xfId="6830"/>
    <cellStyle name="Note 36 7" xfId="3801"/>
    <cellStyle name="Note 36 7 2" xfId="6831"/>
    <cellStyle name="Note 36 8" xfId="3802"/>
    <cellStyle name="Note 36 8 2" xfId="6832"/>
    <cellStyle name="Note 36 9" xfId="3803"/>
    <cellStyle name="Note 36 9 2" xfId="6833"/>
    <cellStyle name="Note 37" xfId="3804"/>
    <cellStyle name="Note 37 10" xfId="3805"/>
    <cellStyle name="Note 37 10 2" xfId="6834"/>
    <cellStyle name="Note 37 11" xfId="3806"/>
    <cellStyle name="Note 37 11 2" xfId="6835"/>
    <cellStyle name="Note 37 12" xfId="3807"/>
    <cellStyle name="Note 37 12 2" xfId="6836"/>
    <cellStyle name="Note 37 13" xfId="3808"/>
    <cellStyle name="Note 37 13 2" xfId="6837"/>
    <cellStyle name="Note 37 14" xfId="3809"/>
    <cellStyle name="Note 37 14 2" xfId="6838"/>
    <cellStyle name="Note 37 15" xfId="3810"/>
    <cellStyle name="Note 37 15 2" xfId="6839"/>
    <cellStyle name="Note 37 16" xfId="3811"/>
    <cellStyle name="Note 37 16 2" xfId="6840"/>
    <cellStyle name="Note 37 17" xfId="3812"/>
    <cellStyle name="Note 37 17 2" xfId="6841"/>
    <cellStyle name="Note 37 18" xfId="3813"/>
    <cellStyle name="Note 37 18 2" xfId="6842"/>
    <cellStyle name="Note 37 19" xfId="3814"/>
    <cellStyle name="Note 37 19 2" xfId="6843"/>
    <cellStyle name="Note 37 2" xfId="3815"/>
    <cellStyle name="Note 37 2 2" xfId="6844"/>
    <cellStyle name="Note 37 20" xfId="3816"/>
    <cellStyle name="Note 37 20 2" xfId="6845"/>
    <cellStyle name="Note 37 21" xfId="3817"/>
    <cellStyle name="Note 37 21 2" xfId="6846"/>
    <cellStyle name="Note 37 22" xfId="6847"/>
    <cellStyle name="Note 37 22 2" xfId="10938"/>
    <cellStyle name="Note 37 22 3" xfId="10478"/>
    <cellStyle name="Note 37 23" xfId="10847"/>
    <cellStyle name="Note 37 24" xfId="9401"/>
    <cellStyle name="Note 37 3" xfId="3818"/>
    <cellStyle name="Note 37 3 2" xfId="6848"/>
    <cellStyle name="Note 37 4" xfId="3819"/>
    <cellStyle name="Note 37 4 2" xfId="6849"/>
    <cellStyle name="Note 37 5" xfId="3820"/>
    <cellStyle name="Note 37 5 2" xfId="6850"/>
    <cellStyle name="Note 37 6" xfId="3821"/>
    <cellStyle name="Note 37 6 2" xfId="6851"/>
    <cellStyle name="Note 37 7" xfId="3822"/>
    <cellStyle name="Note 37 7 2" xfId="6852"/>
    <cellStyle name="Note 37 8" xfId="3823"/>
    <cellStyle name="Note 37 8 2" xfId="6853"/>
    <cellStyle name="Note 37 9" xfId="3824"/>
    <cellStyle name="Note 37 9 2" xfId="6854"/>
    <cellStyle name="Note 38" xfId="3825"/>
    <cellStyle name="Note 38 2" xfId="6855"/>
    <cellStyle name="Note 39" xfId="3826"/>
    <cellStyle name="Note 39 2" xfId="6856"/>
    <cellStyle name="Note 4" xfId="3827"/>
    <cellStyle name="Note 4 10" xfId="3828"/>
    <cellStyle name="Note 4 10 2" xfId="6857"/>
    <cellStyle name="Note 4 11" xfId="3829"/>
    <cellStyle name="Note 4 11 2" xfId="6858"/>
    <cellStyle name="Note 4 12" xfId="3830"/>
    <cellStyle name="Note 4 12 2" xfId="6859"/>
    <cellStyle name="Note 4 13" xfId="3831"/>
    <cellStyle name="Note 4 13 2" xfId="6860"/>
    <cellStyle name="Note 4 14" xfId="3832"/>
    <cellStyle name="Note 4 14 2" xfId="6861"/>
    <cellStyle name="Note 4 15" xfId="3833"/>
    <cellStyle name="Note 4 15 2" xfId="6862"/>
    <cellStyle name="Note 4 16" xfId="3834"/>
    <cellStyle name="Note 4 16 2" xfId="6863"/>
    <cellStyle name="Note 4 17" xfId="3835"/>
    <cellStyle name="Note 4 17 2" xfId="6864"/>
    <cellStyle name="Note 4 18" xfId="3836"/>
    <cellStyle name="Note 4 18 2" xfId="6865"/>
    <cellStyle name="Note 4 19" xfId="3837"/>
    <cellStyle name="Note 4 19 2" xfId="6866"/>
    <cellStyle name="Note 4 2" xfId="3838"/>
    <cellStyle name="Note 4 2 2" xfId="6867"/>
    <cellStyle name="Note 4 20" xfId="3839"/>
    <cellStyle name="Note 4 20 2" xfId="6868"/>
    <cellStyle name="Note 4 21" xfId="3840"/>
    <cellStyle name="Note 4 21 2" xfId="6869"/>
    <cellStyle name="Note 4 22" xfId="6870"/>
    <cellStyle name="Note 4 22 2" xfId="10939"/>
    <cellStyle name="Note 4 22 3" xfId="10479"/>
    <cellStyle name="Note 4 23" xfId="10859"/>
    <cellStyle name="Note 4 24" xfId="9402"/>
    <cellStyle name="Note 4 3" xfId="3841"/>
    <cellStyle name="Note 4 3 2" xfId="6871"/>
    <cellStyle name="Note 4 4" xfId="3842"/>
    <cellStyle name="Note 4 4 2" xfId="6872"/>
    <cellStyle name="Note 4 5" xfId="3843"/>
    <cellStyle name="Note 4 5 2" xfId="6873"/>
    <cellStyle name="Note 4 6" xfId="3844"/>
    <cellStyle name="Note 4 6 2" xfId="6874"/>
    <cellStyle name="Note 4 7" xfId="3845"/>
    <cellStyle name="Note 4 7 2" xfId="6875"/>
    <cellStyle name="Note 4 8" xfId="3846"/>
    <cellStyle name="Note 4 8 2" xfId="6876"/>
    <cellStyle name="Note 4 9" xfId="3847"/>
    <cellStyle name="Note 4 9 2" xfId="6877"/>
    <cellStyle name="Note 40" xfId="3848"/>
    <cellStyle name="Note 40 2" xfId="6878"/>
    <cellStyle name="Note 41" xfId="3849"/>
    <cellStyle name="Note 41 2" xfId="6879"/>
    <cellStyle name="Note 42" xfId="3850"/>
    <cellStyle name="Note 42 2" xfId="6880"/>
    <cellStyle name="Note 43" xfId="3851"/>
    <cellStyle name="Note 43 2" xfId="6881"/>
    <cellStyle name="Note 44" xfId="3852"/>
    <cellStyle name="Note 44 2" xfId="6882"/>
    <cellStyle name="Note 45" xfId="3853"/>
    <cellStyle name="Note 45 2" xfId="6883"/>
    <cellStyle name="Note 46" xfId="3854"/>
    <cellStyle name="Note 46 2" xfId="6884"/>
    <cellStyle name="Note 47" xfId="3855"/>
    <cellStyle name="Note 47 2" xfId="6885"/>
    <cellStyle name="Note 48" xfId="3856"/>
    <cellStyle name="Note 48 2" xfId="6886"/>
    <cellStyle name="Note 49" xfId="3857"/>
    <cellStyle name="Note 49 2" xfId="6887"/>
    <cellStyle name="Note 5" xfId="3858"/>
    <cellStyle name="Note 5 10" xfId="3859"/>
    <cellStyle name="Note 5 10 2" xfId="6888"/>
    <cellStyle name="Note 5 11" xfId="3860"/>
    <cellStyle name="Note 5 11 2" xfId="6889"/>
    <cellStyle name="Note 5 12" xfId="3861"/>
    <cellStyle name="Note 5 12 2" xfId="6890"/>
    <cellStyle name="Note 5 13" xfId="3862"/>
    <cellStyle name="Note 5 13 2" xfId="6891"/>
    <cellStyle name="Note 5 14" xfId="3863"/>
    <cellStyle name="Note 5 14 2" xfId="6892"/>
    <cellStyle name="Note 5 15" xfId="3864"/>
    <cellStyle name="Note 5 15 2" xfId="6893"/>
    <cellStyle name="Note 5 16" xfId="3865"/>
    <cellStyle name="Note 5 16 2" xfId="6894"/>
    <cellStyle name="Note 5 17" xfId="3866"/>
    <cellStyle name="Note 5 17 2" xfId="6895"/>
    <cellStyle name="Note 5 18" xfId="3867"/>
    <cellStyle name="Note 5 18 2" xfId="6896"/>
    <cellStyle name="Note 5 19" xfId="3868"/>
    <cellStyle name="Note 5 19 2" xfId="6897"/>
    <cellStyle name="Note 5 2" xfId="3869"/>
    <cellStyle name="Note 5 2 2" xfId="6898"/>
    <cellStyle name="Note 5 20" xfId="3870"/>
    <cellStyle name="Note 5 20 2" xfId="6899"/>
    <cellStyle name="Note 5 21" xfId="3871"/>
    <cellStyle name="Note 5 21 2" xfId="6900"/>
    <cellStyle name="Note 5 22" xfId="6901"/>
    <cellStyle name="Note 5 22 2" xfId="10940"/>
    <cellStyle name="Note 5 22 3" xfId="10480"/>
    <cellStyle name="Note 5 23" xfId="10788"/>
    <cellStyle name="Note 5 24" xfId="9403"/>
    <cellStyle name="Note 5 3" xfId="3872"/>
    <cellStyle name="Note 5 3 2" xfId="6902"/>
    <cellStyle name="Note 5 4" xfId="3873"/>
    <cellStyle name="Note 5 4 2" xfId="6903"/>
    <cellStyle name="Note 5 5" xfId="3874"/>
    <cellStyle name="Note 5 5 2" xfId="6904"/>
    <cellStyle name="Note 5 6" xfId="3875"/>
    <cellStyle name="Note 5 6 2" xfId="6905"/>
    <cellStyle name="Note 5 7" xfId="3876"/>
    <cellStyle name="Note 5 7 2" xfId="6906"/>
    <cellStyle name="Note 5 8" xfId="3877"/>
    <cellStyle name="Note 5 8 2" xfId="6907"/>
    <cellStyle name="Note 5 9" xfId="3878"/>
    <cellStyle name="Note 5 9 2" xfId="6908"/>
    <cellStyle name="Note 50" xfId="3879"/>
    <cellStyle name="Note 50 2" xfId="6909"/>
    <cellStyle name="Note 51" xfId="3880"/>
    <cellStyle name="Note 51 2" xfId="6910"/>
    <cellStyle name="Note 52" xfId="3881"/>
    <cellStyle name="Note 52 2" xfId="6911"/>
    <cellStyle name="Note 53" xfId="3882"/>
    <cellStyle name="Note 53 2" xfId="6912"/>
    <cellStyle name="Note 54" xfId="3883"/>
    <cellStyle name="Note 54 2" xfId="6913"/>
    <cellStyle name="Note 55" xfId="3884"/>
    <cellStyle name="Note 55 2" xfId="6914"/>
    <cellStyle name="Note 56" xfId="3885"/>
    <cellStyle name="Note 56 2" xfId="6915"/>
    <cellStyle name="Note 57" xfId="3886"/>
    <cellStyle name="Note 57 2" xfId="6916"/>
    <cellStyle name="Note 58" xfId="3887"/>
    <cellStyle name="Note 58 2" xfId="6917"/>
    <cellStyle name="Note 59" xfId="3888"/>
    <cellStyle name="Note 59 2" xfId="6918"/>
    <cellStyle name="Note 6" xfId="3889"/>
    <cellStyle name="Note 6 10" xfId="3890"/>
    <cellStyle name="Note 6 10 2" xfId="6919"/>
    <cellStyle name="Note 6 11" xfId="3891"/>
    <cellStyle name="Note 6 11 2" xfId="6920"/>
    <cellStyle name="Note 6 12" xfId="3892"/>
    <cellStyle name="Note 6 12 2" xfId="6921"/>
    <cellStyle name="Note 6 13" xfId="3893"/>
    <cellStyle name="Note 6 13 2" xfId="6922"/>
    <cellStyle name="Note 6 14" xfId="3894"/>
    <cellStyle name="Note 6 14 2" xfId="6923"/>
    <cellStyle name="Note 6 15" xfId="3895"/>
    <cellStyle name="Note 6 15 2" xfId="6924"/>
    <cellStyle name="Note 6 16" xfId="3896"/>
    <cellStyle name="Note 6 16 2" xfId="6925"/>
    <cellStyle name="Note 6 17" xfId="3897"/>
    <cellStyle name="Note 6 17 2" xfId="6926"/>
    <cellStyle name="Note 6 18" xfId="3898"/>
    <cellStyle name="Note 6 18 2" xfId="6927"/>
    <cellStyle name="Note 6 19" xfId="3899"/>
    <cellStyle name="Note 6 19 2" xfId="6928"/>
    <cellStyle name="Note 6 2" xfId="3900"/>
    <cellStyle name="Note 6 2 2" xfId="6929"/>
    <cellStyle name="Note 6 20" xfId="3901"/>
    <cellStyle name="Note 6 20 2" xfId="6930"/>
    <cellStyle name="Note 6 21" xfId="3902"/>
    <cellStyle name="Note 6 21 2" xfId="6931"/>
    <cellStyle name="Note 6 22" xfId="6932"/>
    <cellStyle name="Note 6 22 2" xfId="10941"/>
    <cellStyle name="Note 6 22 3" xfId="10481"/>
    <cellStyle name="Note 6 23" xfId="10789"/>
    <cellStyle name="Note 6 24" xfId="9404"/>
    <cellStyle name="Note 6 3" xfId="3903"/>
    <cellStyle name="Note 6 3 2" xfId="6933"/>
    <cellStyle name="Note 6 4" xfId="3904"/>
    <cellStyle name="Note 6 4 2" xfId="6934"/>
    <cellStyle name="Note 6 5" xfId="3905"/>
    <cellStyle name="Note 6 5 2" xfId="6935"/>
    <cellStyle name="Note 6 6" xfId="3906"/>
    <cellStyle name="Note 6 6 2" xfId="6936"/>
    <cellStyle name="Note 6 7" xfId="3907"/>
    <cellStyle name="Note 6 7 2" xfId="6937"/>
    <cellStyle name="Note 6 8" xfId="3908"/>
    <cellStyle name="Note 6 8 2" xfId="6938"/>
    <cellStyle name="Note 6 9" xfId="3909"/>
    <cellStyle name="Note 6 9 2" xfId="6939"/>
    <cellStyle name="Note 60" xfId="3910"/>
    <cellStyle name="Note 60 2" xfId="6940"/>
    <cellStyle name="Note 61" xfId="3911"/>
    <cellStyle name="Note 61 2" xfId="6941"/>
    <cellStyle name="Note 62" xfId="3912"/>
    <cellStyle name="Note 62 2" xfId="6942"/>
    <cellStyle name="Note 63" xfId="3913"/>
    <cellStyle name="Note 63 2" xfId="6943"/>
    <cellStyle name="Note 64" xfId="3914"/>
    <cellStyle name="Note 64 2" xfId="6944"/>
    <cellStyle name="Note 65" xfId="3915"/>
    <cellStyle name="Note 65 2" xfId="6945"/>
    <cellStyle name="Note 66" xfId="3916"/>
    <cellStyle name="Note 66 2" xfId="6946"/>
    <cellStyle name="Note 67" xfId="3917"/>
    <cellStyle name="Note 67 2" xfId="6947"/>
    <cellStyle name="Note 68" xfId="3918"/>
    <cellStyle name="Note 68 2" xfId="6948"/>
    <cellStyle name="Note 69" xfId="3919"/>
    <cellStyle name="Note 69 2" xfId="6949"/>
    <cellStyle name="Note 7" xfId="3920"/>
    <cellStyle name="Note 7 10" xfId="3921"/>
    <cellStyle name="Note 7 10 2" xfId="6950"/>
    <cellStyle name="Note 7 11" xfId="3922"/>
    <cellStyle name="Note 7 11 2" xfId="6951"/>
    <cellStyle name="Note 7 12" xfId="3923"/>
    <cellStyle name="Note 7 12 2" xfId="6952"/>
    <cellStyle name="Note 7 13" xfId="3924"/>
    <cellStyle name="Note 7 13 2" xfId="6953"/>
    <cellStyle name="Note 7 14" xfId="3925"/>
    <cellStyle name="Note 7 14 2" xfId="6954"/>
    <cellStyle name="Note 7 15" xfId="3926"/>
    <cellStyle name="Note 7 15 2" xfId="6955"/>
    <cellStyle name="Note 7 16" xfId="3927"/>
    <cellStyle name="Note 7 16 2" xfId="6956"/>
    <cellStyle name="Note 7 17" xfId="3928"/>
    <cellStyle name="Note 7 17 2" xfId="6957"/>
    <cellStyle name="Note 7 18" xfId="3929"/>
    <cellStyle name="Note 7 18 2" xfId="6958"/>
    <cellStyle name="Note 7 19" xfId="3930"/>
    <cellStyle name="Note 7 19 2" xfId="6959"/>
    <cellStyle name="Note 7 2" xfId="3931"/>
    <cellStyle name="Note 7 2 2" xfId="6960"/>
    <cellStyle name="Note 7 20" xfId="3932"/>
    <cellStyle name="Note 7 20 2" xfId="6961"/>
    <cellStyle name="Note 7 21" xfId="3933"/>
    <cellStyle name="Note 7 21 2" xfId="6962"/>
    <cellStyle name="Note 7 22" xfId="6963"/>
    <cellStyle name="Note 7 22 2" xfId="10942"/>
    <cellStyle name="Note 7 22 3" xfId="10482"/>
    <cellStyle name="Note 7 23" xfId="10860"/>
    <cellStyle name="Note 7 24" xfId="9405"/>
    <cellStyle name="Note 7 3" xfId="3934"/>
    <cellStyle name="Note 7 3 2" xfId="6964"/>
    <cellStyle name="Note 7 4" xfId="3935"/>
    <cellStyle name="Note 7 4 2" xfId="6965"/>
    <cellStyle name="Note 7 5" xfId="3936"/>
    <cellStyle name="Note 7 5 2" xfId="6966"/>
    <cellStyle name="Note 7 6" xfId="3937"/>
    <cellStyle name="Note 7 6 2" xfId="6967"/>
    <cellStyle name="Note 7 7" xfId="3938"/>
    <cellStyle name="Note 7 7 2" xfId="6968"/>
    <cellStyle name="Note 7 8" xfId="3939"/>
    <cellStyle name="Note 7 8 2" xfId="6969"/>
    <cellStyle name="Note 7 9" xfId="3940"/>
    <cellStyle name="Note 7 9 2" xfId="6970"/>
    <cellStyle name="Note 70" xfId="3941"/>
    <cellStyle name="Note 70 2" xfId="6971"/>
    <cellStyle name="Note 71" xfId="3942"/>
    <cellStyle name="Note 71 2" xfId="6972"/>
    <cellStyle name="Note 72" xfId="3943"/>
    <cellStyle name="Note 72 2" xfId="6973"/>
    <cellStyle name="Note 73" xfId="3944"/>
    <cellStyle name="Note 73 2" xfId="6974"/>
    <cellStyle name="Note 74" xfId="3945"/>
    <cellStyle name="Note 74 2" xfId="6975"/>
    <cellStyle name="Note 75" xfId="3946"/>
    <cellStyle name="Note 75 2" xfId="6976"/>
    <cellStyle name="Note 76" xfId="3947"/>
    <cellStyle name="Note 76 2" xfId="6977"/>
    <cellStyle name="Note 77" xfId="3948"/>
    <cellStyle name="Note 77 2" xfId="6978"/>
    <cellStyle name="Note 78" xfId="3949"/>
    <cellStyle name="Note 78 2" xfId="6979"/>
    <cellStyle name="Note 79" xfId="3950"/>
    <cellStyle name="Note 79 2" xfId="6980"/>
    <cellStyle name="Note 8" xfId="3951"/>
    <cellStyle name="Note 8 10" xfId="3952"/>
    <cellStyle name="Note 8 10 2" xfId="6981"/>
    <cellStyle name="Note 8 11" xfId="3953"/>
    <cellStyle name="Note 8 11 2" xfId="6982"/>
    <cellStyle name="Note 8 12" xfId="3954"/>
    <cellStyle name="Note 8 12 2" xfId="6983"/>
    <cellStyle name="Note 8 13" xfId="3955"/>
    <cellStyle name="Note 8 13 2" xfId="6984"/>
    <cellStyle name="Note 8 14" xfId="3956"/>
    <cellStyle name="Note 8 14 2" xfId="6985"/>
    <cellStyle name="Note 8 15" xfId="3957"/>
    <cellStyle name="Note 8 15 2" xfId="6986"/>
    <cellStyle name="Note 8 16" xfId="3958"/>
    <cellStyle name="Note 8 16 2" xfId="6987"/>
    <cellStyle name="Note 8 17" xfId="3959"/>
    <cellStyle name="Note 8 17 2" xfId="6988"/>
    <cellStyle name="Note 8 18" xfId="3960"/>
    <cellStyle name="Note 8 18 2" xfId="6989"/>
    <cellStyle name="Note 8 19" xfId="3961"/>
    <cellStyle name="Note 8 19 2" xfId="6990"/>
    <cellStyle name="Note 8 2" xfId="3962"/>
    <cellStyle name="Note 8 2 2" xfId="6991"/>
    <cellStyle name="Note 8 20" xfId="3963"/>
    <cellStyle name="Note 8 20 2" xfId="6992"/>
    <cellStyle name="Note 8 21" xfId="3964"/>
    <cellStyle name="Note 8 21 2" xfId="6993"/>
    <cellStyle name="Note 8 22" xfId="6994"/>
    <cellStyle name="Note 8 22 2" xfId="10943"/>
    <cellStyle name="Note 8 22 3" xfId="10483"/>
    <cellStyle name="Note 8 23" xfId="10790"/>
    <cellStyle name="Note 8 24" xfId="9406"/>
    <cellStyle name="Note 8 3" xfId="3965"/>
    <cellStyle name="Note 8 3 2" xfId="6995"/>
    <cellStyle name="Note 8 4" xfId="3966"/>
    <cellStyle name="Note 8 4 2" xfId="6996"/>
    <cellStyle name="Note 8 5" xfId="3967"/>
    <cellStyle name="Note 8 5 2" xfId="6997"/>
    <cellStyle name="Note 8 6" xfId="3968"/>
    <cellStyle name="Note 8 6 2" xfId="6998"/>
    <cellStyle name="Note 8 7" xfId="3969"/>
    <cellStyle name="Note 8 7 2" xfId="6999"/>
    <cellStyle name="Note 8 8" xfId="3970"/>
    <cellStyle name="Note 8 8 2" xfId="7000"/>
    <cellStyle name="Note 8 9" xfId="3971"/>
    <cellStyle name="Note 8 9 2" xfId="7001"/>
    <cellStyle name="Note 80" xfId="3972"/>
    <cellStyle name="Note 80 2" xfId="7002"/>
    <cellStyle name="Note 81" xfId="3973"/>
    <cellStyle name="Note 81 2" xfId="7003"/>
    <cellStyle name="Note 82" xfId="3974"/>
    <cellStyle name="Note 82 2" xfId="7004"/>
    <cellStyle name="Note 83" xfId="3975"/>
    <cellStyle name="Note 83 2" xfId="7005"/>
    <cellStyle name="Note 84" xfId="3976"/>
    <cellStyle name="Note 84 2" xfId="7006"/>
    <cellStyle name="Note 85" xfId="3977"/>
    <cellStyle name="Note 85 2" xfId="7007"/>
    <cellStyle name="Note 86" xfId="3978"/>
    <cellStyle name="Note 86 2" xfId="7008"/>
    <cellStyle name="Note 87" xfId="3979"/>
    <cellStyle name="Note 87 2" xfId="7009"/>
    <cellStyle name="Note 88" xfId="3980"/>
    <cellStyle name="Note 88 2" xfId="7010"/>
    <cellStyle name="Note 89" xfId="3981"/>
    <cellStyle name="Note 89 2" xfId="7011"/>
    <cellStyle name="Note 9" xfId="3982"/>
    <cellStyle name="Note 9 10" xfId="3983"/>
    <cellStyle name="Note 9 10 2" xfId="7012"/>
    <cellStyle name="Note 9 11" xfId="3984"/>
    <cellStyle name="Note 9 11 2" xfId="7013"/>
    <cellStyle name="Note 9 12" xfId="3985"/>
    <cellStyle name="Note 9 12 2" xfId="7014"/>
    <cellStyle name="Note 9 13" xfId="3986"/>
    <cellStyle name="Note 9 13 2" xfId="7015"/>
    <cellStyle name="Note 9 14" xfId="3987"/>
    <cellStyle name="Note 9 14 2" xfId="7016"/>
    <cellStyle name="Note 9 15" xfId="3988"/>
    <cellStyle name="Note 9 15 2" xfId="7017"/>
    <cellStyle name="Note 9 16" xfId="3989"/>
    <cellStyle name="Note 9 16 2" xfId="7018"/>
    <cellStyle name="Note 9 17" xfId="3990"/>
    <cellStyle name="Note 9 17 2" xfId="7019"/>
    <cellStyle name="Note 9 18" xfId="3991"/>
    <cellStyle name="Note 9 18 2" xfId="7020"/>
    <cellStyle name="Note 9 19" xfId="3992"/>
    <cellStyle name="Note 9 19 2" xfId="7021"/>
    <cellStyle name="Note 9 2" xfId="3993"/>
    <cellStyle name="Note 9 2 2" xfId="7022"/>
    <cellStyle name="Note 9 20" xfId="3994"/>
    <cellStyle name="Note 9 20 2" xfId="7023"/>
    <cellStyle name="Note 9 21" xfId="3995"/>
    <cellStyle name="Note 9 21 2" xfId="7024"/>
    <cellStyle name="Note 9 22" xfId="7025"/>
    <cellStyle name="Note 9 22 2" xfId="10944"/>
    <cellStyle name="Note 9 22 3" xfId="10484"/>
    <cellStyle name="Note 9 23" xfId="10791"/>
    <cellStyle name="Note 9 24" xfId="9407"/>
    <cellStyle name="Note 9 3" xfId="3996"/>
    <cellStyle name="Note 9 3 2" xfId="7026"/>
    <cellStyle name="Note 9 4" xfId="3997"/>
    <cellStyle name="Note 9 4 2" xfId="7027"/>
    <cellStyle name="Note 9 5" xfId="3998"/>
    <cellStyle name="Note 9 5 2" xfId="7028"/>
    <cellStyle name="Note 9 6" xfId="3999"/>
    <cellStyle name="Note 9 6 2" xfId="7029"/>
    <cellStyle name="Note 9 7" xfId="4000"/>
    <cellStyle name="Note 9 7 2" xfId="7030"/>
    <cellStyle name="Note 9 8" xfId="4001"/>
    <cellStyle name="Note 9 8 2" xfId="7031"/>
    <cellStyle name="Note 9 9" xfId="4002"/>
    <cellStyle name="Note 9 9 2" xfId="7032"/>
    <cellStyle name="Note 90" xfId="4003"/>
    <cellStyle name="Note 90 2" xfId="7033"/>
    <cellStyle name="Note 91" xfId="4004"/>
    <cellStyle name="Note 91 2" xfId="7034"/>
    <cellStyle name="Note 92" xfId="4005"/>
    <cellStyle name="Note 92 2" xfId="7035"/>
    <cellStyle name="Note 93" xfId="4006"/>
    <cellStyle name="Note 93 2" xfId="7036"/>
    <cellStyle name="Note 94" xfId="4007"/>
    <cellStyle name="Note 94 2" xfId="7037"/>
    <cellStyle name="Note 95" xfId="4008"/>
    <cellStyle name="Note 95 2" xfId="7038"/>
    <cellStyle name="Note 96" xfId="4009"/>
    <cellStyle name="Note 96 2" xfId="7039"/>
    <cellStyle name="Note 97" xfId="4010"/>
    <cellStyle name="Note 97 2" xfId="7040"/>
    <cellStyle name="Note 98" xfId="4011"/>
    <cellStyle name="Note 98 2" xfId="7041"/>
    <cellStyle name="Note 99" xfId="4012"/>
    <cellStyle name="Note 99 2" xfId="7042"/>
    <cellStyle name="NUMBER" xfId="4013"/>
    <cellStyle name="NUMBER 2" xfId="9408"/>
    <cellStyle name="Œ…‹æØ‚è [0.00]_guyan" xfId="4014"/>
    <cellStyle name="Œ…‹æØ‚è_guyan" xfId="4015"/>
    <cellStyle name="Omet" xfId="4016"/>
    <cellStyle name="Omet 2" xfId="7043"/>
    <cellStyle name="Output 2" xfId="4017"/>
    <cellStyle name="Output 2 2" xfId="7044"/>
    <cellStyle name="Output 2 2 2" xfId="10485"/>
    <cellStyle name="Output 2 3" xfId="9409"/>
    <cellStyle name="Output 3" xfId="4018"/>
    <cellStyle name="Output 3 2" xfId="7045"/>
    <cellStyle name="Output Amounts" xfId="4019"/>
    <cellStyle name="Output Column Headings" xfId="4020"/>
    <cellStyle name="Output Column Headings 2" xfId="7046"/>
    <cellStyle name="Output Line Items" xfId="4021"/>
    <cellStyle name="Output Line Items 2" xfId="7047"/>
    <cellStyle name="Output Report Heading" xfId="4022"/>
    <cellStyle name="Output Report Heading 2" xfId="7048"/>
    <cellStyle name="Output Report Title" xfId="4023"/>
    <cellStyle name="Output Report Title 2" xfId="7049"/>
    <cellStyle name="Page Number" xfId="4024"/>
    <cellStyle name="per.style" xfId="4025"/>
    <cellStyle name="Percent" xfId="4736" builtinId="5"/>
    <cellStyle name="Percent (0)" xfId="4026"/>
    <cellStyle name="Percent (0) 10" xfId="4027"/>
    <cellStyle name="Percent (0) 10 2" xfId="9411"/>
    <cellStyle name="Percent (0) 11" xfId="4028"/>
    <cellStyle name="Percent (0) 11 2" xfId="9412"/>
    <cellStyle name="Percent (0) 12" xfId="4029"/>
    <cellStyle name="Percent (0) 12 2" xfId="9413"/>
    <cellStyle name="Percent (0) 13" xfId="4030"/>
    <cellStyle name="Percent (0) 13 2" xfId="9414"/>
    <cellStyle name="Percent (0) 14" xfId="4031"/>
    <cellStyle name="Percent (0) 14 2" xfId="9415"/>
    <cellStyle name="Percent (0) 15" xfId="4032"/>
    <cellStyle name="Percent (0) 15 2" xfId="9416"/>
    <cellStyle name="Percent (0) 16" xfId="4033"/>
    <cellStyle name="Percent (0) 16 2" xfId="9417"/>
    <cellStyle name="Percent (0) 17" xfId="4034"/>
    <cellStyle name="Percent (0) 17 2" xfId="9418"/>
    <cellStyle name="Percent (0) 18" xfId="4035"/>
    <cellStyle name="Percent (0) 18 2" xfId="9419"/>
    <cellStyle name="Percent (0) 19" xfId="4036"/>
    <cellStyle name="Percent (0) 19 2" xfId="9420"/>
    <cellStyle name="Percent (0) 2" xfId="4037"/>
    <cellStyle name="Percent (0) 2 2" xfId="9421"/>
    <cellStyle name="Percent (0) 20" xfId="4038"/>
    <cellStyle name="Percent (0) 20 2" xfId="9422"/>
    <cellStyle name="Percent (0) 21" xfId="4039"/>
    <cellStyle name="Percent (0) 21 2" xfId="9423"/>
    <cellStyle name="Percent (0) 22" xfId="9410"/>
    <cellStyle name="Percent (0) 3" xfId="4040"/>
    <cellStyle name="Percent (0) 3 2" xfId="9424"/>
    <cellStyle name="Percent (0) 4" xfId="4041"/>
    <cellStyle name="Percent (0) 4 2" xfId="9425"/>
    <cellStyle name="Percent (0) 5" xfId="4042"/>
    <cellStyle name="Percent (0) 5 2" xfId="9426"/>
    <cellStyle name="Percent (0) 6" xfId="4043"/>
    <cellStyle name="Percent (0) 6 2" xfId="9427"/>
    <cellStyle name="Percent (0) 7" xfId="4044"/>
    <cellStyle name="Percent (0) 7 2" xfId="9428"/>
    <cellStyle name="Percent (0) 8" xfId="4045"/>
    <cellStyle name="Percent (0) 8 2" xfId="9429"/>
    <cellStyle name="Percent (0) 9" xfId="4046"/>
    <cellStyle name="Percent (0) 9 2" xfId="9430"/>
    <cellStyle name="Percent [0]" xfId="4047"/>
    <cellStyle name="Percent [00]" xfId="4048"/>
    <cellStyle name="Percent [00] 2" xfId="9431"/>
    <cellStyle name="Percent [2]" xfId="4049"/>
    <cellStyle name="Percent [2] 10" xfId="4050"/>
    <cellStyle name="Percent [2] 10 2" xfId="9433"/>
    <cellStyle name="Percent [2] 11" xfId="4051"/>
    <cellStyle name="Percent [2] 11 2" xfId="9434"/>
    <cellStyle name="Percent [2] 12" xfId="4052"/>
    <cellStyle name="Percent [2] 12 2" xfId="9435"/>
    <cellStyle name="Percent [2] 13" xfId="4053"/>
    <cellStyle name="Percent [2] 13 2" xfId="9436"/>
    <cellStyle name="Percent [2] 14" xfId="4054"/>
    <cellStyle name="Percent [2] 14 2" xfId="9437"/>
    <cellStyle name="Percent [2] 15" xfId="4055"/>
    <cellStyle name="Percent [2] 15 2" xfId="9438"/>
    <cellStyle name="Percent [2] 16" xfId="4056"/>
    <cellStyle name="Percent [2] 16 2" xfId="9439"/>
    <cellStyle name="Percent [2] 17" xfId="4057"/>
    <cellStyle name="Percent [2] 17 2" xfId="9440"/>
    <cellStyle name="Percent [2] 18" xfId="4058"/>
    <cellStyle name="Percent [2] 18 2" xfId="9441"/>
    <cellStyle name="Percent [2] 19" xfId="4059"/>
    <cellStyle name="Percent [2] 19 2" xfId="9442"/>
    <cellStyle name="Percent [2] 2" xfId="4060"/>
    <cellStyle name="Percent [2] 2 2" xfId="9443"/>
    <cellStyle name="Percent [2] 20" xfId="4061"/>
    <cellStyle name="Percent [2] 20 2" xfId="9444"/>
    <cellStyle name="Percent [2] 21" xfId="4062"/>
    <cellStyle name="Percent [2] 21 2" xfId="9445"/>
    <cellStyle name="Percent [2] 22" xfId="4063"/>
    <cellStyle name="Percent [2] 22 2" xfId="9446"/>
    <cellStyle name="Percent [2] 23" xfId="4064"/>
    <cellStyle name="Percent [2] 23 2" xfId="9447"/>
    <cellStyle name="Percent [2] 24" xfId="4065"/>
    <cellStyle name="Percent [2] 24 2" xfId="9448"/>
    <cellStyle name="Percent [2] 25" xfId="4066"/>
    <cellStyle name="Percent [2] 25 2" xfId="9449"/>
    <cellStyle name="Percent [2] 26" xfId="4067"/>
    <cellStyle name="Percent [2] 26 2" xfId="9450"/>
    <cellStyle name="Percent [2] 27" xfId="9432"/>
    <cellStyle name="Percent [2] 3" xfId="4068"/>
    <cellStyle name="Percent [2] 3 2" xfId="9451"/>
    <cellStyle name="Percent [2] 4" xfId="4069"/>
    <cellStyle name="Percent [2] 4 2" xfId="9452"/>
    <cellStyle name="Percent [2] 5" xfId="4070"/>
    <cellStyle name="Percent [2] 5 2" xfId="9453"/>
    <cellStyle name="Percent [2] 6" xfId="4071"/>
    <cellStyle name="Percent [2] 6 2" xfId="9454"/>
    <cellStyle name="Percent [2] 7" xfId="4072"/>
    <cellStyle name="Percent [2] 7 2" xfId="9455"/>
    <cellStyle name="Percent [2] 8" xfId="4073"/>
    <cellStyle name="Percent [2] 8 2" xfId="9456"/>
    <cellStyle name="Percent [2] 9" xfId="4074"/>
    <cellStyle name="Percent [2] 9 2" xfId="9457"/>
    <cellStyle name="Percent 10" xfId="4075"/>
    <cellStyle name="Percent 10 2" xfId="4076"/>
    <cellStyle name="Percent 10 3" xfId="7050"/>
    <cellStyle name="Percent 10 3 2" xfId="10486"/>
    <cellStyle name="Percent 10 4" xfId="9458"/>
    <cellStyle name="Percent 11" xfId="4077"/>
    <cellStyle name="Percent 11 2" xfId="9459"/>
    <cellStyle name="Percent 12" xfId="7051"/>
    <cellStyle name="Percent 12 2" xfId="7694"/>
    <cellStyle name="Percent 13" xfId="7327"/>
    <cellStyle name="Percent 13 2" xfId="10906"/>
    <cellStyle name="Percent 13 3" xfId="9842"/>
    <cellStyle name="Percent 14" xfId="7579"/>
    <cellStyle name="Percent 14 2" xfId="10767"/>
    <cellStyle name="Percent 15" xfId="7739"/>
    <cellStyle name="Percent 15 2" xfId="10913"/>
    <cellStyle name="Percent 16" xfId="7749"/>
    <cellStyle name="Percent 16 2" xfId="10914"/>
    <cellStyle name="Percent 17" xfId="7712"/>
    <cellStyle name="Percent 17 2" xfId="10910"/>
    <cellStyle name="Percent 18" xfId="10899"/>
    <cellStyle name="Percent 19" xfId="10853"/>
    <cellStyle name="Percent 2" xfId="5"/>
    <cellStyle name="Percent 2 10" xfId="4078"/>
    <cellStyle name="Percent 2 11" xfId="4079"/>
    <cellStyle name="Percent 2 12" xfId="4080"/>
    <cellStyle name="Percent 2 13" xfId="4081"/>
    <cellStyle name="Percent 2 14" xfId="4082"/>
    <cellStyle name="Percent 2 15" xfId="4083"/>
    <cellStyle name="Percent 2 16" xfId="4084"/>
    <cellStyle name="Percent 2 17" xfId="4085"/>
    <cellStyle name="Percent 2 18" xfId="4086"/>
    <cellStyle name="Percent 2 19" xfId="4087"/>
    <cellStyle name="Percent 2 2" xfId="7"/>
    <cellStyle name="Percent 2 2 2" xfId="7784"/>
    <cellStyle name="Percent 2 20" xfId="4088"/>
    <cellStyle name="Percent 2 21" xfId="4089"/>
    <cellStyle name="Percent 2 22" xfId="4090"/>
    <cellStyle name="Percent 2 23" xfId="4091"/>
    <cellStyle name="Percent 2 23 2" xfId="7052"/>
    <cellStyle name="Percent 2 23 2 2" xfId="7695"/>
    <cellStyle name="Percent 2 23 2 2 2" xfId="11275"/>
    <cellStyle name="Percent 2 23 2 3" xfId="11117"/>
    <cellStyle name="Percent 2 23 3" xfId="7551"/>
    <cellStyle name="Percent 2 23 3 2" xfId="11211"/>
    <cellStyle name="Percent 2 23 4" xfId="11051"/>
    <cellStyle name="Percent 2 24" xfId="7783"/>
    <cellStyle name="Percent 2 3" xfId="4092"/>
    <cellStyle name="Percent 2 4" xfId="4093"/>
    <cellStyle name="Percent 2 5" xfId="4094"/>
    <cellStyle name="Percent 2 6" xfId="4095"/>
    <cellStyle name="Percent 2 7" xfId="4096"/>
    <cellStyle name="Percent 2 8" xfId="4097"/>
    <cellStyle name="Percent 2 9" xfId="4098"/>
    <cellStyle name="Percent 20" xfId="11056"/>
    <cellStyle name="Percent 21" xfId="11284"/>
    <cellStyle name="Percent 22" xfId="11351"/>
    <cellStyle name="Percent 23" xfId="11278"/>
    <cellStyle name="Percent 3" xfId="4099"/>
    <cellStyle name="Percent 3 10" xfId="4100"/>
    <cellStyle name="Percent 3 11" xfId="4101"/>
    <cellStyle name="Percent 3 12" xfId="4102"/>
    <cellStyle name="Percent 3 13" xfId="4103"/>
    <cellStyle name="Percent 3 14" xfId="4104"/>
    <cellStyle name="Percent 3 15" xfId="4105"/>
    <cellStyle name="Percent 3 16" xfId="4106"/>
    <cellStyle name="Percent 3 17" xfId="4107"/>
    <cellStyle name="Percent 3 18" xfId="4108"/>
    <cellStyle name="Percent 3 19" xfId="4109"/>
    <cellStyle name="Percent 3 2" xfId="4110"/>
    <cellStyle name="Percent 3 20" xfId="4111"/>
    <cellStyle name="Percent 3 21" xfId="4112"/>
    <cellStyle name="Percent 3 22" xfId="4113"/>
    <cellStyle name="Percent 3 22 2" xfId="9460"/>
    <cellStyle name="Percent 3 23" xfId="7785"/>
    <cellStyle name="Percent 3 24" xfId="7552"/>
    <cellStyle name="Percent 3 3" xfId="4114"/>
    <cellStyle name="Percent 3 4" xfId="4115"/>
    <cellStyle name="Percent 3 5" xfId="4116"/>
    <cellStyle name="Percent 3 6" xfId="4117"/>
    <cellStyle name="Percent 3 7" xfId="4118"/>
    <cellStyle name="Percent 3 8" xfId="4119"/>
    <cellStyle name="Percent 3 9" xfId="4120"/>
    <cellStyle name="Percent 4" xfId="4121"/>
    <cellStyle name="Percent 4 2" xfId="4122"/>
    <cellStyle name="Percent 4 2 2" xfId="9461"/>
    <cellStyle name="Percent 4 3" xfId="4123"/>
    <cellStyle name="Percent 4 3 2" xfId="7554"/>
    <cellStyle name="Percent 4 3 2 2" xfId="11213"/>
    <cellStyle name="Percent 4 3 3" xfId="11053"/>
    <cellStyle name="Percent 4 4" xfId="7553"/>
    <cellStyle name="Percent 4 4 2" xfId="11212"/>
    <cellStyle name="Percent 4 5" xfId="11052"/>
    <cellStyle name="Percent 5" xfId="4124"/>
    <cellStyle name="Percent 5 10" xfId="4125"/>
    <cellStyle name="Percent 5 10 2" xfId="9462"/>
    <cellStyle name="Percent 5 11" xfId="4126"/>
    <cellStyle name="Percent 5 11 2" xfId="9463"/>
    <cellStyle name="Percent 5 12" xfId="4127"/>
    <cellStyle name="Percent 5 12 2" xfId="9464"/>
    <cellStyle name="Percent 5 13" xfId="4128"/>
    <cellStyle name="Percent 5 13 2" xfId="9465"/>
    <cellStyle name="Percent 5 14" xfId="4129"/>
    <cellStyle name="Percent 5 14 2" xfId="9466"/>
    <cellStyle name="Percent 5 15" xfId="4130"/>
    <cellStyle name="Percent 5 15 2" xfId="9467"/>
    <cellStyle name="Percent 5 16" xfId="4131"/>
    <cellStyle name="Percent 5 16 2" xfId="9468"/>
    <cellStyle name="Percent 5 17" xfId="4132"/>
    <cellStyle name="Percent 5 17 2" xfId="9469"/>
    <cellStyle name="Percent 5 18" xfId="4133"/>
    <cellStyle name="Percent 5 18 2" xfId="9470"/>
    <cellStyle name="Percent 5 19" xfId="4134"/>
    <cellStyle name="Percent 5 19 2" xfId="9471"/>
    <cellStyle name="Percent 5 2" xfId="4135"/>
    <cellStyle name="Percent 5 2 2" xfId="9472"/>
    <cellStyle name="Percent 5 20" xfId="4136"/>
    <cellStyle name="Percent 5 20 2" xfId="9473"/>
    <cellStyle name="Percent 5 21" xfId="4137"/>
    <cellStyle name="Percent 5 21 2" xfId="9474"/>
    <cellStyle name="Percent 5 22" xfId="4138"/>
    <cellStyle name="Percent 5 22 2" xfId="9475"/>
    <cellStyle name="Percent 5 23" xfId="4139"/>
    <cellStyle name="Percent 5 23 2" xfId="9476"/>
    <cellStyle name="Percent 5 24" xfId="4140"/>
    <cellStyle name="Percent 5 24 2" xfId="9477"/>
    <cellStyle name="Percent 5 25" xfId="4141"/>
    <cellStyle name="Percent 5 25 2" xfId="9478"/>
    <cellStyle name="Percent 5 26" xfId="4142"/>
    <cellStyle name="Percent 5 26 2" xfId="9479"/>
    <cellStyle name="Percent 5 27" xfId="4143"/>
    <cellStyle name="Percent 5 28" xfId="4144"/>
    <cellStyle name="Percent 5 29" xfId="4145"/>
    <cellStyle name="Percent 5 3" xfId="4146"/>
    <cellStyle name="Percent 5 3 2" xfId="9480"/>
    <cellStyle name="Percent 5 30" xfId="4147"/>
    <cellStyle name="Percent 5 31" xfId="4148"/>
    <cellStyle name="Percent 5 32" xfId="4149"/>
    <cellStyle name="Percent 5 33" xfId="4150"/>
    <cellStyle name="Percent 5 34" xfId="4151"/>
    <cellStyle name="Percent 5 35" xfId="4152"/>
    <cellStyle name="Percent 5 36" xfId="4153"/>
    <cellStyle name="Percent 5 37" xfId="4154"/>
    <cellStyle name="Percent 5 38" xfId="4155"/>
    <cellStyle name="Percent 5 39" xfId="4156"/>
    <cellStyle name="Percent 5 4" xfId="4157"/>
    <cellStyle name="Percent 5 4 2" xfId="9481"/>
    <cellStyle name="Percent 5 40" xfId="4158"/>
    <cellStyle name="Percent 5 41" xfId="4159"/>
    <cellStyle name="Percent 5 42" xfId="4160"/>
    <cellStyle name="Percent 5 42 2" xfId="4161"/>
    <cellStyle name="Percent 5 42 3" xfId="7053"/>
    <cellStyle name="Percent 5 42 3 2" xfId="10487"/>
    <cellStyle name="Percent 5 42 4" xfId="9482"/>
    <cellStyle name="Percent 5 43" xfId="4162"/>
    <cellStyle name="Percent 5 43 2" xfId="4163"/>
    <cellStyle name="Percent 5 43 3" xfId="7054"/>
    <cellStyle name="Percent 5 43 3 2" xfId="10488"/>
    <cellStyle name="Percent 5 43 4" xfId="9483"/>
    <cellStyle name="Percent 5 44" xfId="4164"/>
    <cellStyle name="Percent 5 44 2" xfId="4165"/>
    <cellStyle name="Percent 5 44 3" xfId="7055"/>
    <cellStyle name="Percent 5 44 3 2" xfId="10489"/>
    <cellStyle name="Percent 5 44 4" xfId="9484"/>
    <cellStyle name="Percent 5 45" xfId="4166"/>
    <cellStyle name="Percent 5 45 2" xfId="4167"/>
    <cellStyle name="Percent 5 45 3" xfId="7056"/>
    <cellStyle name="Percent 5 45 3 2" xfId="10490"/>
    <cellStyle name="Percent 5 45 4" xfId="9485"/>
    <cellStyle name="Percent 5 46" xfId="4168"/>
    <cellStyle name="Percent 5 46 2" xfId="4169"/>
    <cellStyle name="Percent 5 46 3" xfId="7057"/>
    <cellStyle name="Percent 5 46 3 2" xfId="10491"/>
    <cellStyle name="Percent 5 46 4" xfId="9486"/>
    <cellStyle name="Percent 5 47" xfId="7555"/>
    <cellStyle name="Percent 5 47 2" xfId="11214"/>
    <cellStyle name="Percent 5 48" xfId="11054"/>
    <cellStyle name="Percent 5 5" xfId="4170"/>
    <cellStyle name="Percent 5 5 2" xfId="4171"/>
    <cellStyle name="Percent 5 5 2 2" xfId="9488"/>
    <cellStyle name="Percent 5 5 3" xfId="7058"/>
    <cellStyle name="Percent 5 5 3 2" xfId="10492"/>
    <cellStyle name="Percent 5 5 4" xfId="9487"/>
    <cellStyle name="Percent 5 6" xfId="4172"/>
    <cellStyle name="Percent 5 6 2" xfId="4173"/>
    <cellStyle name="Percent 5 6 2 2" xfId="9490"/>
    <cellStyle name="Percent 5 6 3" xfId="7059"/>
    <cellStyle name="Percent 5 6 3 2" xfId="10493"/>
    <cellStyle name="Percent 5 6 4" xfId="9489"/>
    <cellStyle name="Percent 5 7" xfId="4174"/>
    <cellStyle name="Percent 5 7 2" xfId="4175"/>
    <cellStyle name="Percent 5 7 2 2" xfId="9492"/>
    <cellStyle name="Percent 5 7 3" xfId="7060"/>
    <cellStyle name="Percent 5 7 3 2" xfId="10494"/>
    <cellStyle name="Percent 5 7 4" xfId="9491"/>
    <cellStyle name="Percent 5 8" xfId="4176"/>
    <cellStyle name="Percent 5 8 2" xfId="4177"/>
    <cellStyle name="Percent 5 8 2 2" xfId="9494"/>
    <cellStyle name="Percent 5 8 3" xfId="7061"/>
    <cellStyle name="Percent 5 8 3 2" xfId="10495"/>
    <cellStyle name="Percent 5 8 4" xfId="9493"/>
    <cellStyle name="Percent 5 9" xfId="4178"/>
    <cellStyle name="Percent 5 9 2" xfId="4179"/>
    <cellStyle name="Percent 5 9 2 2" xfId="9496"/>
    <cellStyle name="Percent 5 9 3" xfId="7062"/>
    <cellStyle name="Percent 5 9 3 2" xfId="10496"/>
    <cellStyle name="Percent 5 9 4" xfId="9495"/>
    <cellStyle name="Percent 6" xfId="4180"/>
    <cellStyle name="Percent 6 10" xfId="4181"/>
    <cellStyle name="Percent 6 10 2" xfId="4182"/>
    <cellStyle name="Percent 6 10 2 2" xfId="9498"/>
    <cellStyle name="Percent 6 10 3" xfId="7063"/>
    <cellStyle name="Percent 6 10 3 2" xfId="10497"/>
    <cellStyle name="Percent 6 10 4" xfId="9497"/>
    <cellStyle name="Percent 6 11" xfId="4183"/>
    <cellStyle name="Percent 6 11 2" xfId="4184"/>
    <cellStyle name="Percent 6 11 2 2" xfId="9500"/>
    <cellStyle name="Percent 6 11 3" xfId="7064"/>
    <cellStyle name="Percent 6 11 3 2" xfId="10498"/>
    <cellStyle name="Percent 6 11 4" xfId="9499"/>
    <cellStyle name="Percent 6 12" xfId="4185"/>
    <cellStyle name="Percent 6 12 2" xfId="4186"/>
    <cellStyle name="Percent 6 12 2 2" xfId="9502"/>
    <cellStyle name="Percent 6 12 3" xfId="7065"/>
    <cellStyle name="Percent 6 12 3 2" xfId="10499"/>
    <cellStyle name="Percent 6 12 4" xfId="9501"/>
    <cellStyle name="Percent 6 13" xfId="4187"/>
    <cellStyle name="Percent 6 13 2" xfId="4188"/>
    <cellStyle name="Percent 6 13 2 2" xfId="9504"/>
    <cellStyle name="Percent 6 13 3" xfId="7066"/>
    <cellStyle name="Percent 6 13 3 2" xfId="10500"/>
    <cellStyle name="Percent 6 13 4" xfId="9503"/>
    <cellStyle name="Percent 6 14" xfId="4189"/>
    <cellStyle name="Percent 6 14 2" xfId="4190"/>
    <cellStyle name="Percent 6 14 2 2" xfId="9506"/>
    <cellStyle name="Percent 6 14 3" xfId="7067"/>
    <cellStyle name="Percent 6 14 3 2" xfId="10501"/>
    <cellStyle name="Percent 6 14 4" xfId="9505"/>
    <cellStyle name="Percent 6 15" xfId="4191"/>
    <cellStyle name="Percent 6 15 2" xfId="4192"/>
    <cellStyle name="Percent 6 15 2 2" xfId="9508"/>
    <cellStyle name="Percent 6 15 3" xfId="7068"/>
    <cellStyle name="Percent 6 15 3 2" xfId="10502"/>
    <cellStyle name="Percent 6 15 4" xfId="9507"/>
    <cellStyle name="Percent 6 16" xfId="4193"/>
    <cellStyle name="Percent 6 16 2" xfId="4194"/>
    <cellStyle name="Percent 6 16 2 2" xfId="9510"/>
    <cellStyle name="Percent 6 16 3" xfId="7069"/>
    <cellStyle name="Percent 6 16 3 2" xfId="10503"/>
    <cellStyle name="Percent 6 16 4" xfId="9509"/>
    <cellStyle name="Percent 6 17" xfId="4195"/>
    <cellStyle name="Percent 6 17 2" xfId="4196"/>
    <cellStyle name="Percent 6 17 2 2" xfId="9512"/>
    <cellStyle name="Percent 6 17 3" xfId="7070"/>
    <cellStyle name="Percent 6 17 3 2" xfId="10504"/>
    <cellStyle name="Percent 6 17 4" xfId="9511"/>
    <cellStyle name="Percent 6 18" xfId="4197"/>
    <cellStyle name="Percent 6 18 2" xfId="4198"/>
    <cellStyle name="Percent 6 18 2 2" xfId="9514"/>
    <cellStyle name="Percent 6 18 3" xfId="7071"/>
    <cellStyle name="Percent 6 18 3 2" xfId="10505"/>
    <cellStyle name="Percent 6 18 4" xfId="9513"/>
    <cellStyle name="Percent 6 19" xfId="4199"/>
    <cellStyle name="Percent 6 19 2" xfId="4200"/>
    <cellStyle name="Percent 6 19 2 2" xfId="9516"/>
    <cellStyle name="Percent 6 19 3" xfId="7072"/>
    <cellStyle name="Percent 6 19 3 2" xfId="10506"/>
    <cellStyle name="Percent 6 19 4" xfId="9515"/>
    <cellStyle name="Percent 6 2" xfId="4201"/>
    <cellStyle name="Percent 6 2 2" xfId="4202"/>
    <cellStyle name="Percent 6 2 2 2" xfId="9518"/>
    <cellStyle name="Percent 6 2 3" xfId="7073"/>
    <cellStyle name="Percent 6 2 3 2" xfId="10507"/>
    <cellStyle name="Percent 6 2 4" xfId="9517"/>
    <cellStyle name="Percent 6 20" xfId="4203"/>
    <cellStyle name="Percent 6 20 2" xfId="4204"/>
    <cellStyle name="Percent 6 20 2 2" xfId="9520"/>
    <cellStyle name="Percent 6 20 3" xfId="7074"/>
    <cellStyle name="Percent 6 20 3 2" xfId="10508"/>
    <cellStyle name="Percent 6 20 4" xfId="9519"/>
    <cellStyle name="Percent 6 21" xfId="4205"/>
    <cellStyle name="Percent 6 21 2" xfId="4206"/>
    <cellStyle name="Percent 6 21 2 2" xfId="9522"/>
    <cellStyle name="Percent 6 21 3" xfId="7075"/>
    <cellStyle name="Percent 6 21 3 2" xfId="10509"/>
    <cellStyle name="Percent 6 21 4" xfId="9521"/>
    <cellStyle name="Percent 6 22" xfId="4207"/>
    <cellStyle name="Percent 6 22 2" xfId="4208"/>
    <cellStyle name="Percent 6 22 2 2" xfId="9524"/>
    <cellStyle name="Percent 6 22 3" xfId="7076"/>
    <cellStyle name="Percent 6 22 3 2" xfId="10510"/>
    <cellStyle name="Percent 6 22 4" xfId="9523"/>
    <cellStyle name="Percent 6 23" xfId="4209"/>
    <cellStyle name="Percent 6 23 2" xfId="4210"/>
    <cellStyle name="Percent 6 23 2 2" xfId="9526"/>
    <cellStyle name="Percent 6 23 3" xfId="7077"/>
    <cellStyle name="Percent 6 23 3 2" xfId="10511"/>
    <cellStyle name="Percent 6 23 4" xfId="9525"/>
    <cellStyle name="Percent 6 24" xfId="4211"/>
    <cellStyle name="Percent 6 24 2" xfId="4212"/>
    <cellStyle name="Percent 6 24 2 2" xfId="9528"/>
    <cellStyle name="Percent 6 24 3" xfId="7078"/>
    <cellStyle name="Percent 6 24 3 2" xfId="10512"/>
    <cellStyle name="Percent 6 24 4" xfId="9527"/>
    <cellStyle name="Percent 6 25" xfId="4213"/>
    <cellStyle name="Percent 6 25 2" xfId="4214"/>
    <cellStyle name="Percent 6 25 2 2" xfId="9530"/>
    <cellStyle name="Percent 6 25 3" xfId="7079"/>
    <cellStyle name="Percent 6 25 3 2" xfId="10513"/>
    <cellStyle name="Percent 6 25 4" xfId="9529"/>
    <cellStyle name="Percent 6 26" xfId="4215"/>
    <cellStyle name="Percent 6 26 2" xfId="4216"/>
    <cellStyle name="Percent 6 26 2 2" xfId="9532"/>
    <cellStyle name="Percent 6 26 3" xfId="7080"/>
    <cellStyle name="Percent 6 26 3 2" xfId="10514"/>
    <cellStyle name="Percent 6 26 4" xfId="9531"/>
    <cellStyle name="Percent 6 27" xfId="4217"/>
    <cellStyle name="Percent 6 27 2" xfId="4218"/>
    <cellStyle name="Percent 6 27 2 2" xfId="7557"/>
    <cellStyle name="Percent 6 27 3" xfId="7081"/>
    <cellStyle name="Percent 6 27 3 2" xfId="10515"/>
    <cellStyle name="Percent 6 27 4" xfId="9533"/>
    <cellStyle name="Percent 6 28" xfId="4219"/>
    <cellStyle name="Percent 6 28 2" xfId="4220"/>
    <cellStyle name="Percent 6 28 2 2" xfId="7558"/>
    <cellStyle name="Percent 6 28 3" xfId="7082"/>
    <cellStyle name="Percent 6 28 3 2" xfId="10516"/>
    <cellStyle name="Percent 6 28 4" xfId="9534"/>
    <cellStyle name="Percent 6 29" xfId="4221"/>
    <cellStyle name="Percent 6 29 2" xfId="4222"/>
    <cellStyle name="Percent 6 29 2 2" xfId="7559"/>
    <cellStyle name="Percent 6 29 3" xfId="7083"/>
    <cellStyle name="Percent 6 29 3 2" xfId="10517"/>
    <cellStyle name="Percent 6 29 4" xfId="9535"/>
    <cellStyle name="Percent 6 3" xfId="4223"/>
    <cellStyle name="Percent 6 3 2" xfId="4224"/>
    <cellStyle name="Percent 6 3 2 2" xfId="9537"/>
    <cellStyle name="Percent 6 3 3" xfId="7084"/>
    <cellStyle name="Percent 6 3 3 2" xfId="10518"/>
    <cellStyle name="Percent 6 3 4" xfId="9536"/>
    <cellStyle name="Percent 6 30" xfId="4225"/>
    <cellStyle name="Percent 6 30 2" xfId="4226"/>
    <cellStyle name="Percent 6 30 2 2" xfId="7560"/>
    <cellStyle name="Percent 6 30 3" xfId="7085"/>
    <cellStyle name="Percent 6 30 3 2" xfId="10519"/>
    <cellStyle name="Percent 6 30 4" xfId="9538"/>
    <cellStyle name="Percent 6 31" xfId="4227"/>
    <cellStyle name="Percent 6 31 2" xfId="4228"/>
    <cellStyle name="Percent 6 31 2 2" xfId="7561"/>
    <cellStyle name="Percent 6 31 3" xfId="7086"/>
    <cellStyle name="Percent 6 31 3 2" xfId="10520"/>
    <cellStyle name="Percent 6 31 4" xfId="9539"/>
    <cellStyle name="Percent 6 32" xfId="4229"/>
    <cellStyle name="Percent 6 32 2" xfId="4230"/>
    <cellStyle name="Percent 6 32 2 2" xfId="7562"/>
    <cellStyle name="Percent 6 32 3" xfId="7087"/>
    <cellStyle name="Percent 6 32 3 2" xfId="10521"/>
    <cellStyle name="Percent 6 32 4" xfId="9540"/>
    <cellStyle name="Percent 6 33" xfId="4231"/>
    <cellStyle name="Percent 6 33 2" xfId="4232"/>
    <cellStyle name="Percent 6 33 2 2" xfId="7563"/>
    <cellStyle name="Percent 6 33 3" xfId="7088"/>
    <cellStyle name="Percent 6 33 3 2" xfId="10522"/>
    <cellStyle name="Percent 6 33 4" xfId="9541"/>
    <cellStyle name="Percent 6 34" xfId="4233"/>
    <cellStyle name="Percent 6 34 2" xfId="4234"/>
    <cellStyle name="Percent 6 34 2 2" xfId="7564"/>
    <cellStyle name="Percent 6 34 3" xfId="7089"/>
    <cellStyle name="Percent 6 34 3 2" xfId="10523"/>
    <cellStyle name="Percent 6 34 4" xfId="9542"/>
    <cellStyle name="Percent 6 35" xfId="4235"/>
    <cellStyle name="Percent 6 35 2" xfId="4236"/>
    <cellStyle name="Percent 6 35 2 2" xfId="7565"/>
    <cellStyle name="Percent 6 35 3" xfId="7090"/>
    <cellStyle name="Percent 6 35 3 2" xfId="10524"/>
    <cellStyle name="Percent 6 35 4" xfId="9543"/>
    <cellStyle name="Percent 6 36" xfId="4237"/>
    <cellStyle name="Percent 6 36 2" xfId="4238"/>
    <cellStyle name="Percent 6 36 2 2" xfId="7566"/>
    <cellStyle name="Percent 6 36 3" xfId="7091"/>
    <cellStyle name="Percent 6 36 3 2" xfId="10525"/>
    <cellStyle name="Percent 6 36 4" xfId="9544"/>
    <cellStyle name="Percent 6 37" xfId="4239"/>
    <cellStyle name="Percent 6 37 2" xfId="4240"/>
    <cellStyle name="Percent 6 37 2 2" xfId="7567"/>
    <cellStyle name="Percent 6 37 3" xfId="7092"/>
    <cellStyle name="Percent 6 37 3 2" xfId="10526"/>
    <cellStyle name="Percent 6 37 4" xfId="9545"/>
    <cellStyle name="Percent 6 38" xfId="4241"/>
    <cellStyle name="Percent 6 38 2" xfId="4242"/>
    <cellStyle name="Percent 6 38 2 2" xfId="7568"/>
    <cellStyle name="Percent 6 38 3" xfId="7093"/>
    <cellStyle name="Percent 6 38 3 2" xfId="10527"/>
    <cellStyle name="Percent 6 38 4" xfId="9546"/>
    <cellStyle name="Percent 6 39" xfId="4243"/>
    <cellStyle name="Percent 6 39 2" xfId="4244"/>
    <cellStyle name="Percent 6 39 2 2" xfId="7569"/>
    <cellStyle name="Percent 6 39 3" xfId="7094"/>
    <cellStyle name="Percent 6 39 3 2" xfId="10528"/>
    <cellStyle name="Percent 6 39 4" xfId="9547"/>
    <cellStyle name="Percent 6 4" xfId="4245"/>
    <cellStyle name="Percent 6 4 2" xfId="4246"/>
    <cellStyle name="Percent 6 4 2 2" xfId="9549"/>
    <cellStyle name="Percent 6 4 3" xfId="7095"/>
    <cellStyle name="Percent 6 4 3 2" xfId="10529"/>
    <cellStyle name="Percent 6 4 4" xfId="9548"/>
    <cellStyle name="Percent 6 40" xfId="4247"/>
    <cellStyle name="Percent 6 40 2" xfId="4248"/>
    <cellStyle name="Percent 6 40 2 2" xfId="7570"/>
    <cellStyle name="Percent 6 40 3" xfId="7096"/>
    <cellStyle name="Percent 6 40 3 2" xfId="10530"/>
    <cellStyle name="Percent 6 40 4" xfId="9550"/>
    <cellStyle name="Percent 6 41" xfId="4249"/>
    <cellStyle name="Percent 6 41 2" xfId="4250"/>
    <cellStyle name="Percent 6 41 2 2" xfId="7571"/>
    <cellStyle name="Percent 6 41 3" xfId="7097"/>
    <cellStyle name="Percent 6 41 3 2" xfId="10531"/>
    <cellStyle name="Percent 6 41 4" xfId="9551"/>
    <cellStyle name="Percent 6 42" xfId="4251"/>
    <cellStyle name="Percent 6 42 2" xfId="4252"/>
    <cellStyle name="Percent 6 42 2 2" xfId="7572"/>
    <cellStyle name="Percent 6 42 3" xfId="7098"/>
    <cellStyle name="Percent 6 42 3 2" xfId="10532"/>
    <cellStyle name="Percent 6 42 4" xfId="9552"/>
    <cellStyle name="Percent 6 43" xfId="4253"/>
    <cellStyle name="Percent 6 43 2" xfId="4254"/>
    <cellStyle name="Percent 6 43 2 2" xfId="7573"/>
    <cellStyle name="Percent 6 43 3" xfId="7099"/>
    <cellStyle name="Percent 6 43 3 2" xfId="10533"/>
    <cellStyle name="Percent 6 43 4" xfId="9553"/>
    <cellStyle name="Percent 6 44" xfId="4255"/>
    <cellStyle name="Percent 6 44 2" xfId="4256"/>
    <cellStyle name="Percent 6 44 2 2" xfId="7574"/>
    <cellStyle name="Percent 6 44 3" xfId="7100"/>
    <cellStyle name="Percent 6 44 3 2" xfId="10534"/>
    <cellStyle name="Percent 6 44 4" xfId="9554"/>
    <cellStyle name="Percent 6 45" xfId="4257"/>
    <cellStyle name="Percent 6 45 2" xfId="4258"/>
    <cellStyle name="Percent 6 45 2 2" xfId="7575"/>
    <cellStyle name="Percent 6 45 3" xfId="7101"/>
    <cellStyle name="Percent 6 45 3 2" xfId="10535"/>
    <cellStyle name="Percent 6 45 4" xfId="9555"/>
    <cellStyle name="Percent 6 46" xfId="4259"/>
    <cellStyle name="Percent 6 46 2" xfId="4260"/>
    <cellStyle name="Percent 6 46 2 2" xfId="7576"/>
    <cellStyle name="Percent 6 46 3" xfId="7102"/>
    <cellStyle name="Percent 6 46 3 2" xfId="10536"/>
    <cellStyle name="Percent 6 46 4" xfId="9556"/>
    <cellStyle name="Percent 6 47" xfId="4261"/>
    <cellStyle name="Percent 6 47 2" xfId="9557"/>
    <cellStyle name="Percent 6 48" xfId="7103"/>
    <cellStyle name="Percent 6 48 2" xfId="10537"/>
    <cellStyle name="Percent 6 49" xfId="7556"/>
    <cellStyle name="Percent 6 5" xfId="4262"/>
    <cellStyle name="Percent 6 5 2" xfId="4263"/>
    <cellStyle name="Percent 6 5 2 2" xfId="9559"/>
    <cellStyle name="Percent 6 5 3" xfId="7104"/>
    <cellStyle name="Percent 6 5 3 2" xfId="10538"/>
    <cellStyle name="Percent 6 5 4" xfId="9558"/>
    <cellStyle name="Percent 6 6" xfId="4264"/>
    <cellStyle name="Percent 6 6 2" xfId="4265"/>
    <cellStyle name="Percent 6 6 2 2" xfId="9561"/>
    <cellStyle name="Percent 6 6 3" xfId="7105"/>
    <cellStyle name="Percent 6 6 3 2" xfId="10539"/>
    <cellStyle name="Percent 6 6 4" xfId="9560"/>
    <cellStyle name="Percent 6 7" xfId="4266"/>
    <cellStyle name="Percent 6 7 2" xfId="4267"/>
    <cellStyle name="Percent 6 7 2 2" xfId="9563"/>
    <cellStyle name="Percent 6 7 3" xfId="7106"/>
    <cellStyle name="Percent 6 7 3 2" xfId="10540"/>
    <cellStyle name="Percent 6 7 4" xfId="9562"/>
    <cellStyle name="Percent 6 8" xfId="4268"/>
    <cellStyle name="Percent 6 8 2" xfId="4269"/>
    <cellStyle name="Percent 6 8 2 2" xfId="9565"/>
    <cellStyle name="Percent 6 8 3" xfId="7107"/>
    <cellStyle name="Percent 6 8 3 2" xfId="10541"/>
    <cellStyle name="Percent 6 8 4" xfId="9564"/>
    <cellStyle name="Percent 6 9" xfId="4270"/>
    <cellStyle name="Percent 6 9 2" xfId="4271"/>
    <cellStyle name="Percent 6 9 2 2" xfId="9567"/>
    <cellStyle name="Percent 6 9 3" xfId="7108"/>
    <cellStyle name="Percent 6 9 3 2" xfId="10542"/>
    <cellStyle name="Percent 6 9 4" xfId="9566"/>
    <cellStyle name="Percent 7" xfId="4272"/>
    <cellStyle name="Percent 7 2" xfId="4273"/>
    <cellStyle name="Percent 7 2 2" xfId="9569"/>
    <cellStyle name="Percent 7 3" xfId="7109"/>
    <cellStyle name="Percent 7 3 2" xfId="10543"/>
    <cellStyle name="Percent 7 4" xfId="9568"/>
    <cellStyle name="Percent 8" xfId="4274"/>
    <cellStyle name="Percent 8 2" xfId="4275"/>
    <cellStyle name="Percent 8 3" xfId="9570"/>
    <cellStyle name="Percent 9" xfId="4276"/>
    <cellStyle name="Percent 9 2" xfId="7110"/>
    <cellStyle name="Percent 9 2 2" xfId="7696"/>
    <cellStyle name="Percent 9 3" xfId="7577"/>
    <cellStyle name="Percent1" xfId="4277"/>
    <cellStyle name="Percent1 2" xfId="4278"/>
    <cellStyle name="Percent1 3" xfId="7111"/>
    <cellStyle name="Percent1 3 2" xfId="10544"/>
    <cellStyle name="Percent1 4" xfId="9571"/>
    <cellStyle name="PERCENTAGE" xfId="4279"/>
    <cellStyle name="PERCENTAGE 2" xfId="4280"/>
    <cellStyle name="PERCENTAGE 3" xfId="7112"/>
    <cellStyle name="PERCENTAGE 3 2" xfId="10545"/>
    <cellStyle name="PERCENTAGE 4" xfId="9572"/>
    <cellStyle name="Pink" xfId="4281"/>
    <cellStyle name="Pink 10" xfId="4282"/>
    <cellStyle name="Pink 10 2" xfId="4283"/>
    <cellStyle name="Pink 10 3" xfId="7113"/>
    <cellStyle name="Pink 10 3 2" xfId="10546"/>
    <cellStyle name="Pink 10 4" xfId="9574"/>
    <cellStyle name="Pink 11" xfId="4284"/>
    <cellStyle name="Pink 11 2" xfId="4285"/>
    <cellStyle name="Pink 11 3" xfId="7114"/>
    <cellStyle name="Pink 11 3 2" xfId="10547"/>
    <cellStyle name="Pink 11 4" xfId="9575"/>
    <cellStyle name="Pink 12" xfId="4286"/>
    <cellStyle name="Pink 12 2" xfId="4287"/>
    <cellStyle name="Pink 12 3" xfId="7115"/>
    <cellStyle name="Pink 12 3 2" xfId="10548"/>
    <cellStyle name="Pink 12 4" xfId="9576"/>
    <cellStyle name="Pink 13" xfId="4288"/>
    <cellStyle name="Pink 13 2" xfId="4289"/>
    <cellStyle name="Pink 13 3" xfId="7116"/>
    <cellStyle name="Pink 13 3 2" xfId="10549"/>
    <cellStyle name="Pink 13 4" xfId="9577"/>
    <cellStyle name="Pink 14" xfId="4290"/>
    <cellStyle name="Pink 14 2" xfId="4291"/>
    <cellStyle name="Pink 14 3" xfId="7117"/>
    <cellStyle name="Pink 14 3 2" xfId="10550"/>
    <cellStyle name="Pink 14 4" xfId="9578"/>
    <cellStyle name="Pink 15" xfId="4292"/>
    <cellStyle name="Pink 15 2" xfId="4293"/>
    <cellStyle name="Pink 15 3" xfId="7118"/>
    <cellStyle name="Pink 15 3 2" xfId="10551"/>
    <cellStyle name="Pink 15 4" xfId="9579"/>
    <cellStyle name="Pink 16" xfId="4294"/>
    <cellStyle name="Pink 16 2" xfId="4295"/>
    <cellStyle name="Pink 16 3" xfId="7119"/>
    <cellStyle name="Pink 16 3 2" xfId="10552"/>
    <cellStyle name="Pink 16 4" xfId="9580"/>
    <cellStyle name="Pink 17" xfId="4296"/>
    <cellStyle name="Pink 17 2" xfId="4297"/>
    <cellStyle name="Pink 17 3" xfId="7120"/>
    <cellStyle name="Pink 17 3 2" xfId="10553"/>
    <cellStyle name="Pink 17 4" xfId="9581"/>
    <cellStyle name="Pink 18" xfId="4298"/>
    <cellStyle name="Pink 18 2" xfId="4299"/>
    <cellStyle name="Pink 18 3" xfId="7121"/>
    <cellStyle name="Pink 18 3 2" xfId="10554"/>
    <cellStyle name="Pink 18 4" xfId="9582"/>
    <cellStyle name="Pink 19" xfId="4300"/>
    <cellStyle name="Pink 19 2" xfId="4301"/>
    <cellStyle name="Pink 19 3" xfId="7122"/>
    <cellStyle name="Pink 19 3 2" xfId="10555"/>
    <cellStyle name="Pink 19 4" xfId="9583"/>
    <cellStyle name="Pink 2" xfId="4302"/>
    <cellStyle name="Pink 2 2" xfId="4303"/>
    <cellStyle name="Pink 2 3" xfId="7123"/>
    <cellStyle name="Pink 2 3 2" xfId="10556"/>
    <cellStyle name="Pink 2 4" xfId="9584"/>
    <cellStyle name="Pink 20" xfId="4304"/>
    <cellStyle name="Pink 20 2" xfId="4305"/>
    <cellStyle name="Pink 20 3" xfId="7124"/>
    <cellStyle name="Pink 20 3 2" xfId="10557"/>
    <cellStyle name="Pink 20 4" xfId="9585"/>
    <cellStyle name="Pink 21" xfId="4306"/>
    <cellStyle name="Pink 21 2" xfId="4307"/>
    <cellStyle name="Pink 21 3" xfId="7125"/>
    <cellStyle name="Pink 21 3 2" xfId="10558"/>
    <cellStyle name="Pink 21 4" xfId="9586"/>
    <cellStyle name="Pink 22" xfId="4308"/>
    <cellStyle name="Pink 23" xfId="7126"/>
    <cellStyle name="Pink 23 2" xfId="10559"/>
    <cellStyle name="Pink 24" xfId="9573"/>
    <cellStyle name="Pink 3" xfId="4309"/>
    <cellStyle name="Pink 3 2" xfId="4310"/>
    <cellStyle name="Pink 3 3" xfId="7127"/>
    <cellStyle name="Pink 3 3 2" xfId="10560"/>
    <cellStyle name="Pink 3 4" xfId="9587"/>
    <cellStyle name="Pink 4" xfId="4311"/>
    <cellStyle name="Pink 4 2" xfId="4312"/>
    <cellStyle name="Pink 4 3" xfId="7128"/>
    <cellStyle name="Pink 4 3 2" xfId="10561"/>
    <cellStyle name="Pink 4 4" xfId="9588"/>
    <cellStyle name="Pink 5" xfId="4313"/>
    <cellStyle name="Pink 5 2" xfId="4314"/>
    <cellStyle name="Pink 5 3" xfId="7129"/>
    <cellStyle name="Pink 5 3 2" xfId="10562"/>
    <cellStyle name="Pink 5 4" xfId="9589"/>
    <cellStyle name="Pink 6" xfId="4315"/>
    <cellStyle name="Pink 6 2" xfId="4316"/>
    <cellStyle name="Pink 6 3" xfId="7130"/>
    <cellStyle name="Pink 6 3 2" xfId="10563"/>
    <cellStyle name="Pink 6 4" xfId="9590"/>
    <cellStyle name="Pink 7" xfId="4317"/>
    <cellStyle name="Pink 7 2" xfId="4318"/>
    <cellStyle name="Pink 7 3" xfId="7131"/>
    <cellStyle name="Pink 7 3 2" xfId="10564"/>
    <cellStyle name="Pink 7 4" xfId="9591"/>
    <cellStyle name="Pink 8" xfId="4319"/>
    <cellStyle name="Pink 8 2" xfId="4320"/>
    <cellStyle name="Pink 8 3" xfId="7132"/>
    <cellStyle name="Pink 8 3 2" xfId="10565"/>
    <cellStyle name="Pink 8 4" xfId="9592"/>
    <cellStyle name="Pink 9" xfId="4321"/>
    <cellStyle name="Pink 9 2" xfId="4322"/>
    <cellStyle name="Pink 9 3" xfId="7133"/>
    <cellStyle name="Pink 9 3 2" xfId="10566"/>
    <cellStyle name="Pink 9 4" xfId="9593"/>
    <cellStyle name="PrePop Currency (0)" xfId="4323"/>
    <cellStyle name="PrePop Currency (0) 2" xfId="4324"/>
    <cellStyle name="PrePop Currency (0) 3" xfId="7134"/>
    <cellStyle name="PrePop Currency (0) 3 2" xfId="10567"/>
    <cellStyle name="PrePop Currency (0) 4" xfId="9594"/>
    <cellStyle name="PrePop Currency (2)" xfId="4325"/>
    <cellStyle name="PrePop Currency (2) 2" xfId="4326"/>
    <cellStyle name="PrePop Currency (2) 3" xfId="7135"/>
    <cellStyle name="PrePop Currency (2) 3 2" xfId="10568"/>
    <cellStyle name="PrePop Currency (2) 4" xfId="9595"/>
    <cellStyle name="PrePop Units (0)" xfId="4327"/>
    <cellStyle name="PrePop Units (0) 2" xfId="4328"/>
    <cellStyle name="PrePop Units (0) 3" xfId="7136"/>
    <cellStyle name="PrePop Units (0) 3 2" xfId="10569"/>
    <cellStyle name="PrePop Units (0) 4" xfId="9596"/>
    <cellStyle name="PrePop Units (1)" xfId="4329"/>
    <cellStyle name="PrePop Units (1) 2" xfId="4330"/>
    <cellStyle name="PrePop Units (1) 3" xfId="7137"/>
    <cellStyle name="PrePop Units (1) 3 2" xfId="10570"/>
    <cellStyle name="PrePop Units (1) 4" xfId="9597"/>
    <cellStyle name="PrePop Units (2)" xfId="4331"/>
    <cellStyle name="PrePop Units (2) 2" xfId="4332"/>
    <cellStyle name="PrePop Units (2) 3" xfId="7138"/>
    <cellStyle name="PrePop Units (2) 3 2" xfId="10571"/>
    <cellStyle name="PrePop Units (2) 4" xfId="9598"/>
    <cellStyle name="pricing" xfId="4333"/>
    <cellStyle name="pricing 10" xfId="4334"/>
    <cellStyle name="pricing 10 2" xfId="4335"/>
    <cellStyle name="pricing 10 3" xfId="7139"/>
    <cellStyle name="pricing 10 3 2" xfId="10572"/>
    <cellStyle name="pricing 10 4" xfId="9600"/>
    <cellStyle name="pricing 11" xfId="4336"/>
    <cellStyle name="pricing 11 2" xfId="4337"/>
    <cellStyle name="pricing 11 3" xfId="7140"/>
    <cellStyle name="pricing 11 3 2" xfId="10573"/>
    <cellStyle name="pricing 11 4" xfId="9601"/>
    <cellStyle name="pricing 12" xfId="4338"/>
    <cellStyle name="pricing 12 2" xfId="4339"/>
    <cellStyle name="pricing 12 3" xfId="7141"/>
    <cellStyle name="pricing 12 3 2" xfId="10574"/>
    <cellStyle name="pricing 12 4" xfId="9602"/>
    <cellStyle name="pricing 13" xfId="4340"/>
    <cellStyle name="pricing 13 2" xfId="4341"/>
    <cellStyle name="pricing 13 3" xfId="7142"/>
    <cellStyle name="pricing 13 3 2" xfId="10575"/>
    <cellStyle name="pricing 13 4" xfId="9603"/>
    <cellStyle name="pricing 14" xfId="4342"/>
    <cellStyle name="pricing 14 2" xfId="4343"/>
    <cellStyle name="pricing 14 3" xfId="7143"/>
    <cellStyle name="pricing 14 3 2" xfId="10576"/>
    <cellStyle name="pricing 14 4" xfId="9604"/>
    <cellStyle name="pricing 15" xfId="4344"/>
    <cellStyle name="pricing 15 2" xfId="4345"/>
    <cellStyle name="pricing 15 3" xfId="7144"/>
    <cellStyle name="pricing 15 3 2" xfId="10577"/>
    <cellStyle name="pricing 15 4" xfId="9605"/>
    <cellStyle name="pricing 16" xfId="4346"/>
    <cellStyle name="pricing 16 2" xfId="4347"/>
    <cellStyle name="pricing 16 3" xfId="7145"/>
    <cellStyle name="pricing 16 3 2" xfId="10578"/>
    <cellStyle name="pricing 16 4" xfId="9606"/>
    <cellStyle name="pricing 17" xfId="4348"/>
    <cellStyle name="pricing 17 2" xfId="4349"/>
    <cellStyle name="pricing 17 3" xfId="7146"/>
    <cellStyle name="pricing 17 3 2" xfId="10579"/>
    <cellStyle name="pricing 17 4" xfId="9607"/>
    <cellStyle name="pricing 18" xfId="4350"/>
    <cellStyle name="pricing 18 2" xfId="4351"/>
    <cellStyle name="pricing 18 3" xfId="7147"/>
    <cellStyle name="pricing 18 3 2" xfId="10580"/>
    <cellStyle name="pricing 18 4" xfId="9608"/>
    <cellStyle name="pricing 19" xfId="4352"/>
    <cellStyle name="pricing 19 2" xfId="4353"/>
    <cellStyle name="pricing 19 3" xfId="7148"/>
    <cellStyle name="pricing 19 3 2" xfId="10581"/>
    <cellStyle name="pricing 19 4" xfId="9609"/>
    <cellStyle name="pricing 2" xfId="4354"/>
    <cellStyle name="pricing 2 2" xfId="4355"/>
    <cellStyle name="pricing 2 3" xfId="7149"/>
    <cellStyle name="pricing 2 3 2" xfId="10582"/>
    <cellStyle name="pricing 2 4" xfId="9610"/>
    <cellStyle name="pricing 20" xfId="4356"/>
    <cellStyle name="pricing 20 2" xfId="4357"/>
    <cellStyle name="pricing 20 3" xfId="7150"/>
    <cellStyle name="pricing 20 3 2" xfId="10583"/>
    <cellStyle name="pricing 20 4" xfId="9611"/>
    <cellStyle name="pricing 21" xfId="4358"/>
    <cellStyle name="pricing 21 2" xfId="4359"/>
    <cellStyle name="pricing 21 3" xfId="7151"/>
    <cellStyle name="pricing 21 3 2" xfId="10584"/>
    <cellStyle name="pricing 21 4" xfId="9612"/>
    <cellStyle name="pricing 22" xfId="4360"/>
    <cellStyle name="pricing 23" xfId="7152"/>
    <cellStyle name="pricing 23 2" xfId="10585"/>
    <cellStyle name="pricing 24" xfId="9599"/>
    <cellStyle name="pricing 3" xfId="4361"/>
    <cellStyle name="pricing 3 2" xfId="4362"/>
    <cellStyle name="pricing 3 3" xfId="7153"/>
    <cellStyle name="pricing 3 3 2" xfId="10586"/>
    <cellStyle name="pricing 3 4" xfId="9613"/>
    <cellStyle name="pricing 4" xfId="4363"/>
    <cellStyle name="pricing 4 2" xfId="4364"/>
    <cellStyle name="pricing 4 3" xfId="7154"/>
    <cellStyle name="pricing 4 3 2" xfId="10587"/>
    <cellStyle name="pricing 4 4" xfId="9614"/>
    <cellStyle name="pricing 5" xfId="4365"/>
    <cellStyle name="pricing 5 2" xfId="4366"/>
    <cellStyle name="pricing 5 3" xfId="7155"/>
    <cellStyle name="pricing 5 3 2" xfId="10588"/>
    <cellStyle name="pricing 5 4" xfId="9615"/>
    <cellStyle name="pricing 6" xfId="4367"/>
    <cellStyle name="pricing 6 2" xfId="4368"/>
    <cellStyle name="pricing 6 3" xfId="7156"/>
    <cellStyle name="pricing 6 3 2" xfId="10589"/>
    <cellStyle name="pricing 6 4" xfId="9616"/>
    <cellStyle name="pricing 7" xfId="4369"/>
    <cellStyle name="pricing 7 2" xfId="4370"/>
    <cellStyle name="pricing 7 3" xfId="7157"/>
    <cellStyle name="pricing 7 3 2" xfId="10590"/>
    <cellStyle name="pricing 7 4" xfId="9617"/>
    <cellStyle name="pricing 8" xfId="4371"/>
    <cellStyle name="pricing 8 2" xfId="4372"/>
    <cellStyle name="pricing 8 3" xfId="7158"/>
    <cellStyle name="pricing 8 3 2" xfId="10591"/>
    <cellStyle name="pricing 8 4" xfId="9618"/>
    <cellStyle name="pricing 9" xfId="4373"/>
    <cellStyle name="pricing 9 2" xfId="4374"/>
    <cellStyle name="pricing 9 3" xfId="7159"/>
    <cellStyle name="pricing 9 3 2" xfId="10592"/>
    <cellStyle name="pricing 9 4" xfId="9619"/>
    <cellStyle name="Prozent_laroux" xfId="4375"/>
    <cellStyle name="PSChar" xfId="4376"/>
    <cellStyle name="PSChar 2" xfId="4377"/>
    <cellStyle name="PSChar 3" xfId="7160"/>
    <cellStyle name="PSChar 3 2" xfId="10593"/>
    <cellStyle name="PSChar 4" xfId="9620"/>
    <cellStyle name="R00A" xfId="4378"/>
    <cellStyle name="R00A 2" xfId="4379"/>
    <cellStyle name="R00A 3" xfId="7161"/>
    <cellStyle name="R00A 3 2" xfId="10594"/>
    <cellStyle name="R00A 4" xfId="9621"/>
    <cellStyle name="R00B" xfId="4380"/>
    <cellStyle name="R00B 2" xfId="4381"/>
    <cellStyle name="R00B 3" xfId="7162"/>
    <cellStyle name="R00B 3 2" xfId="10595"/>
    <cellStyle name="R00B 4" xfId="9622"/>
    <cellStyle name="regstoresfromspecstores" xfId="4382"/>
    <cellStyle name="regstoresfromspecstores 2" xfId="4383"/>
    <cellStyle name="regstoresfromspecstores 3" xfId="7163"/>
    <cellStyle name="regstoresfromspecstores 3 2" xfId="10596"/>
    <cellStyle name="regstoresfromspecstores 4" xfId="9623"/>
    <cellStyle name="Reset  - Style7" xfId="4384"/>
    <cellStyle name="Reset  - Style7 2" xfId="4385"/>
    <cellStyle name="Reset  - Style7 3" xfId="7164"/>
    <cellStyle name="Reset  - Style7 3 2" xfId="10597"/>
    <cellStyle name="Reset  - Style7 4" xfId="9624"/>
    <cellStyle name="RevList" xfId="4386"/>
    <cellStyle name="RevList 2" xfId="4387"/>
    <cellStyle name="RevList 3" xfId="7165"/>
    <cellStyle name="RevList 3 2" xfId="10598"/>
    <cellStyle name="RevList 4" xfId="9625"/>
    <cellStyle name="Rp" xfId="4388"/>
    <cellStyle name="Rp 2" xfId="4389"/>
    <cellStyle name="Rp 2 2" xfId="9627"/>
    <cellStyle name="Rp 3" xfId="7166"/>
    <cellStyle name="Rp 3 2" xfId="10599"/>
    <cellStyle name="Rp 4" xfId="9626"/>
    <cellStyle name="sbt2" xfId="4390"/>
    <cellStyle name="sbt2 2" xfId="4391"/>
    <cellStyle name="sbt2 2 2" xfId="7734"/>
    <cellStyle name="sbt2 2 2 2" xfId="11385"/>
    <cellStyle name="sbt2 2 3" xfId="11279"/>
    <cellStyle name="sbt2 3" xfId="7167"/>
    <cellStyle name="sbt2 3 2" xfId="10600"/>
    <cellStyle name="sbt2 4" xfId="9628"/>
    <cellStyle name="SHADEDSTORES" xfId="4392"/>
    <cellStyle name="SHADEDSTORES 2" xfId="4393"/>
    <cellStyle name="SHADEDSTORES 2 2" xfId="7735"/>
    <cellStyle name="SHADEDSTORES 2 2 2" xfId="11386"/>
    <cellStyle name="SHADEDSTORES 2 3" xfId="11280"/>
    <cellStyle name="SHADEDSTORES 3" xfId="7168"/>
    <cellStyle name="SHADEDSTORES 3 2" xfId="10601"/>
    <cellStyle name="SHADEDSTORES 4" xfId="9629"/>
    <cellStyle name="specstores" xfId="4394"/>
    <cellStyle name="specstores 2" xfId="4395"/>
    <cellStyle name="specstores 3" xfId="7169"/>
    <cellStyle name="specstores 3 2" xfId="10602"/>
    <cellStyle name="specstores 4" xfId="9630"/>
    <cellStyle name="Standard_Data" xfId="4396"/>
    <cellStyle name="style" xfId="4397"/>
    <cellStyle name="Style 1" xfId="4398"/>
    <cellStyle name="Style 1 10" xfId="4399"/>
    <cellStyle name="Style 1 10 2" xfId="4400"/>
    <cellStyle name="Style 1 10 3" xfId="7170"/>
    <cellStyle name="Style 1 10 3 2" xfId="10603"/>
    <cellStyle name="Style 1 10 4" xfId="9633"/>
    <cellStyle name="Style 1 11" xfId="4401"/>
    <cellStyle name="Style 1 11 2" xfId="4402"/>
    <cellStyle name="Style 1 11 3" xfId="7171"/>
    <cellStyle name="Style 1 11 3 2" xfId="10604"/>
    <cellStyle name="Style 1 11 4" xfId="9634"/>
    <cellStyle name="Style 1 12" xfId="4403"/>
    <cellStyle name="Style 1 12 2" xfId="4404"/>
    <cellStyle name="Style 1 12 3" xfId="7172"/>
    <cellStyle name="Style 1 12 3 2" xfId="10605"/>
    <cellStyle name="Style 1 12 4" xfId="9635"/>
    <cellStyle name="Style 1 13" xfId="4405"/>
    <cellStyle name="Style 1 13 2" xfId="4406"/>
    <cellStyle name="Style 1 13 3" xfId="7173"/>
    <cellStyle name="Style 1 13 3 2" xfId="10606"/>
    <cellStyle name="Style 1 13 4" xfId="9636"/>
    <cellStyle name="Style 1 14" xfId="4407"/>
    <cellStyle name="Style 1 14 2" xfId="4408"/>
    <cellStyle name="Style 1 14 3" xfId="7174"/>
    <cellStyle name="Style 1 14 3 2" xfId="10607"/>
    <cellStyle name="Style 1 14 4" xfId="9637"/>
    <cellStyle name="Style 1 15" xfId="4409"/>
    <cellStyle name="Style 1 15 2" xfId="4410"/>
    <cellStyle name="Style 1 15 3" xfId="7175"/>
    <cellStyle name="Style 1 15 3 2" xfId="10608"/>
    <cellStyle name="Style 1 15 4" xfId="9638"/>
    <cellStyle name="Style 1 16" xfId="4411"/>
    <cellStyle name="Style 1 16 2" xfId="4412"/>
    <cellStyle name="Style 1 16 3" xfId="7176"/>
    <cellStyle name="Style 1 16 3 2" xfId="10609"/>
    <cellStyle name="Style 1 16 4" xfId="9639"/>
    <cellStyle name="Style 1 17" xfId="4413"/>
    <cellStyle name="Style 1 17 2" xfId="4414"/>
    <cellStyle name="Style 1 17 3" xfId="7177"/>
    <cellStyle name="Style 1 17 3 2" xfId="10610"/>
    <cellStyle name="Style 1 17 4" xfId="9640"/>
    <cellStyle name="Style 1 18" xfId="4415"/>
    <cellStyle name="Style 1 18 2" xfId="4416"/>
    <cellStyle name="Style 1 18 3" xfId="7178"/>
    <cellStyle name="Style 1 18 3 2" xfId="10611"/>
    <cellStyle name="Style 1 18 4" xfId="9641"/>
    <cellStyle name="Style 1 19" xfId="4417"/>
    <cellStyle name="Style 1 19 2" xfId="4418"/>
    <cellStyle name="Style 1 19 3" xfId="7179"/>
    <cellStyle name="Style 1 19 3 2" xfId="10612"/>
    <cellStyle name="Style 1 19 4" xfId="9642"/>
    <cellStyle name="Style 1 2" xfId="4419"/>
    <cellStyle name="Style 1 2 2" xfId="4420"/>
    <cellStyle name="Style 1 2 3" xfId="7180"/>
    <cellStyle name="Style 1 2 3 2" xfId="10613"/>
    <cellStyle name="Style 1 2 4" xfId="9643"/>
    <cellStyle name="Style 1 20" xfId="4421"/>
    <cellStyle name="Style 1 20 2" xfId="4422"/>
    <cellStyle name="Style 1 20 3" xfId="7181"/>
    <cellStyle name="Style 1 20 3 2" xfId="10614"/>
    <cellStyle name="Style 1 20 4" xfId="9644"/>
    <cellStyle name="Style 1 21" xfId="4423"/>
    <cellStyle name="Style 1 21 2" xfId="4424"/>
    <cellStyle name="Style 1 21 3" xfId="7182"/>
    <cellStyle name="Style 1 21 3 2" xfId="10615"/>
    <cellStyle name="Style 1 21 4" xfId="9645"/>
    <cellStyle name="Style 1 22" xfId="4425"/>
    <cellStyle name="Style 1 22 2" xfId="9646"/>
    <cellStyle name="Style 1 23" xfId="7183"/>
    <cellStyle name="Style 1 23 2" xfId="10616"/>
    <cellStyle name="Style 1 24" xfId="9632"/>
    <cellStyle name="Style 1 3" xfId="4426"/>
    <cellStyle name="Style 1 3 2" xfId="4427"/>
    <cellStyle name="Style 1 3 3" xfId="7184"/>
    <cellStyle name="Style 1 3 3 2" xfId="10617"/>
    <cellStyle name="Style 1 3 4" xfId="9647"/>
    <cellStyle name="Style 1 4" xfId="4428"/>
    <cellStyle name="Style 1 4 2" xfId="4429"/>
    <cellStyle name="Style 1 4 3" xfId="7185"/>
    <cellStyle name="Style 1 4 3 2" xfId="10618"/>
    <cellStyle name="Style 1 4 4" xfId="9648"/>
    <cellStyle name="Style 1 5" xfId="4430"/>
    <cellStyle name="Style 1 5 2" xfId="4431"/>
    <cellStyle name="Style 1 5 3" xfId="7186"/>
    <cellStyle name="Style 1 5 3 2" xfId="10619"/>
    <cellStyle name="Style 1 5 4" xfId="9649"/>
    <cellStyle name="Style 1 6" xfId="4432"/>
    <cellStyle name="Style 1 6 2" xfId="4433"/>
    <cellStyle name="Style 1 6 3" xfId="7187"/>
    <cellStyle name="Style 1 6 3 2" xfId="10620"/>
    <cellStyle name="Style 1 6 4" xfId="9650"/>
    <cellStyle name="Style 1 7" xfId="4434"/>
    <cellStyle name="Style 1 7 2" xfId="4435"/>
    <cellStyle name="Style 1 7 3" xfId="7188"/>
    <cellStyle name="Style 1 7 3 2" xfId="10621"/>
    <cellStyle name="Style 1 7 4" xfId="9651"/>
    <cellStyle name="Style 1 8" xfId="4436"/>
    <cellStyle name="Style 1 8 2" xfId="4437"/>
    <cellStyle name="Style 1 8 3" xfId="7189"/>
    <cellStyle name="Style 1 8 3 2" xfId="10622"/>
    <cellStyle name="Style 1 8 4" xfId="9652"/>
    <cellStyle name="Style 1 9" xfId="4438"/>
    <cellStyle name="Style 1 9 2" xfId="4439"/>
    <cellStyle name="Style 1 9 3" xfId="7190"/>
    <cellStyle name="Style 1 9 3 2" xfId="10623"/>
    <cellStyle name="Style 1 9 4" xfId="9653"/>
    <cellStyle name="style 2" xfId="4440"/>
    <cellStyle name="style 2 2" xfId="7736"/>
    <cellStyle name="style 2 2 2" xfId="11387"/>
    <cellStyle name="style 2 3" xfId="11281"/>
    <cellStyle name="style 3" xfId="7191"/>
    <cellStyle name="style 3 2" xfId="10624"/>
    <cellStyle name="style 4" xfId="9631"/>
    <cellStyle name="style1" xfId="4441"/>
    <cellStyle name="style1 2" xfId="4442"/>
    <cellStyle name="style1 3" xfId="7192"/>
    <cellStyle name="style1 3 2" xfId="10625"/>
    <cellStyle name="style1 4" xfId="9654"/>
    <cellStyle name="style2" xfId="4443"/>
    <cellStyle name="style2 2" xfId="4444"/>
    <cellStyle name="style2 3" xfId="7193"/>
    <cellStyle name="style2 3 2" xfId="10626"/>
    <cellStyle name="style2 4" xfId="9655"/>
    <cellStyle name="subt1" xfId="4445"/>
    <cellStyle name="subt1 2" xfId="4446"/>
    <cellStyle name="subt1 3" xfId="7194"/>
    <cellStyle name="subt1 3 2" xfId="10627"/>
    <cellStyle name="subt1 4" xfId="9656"/>
    <cellStyle name="Subtotal" xfId="4447"/>
    <cellStyle name="Subtotal 2" xfId="4448"/>
    <cellStyle name="Subtotal 3" xfId="7195"/>
    <cellStyle name="Subtotal 3 2" xfId="10628"/>
    <cellStyle name="Subtotal 4" xfId="9657"/>
    <cellStyle name="Table  - Style6" xfId="4449"/>
    <cellStyle name="Table  - Style6 2" xfId="4450"/>
    <cellStyle name="Table  - Style6 2 2" xfId="10848"/>
    <cellStyle name="Table  - Style6 3" xfId="7196"/>
    <cellStyle name="Table  - Style6 3 2" xfId="10629"/>
    <cellStyle name="Table  - Style6 4" xfId="9658"/>
    <cellStyle name="Table Head" xfId="4451"/>
    <cellStyle name="Table Head 2" xfId="4452"/>
    <cellStyle name="Table Head 3" xfId="7197"/>
    <cellStyle name="Table Head 3 2" xfId="10630"/>
    <cellStyle name="Table Head 4" xfId="9659"/>
    <cellStyle name="Table Head Aligned" xfId="4453"/>
    <cellStyle name="Table Head Aligned 10" xfId="4454"/>
    <cellStyle name="Table Head Aligned 10 2" xfId="4455"/>
    <cellStyle name="Table Head Aligned 10 2 2" xfId="9662"/>
    <cellStyle name="Table Head Aligned 10 3" xfId="7198"/>
    <cellStyle name="Table Head Aligned 10 3 2" xfId="10631"/>
    <cellStyle name="Table Head Aligned 10 4" xfId="9661"/>
    <cellStyle name="Table Head Aligned 11" xfId="4456"/>
    <cellStyle name="Table Head Aligned 11 2" xfId="4457"/>
    <cellStyle name="Table Head Aligned 11 2 2" xfId="9664"/>
    <cellStyle name="Table Head Aligned 11 3" xfId="7199"/>
    <cellStyle name="Table Head Aligned 11 3 2" xfId="10632"/>
    <cellStyle name="Table Head Aligned 11 4" xfId="9663"/>
    <cellStyle name="Table Head Aligned 12" xfId="4458"/>
    <cellStyle name="Table Head Aligned 12 2" xfId="4459"/>
    <cellStyle name="Table Head Aligned 12 2 2" xfId="9666"/>
    <cellStyle name="Table Head Aligned 12 3" xfId="7200"/>
    <cellStyle name="Table Head Aligned 12 3 2" xfId="10633"/>
    <cellStyle name="Table Head Aligned 12 4" xfId="9665"/>
    <cellStyle name="Table Head Aligned 13" xfId="4460"/>
    <cellStyle name="Table Head Aligned 13 2" xfId="4461"/>
    <cellStyle name="Table Head Aligned 13 2 2" xfId="9668"/>
    <cellStyle name="Table Head Aligned 13 3" xfId="7201"/>
    <cellStyle name="Table Head Aligned 13 3 2" xfId="10634"/>
    <cellStyle name="Table Head Aligned 13 4" xfId="9667"/>
    <cellStyle name="Table Head Aligned 14" xfId="4462"/>
    <cellStyle name="Table Head Aligned 14 2" xfId="4463"/>
    <cellStyle name="Table Head Aligned 14 2 2" xfId="9670"/>
    <cellStyle name="Table Head Aligned 14 3" xfId="7202"/>
    <cellStyle name="Table Head Aligned 14 3 2" xfId="10635"/>
    <cellStyle name="Table Head Aligned 14 4" xfId="9669"/>
    <cellStyle name="Table Head Aligned 15" xfId="4464"/>
    <cellStyle name="Table Head Aligned 15 2" xfId="4465"/>
    <cellStyle name="Table Head Aligned 15 2 2" xfId="9672"/>
    <cellStyle name="Table Head Aligned 15 3" xfId="7203"/>
    <cellStyle name="Table Head Aligned 15 3 2" xfId="10636"/>
    <cellStyle name="Table Head Aligned 15 4" xfId="9671"/>
    <cellStyle name="Table Head Aligned 16" xfId="4466"/>
    <cellStyle name="Table Head Aligned 16 2" xfId="4467"/>
    <cellStyle name="Table Head Aligned 16 2 2" xfId="9674"/>
    <cellStyle name="Table Head Aligned 16 3" xfId="7204"/>
    <cellStyle name="Table Head Aligned 16 3 2" xfId="10637"/>
    <cellStyle name="Table Head Aligned 16 4" xfId="9673"/>
    <cellStyle name="Table Head Aligned 17" xfId="4468"/>
    <cellStyle name="Table Head Aligned 17 2" xfId="4469"/>
    <cellStyle name="Table Head Aligned 17 2 2" xfId="9676"/>
    <cellStyle name="Table Head Aligned 17 3" xfId="7205"/>
    <cellStyle name="Table Head Aligned 17 3 2" xfId="10638"/>
    <cellStyle name="Table Head Aligned 17 4" xfId="9675"/>
    <cellStyle name="Table Head Aligned 18" xfId="4470"/>
    <cellStyle name="Table Head Aligned 18 2" xfId="4471"/>
    <cellStyle name="Table Head Aligned 18 2 2" xfId="9678"/>
    <cellStyle name="Table Head Aligned 18 3" xfId="7206"/>
    <cellStyle name="Table Head Aligned 18 3 2" xfId="10639"/>
    <cellStyle name="Table Head Aligned 18 4" xfId="9677"/>
    <cellStyle name="Table Head Aligned 19" xfId="4472"/>
    <cellStyle name="Table Head Aligned 19 2" xfId="4473"/>
    <cellStyle name="Table Head Aligned 19 2 2" xfId="9680"/>
    <cellStyle name="Table Head Aligned 19 3" xfId="7207"/>
    <cellStyle name="Table Head Aligned 19 3 2" xfId="10640"/>
    <cellStyle name="Table Head Aligned 19 4" xfId="9679"/>
    <cellStyle name="Table Head Aligned 2" xfId="4474"/>
    <cellStyle name="Table Head Aligned 2 2" xfId="4475"/>
    <cellStyle name="Table Head Aligned 2 2 2" xfId="9682"/>
    <cellStyle name="Table Head Aligned 2 3" xfId="7208"/>
    <cellStyle name="Table Head Aligned 2 3 2" xfId="10641"/>
    <cellStyle name="Table Head Aligned 2 4" xfId="9681"/>
    <cellStyle name="Table Head Aligned 20" xfId="4476"/>
    <cellStyle name="Table Head Aligned 20 2" xfId="4477"/>
    <cellStyle name="Table Head Aligned 20 2 2" xfId="9684"/>
    <cellStyle name="Table Head Aligned 20 3" xfId="7209"/>
    <cellStyle name="Table Head Aligned 20 3 2" xfId="10642"/>
    <cellStyle name="Table Head Aligned 20 4" xfId="9683"/>
    <cellStyle name="Table Head Aligned 21" xfId="4478"/>
    <cellStyle name="Table Head Aligned 21 2" xfId="4479"/>
    <cellStyle name="Table Head Aligned 21 2 2" xfId="9686"/>
    <cellStyle name="Table Head Aligned 21 3" xfId="7210"/>
    <cellStyle name="Table Head Aligned 21 3 2" xfId="10643"/>
    <cellStyle name="Table Head Aligned 21 4" xfId="9685"/>
    <cellStyle name="Table Head Aligned 22" xfId="4480"/>
    <cellStyle name="Table Head Aligned 22 2" xfId="4481"/>
    <cellStyle name="Table Head Aligned 22 2 2" xfId="9688"/>
    <cellStyle name="Table Head Aligned 22 3" xfId="7211"/>
    <cellStyle name="Table Head Aligned 22 3 2" xfId="10644"/>
    <cellStyle name="Table Head Aligned 22 4" xfId="9687"/>
    <cellStyle name="Table Head Aligned 23" xfId="4482"/>
    <cellStyle name="Table Head Aligned 23 2" xfId="4483"/>
    <cellStyle name="Table Head Aligned 23 2 2" xfId="9690"/>
    <cellStyle name="Table Head Aligned 23 3" xfId="7212"/>
    <cellStyle name="Table Head Aligned 23 3 2" xfId="10645"/>
    <cellStyle name="Table Head Aligned 23 4" xfId="9689"/>
    <cellStyle name="Table Head Aligned 24" xfId="4484"/>
    <cellStyle name="Table Head Aligned 24 2" xfId="4485"/>
    <cellStyle name="Table Head Aligned 24 2 2" xfId="9692"/>
    <cellStyle name="Table Head Aligned 24 3" xfId="7213"/>
    <cellStyle name="Table Head Aligned 24 3 2" xfId="10646"/>
    <cellStyle name="Table Head Aligned 24 4" xfId="9691"/>
    <cellStyle name="Table Head Aligned 25" xfId="4486"/>
    <cellStyle name="Table Head Aligned 25 2" xfId="4487"/>
    <cellStyle name="Table Head Aligned 25 2 2" xfId="9694"/>
    <cellStyle name="Table Head Aligned 25 3" xfId="7214"/>
    <cellStyle name="Table Head Aligned 25 3 2" xfId="10647"/>
    <cellStyle name="Table Head Aligned 25 4" xfId="9693"/>
    <cellStyle name="Table Head Aligned 26" xfId="4488"/>
    <cellStyle name="Table Head Aligned 26 2" xfId="4489"/>
    <cellStyle name="Table Head Aligned 26 2 2" xfId="9696"/>
    <cellStyle name="Table Head Aligned 26 3" xfId="7215"/>
    <cellStyle name="Table Head Aligned 26 3 2" xfId="10648"/>
    <cellStyle name="Table Head Aligned 26 4" xfId="9695"/>
    <cellStyle name="Table Head Aligned 27" xfId="4490"/>
    <cellStyle name="Table Head Aligned 27 2" xfId="9697"/>
    <cellStyle name="Table Head Aligned 28" xfId="7216"/>
    <cellStyle name="Table Head Aligned 28 2" xfId="10649"/>
    <cellStyle name="Table Head Aligned 29" xfId="9660"/>
    <cellStyle name="Table Head Aligned 3" xfId="4491"/>
    <cellStyle name="Table Head Aligned 3 2" xfId="4492"/>
    <cellStyle name="Table Head Aligned 3 2 2" xfId="9699"/>
    <cellStyle name="Table Head Aligned 3 3" xfId="7217"/>
    <cellStyle name="Table Head Aligned 3 3 2" xfId="10650"/>
    <cellStyle name="Table Head Aligned 3 4" xfId="9698"/>
    <cellStyle name="Table Head Aligned 4" xfId="4493"/>
    <cellStyle name="Table Head Aligned 4 2" xfId="4494"/>
    <cellStyle name="Table Head Aligned 4 2 2" xfId="9701"/>
    <cellStyle name="Table Head Aligned 4 3" xfId="7218"/>
    <cellStyle name="Table Head Aligned 4 3 2" xfId="10651"/>
    <cellStyle name="Table Head Aligned 4 4" xfId="9700"/>
    <cellStyle name="Table Head Aligned 5" xfId="4495"/>
    <cellStyle name="Table Head Aligned 5 2" xfId="4496"/>
    <cellStyle name="Table Head Aligned 5 2 2" xfId="9703"/>
    <cellStyle name="Table Head Aligned 5 3" xfId="7219"/>
    <cellStyle name="Table Head Aligned 5 3 2" xfId="10652"/>
    <cellStyle name="Table Head Aligned 5 4" xfId="9702"/>
    <cellStyle name="Table Head Aligned 6" xfId="4497"/>
    <cellStyle name="Table Head Aligned 6 2" xfId="4498"/>
    <cellStyle name="Table Head Aligned 6 2 2" xfId="9705"/>
    <cellStyle name="Table Head Aligned 6 3" xfId="7220"/>
    <cellStyle name="Table Head Aligned 6 3 2" xfId="10653"/>
    <cellStyle name="Table Head Aligned 6 4" xfId="9704"/>
    <cellStyle name="Table Head Aligned 7" xfId="4499"/>
    <cellStyle name="Table Head Aligned 7 2" xfId="4500"/>
    <cellStyle name="Table Head Aligned 7 2 2" xfId="9707"/>
    <cellStyle name="Table Head Aligned 7 3" xfId="7221"/>
    <cellStyle name="Table Head Aligned 7 3 2" xfId="10654"/>
    <cellStyle name="Table Head Aligned 7 4" xfId="9706"/>
    <cellStyle name="Table Head Aligned 8" xfId="4501"/>
    <cellStyle name="Table Head Aligned 8 2" xfId="4502"/>
    <cellStyle name="Table Head Aligned 8 2 2" xfId="9709"/>
    <cellStyle name="Table Head Aligned 8 3" xfId="7222"/>
    <cellStyle name="Table Head Aligned 8 3 2" xfId="10655"/>
    <cellStyle name="Table Head Aligned 8 4" xfId="9708"/>
    <cellStyle name="Table Head Aligned 9" xfId="4503"/>
    <cellStyle name="Table Head Aligned 9 2" xfId="4504"/>
    <cellStyle name="Table Head Aligned 9 2 2" xfId="9711"/>
    <cellStyle name="Table Head Aligned 9 3" xfId="7223"/>
    <cellStyle name="Table Head Aligned 9 3 2" xfId="10656"/>
    <cellStyle name="Table Head Aligned 9 4" xfId="9710"/>
    <cellStyle name="Table Head Blue" xfId="4505"/>
    <cellStyle name="Table Head Blue 2" xfId="4506"/>
    <cellStyle name="Table Head Blue 3" xfId="7224"/>
    <cellStyle name="Table Head Blue 3 2" xfId="10657"/>
    <cellStyle name="Table Head Blue 4" xfId="9712"/>
    <cellStyle name="Table Head Green" xfId="4507"/>
    <cellStyle name="Table Head Green 2" xfId="4508"/>
    <cellStyle name="Table Head Green 3" xfId="7225"/>
    <cellStyle name="Table Head Green 3 2" xfId="10658"/>
    <cellStyle name="Table Head Green 4" xfId="9713"/>
    <cellStyle name="Table Title" xfId="4509"/>
    <cellStyle name="Table Title 2" xfId="4510"/>
    <cellStyle name="Table Title 3" xfId="7226"/>
    <cellStyle name="Table Title 3 2" xfId="10659"/>
    <cellStyle name="Table Title 4" xfId="9714"/>
    <cellStyle name="Table Units" xfId="4511"/>
    <cellStyle name="Table Units 2" xfId="4512"/>
    <cellStyle name="Table Units 3" xfId="7227"/>
    <cellStyle name="Table Units 3 2" xfId="10660"/>
    <cellStyle name="Table Units 4" xfId="9715"/>
    <cellStyle name="Text Indent A" xfId="4513"/>
    <cellStyle name="Text Indent A 2" xfId="4514"/>
    <cellStyle name="Text Indent A 3" xfId="7228"/>
    <cellStyle name="Text Indent A 3 2" xfId="10661"/>
    <cellStyle name="Text Indent A 4" xfId="9716"/>
    <cellStyle name="Text Indent B" xfId="4515"/>
    <cellStyle name="Text Indent B 2" xfId="4516"/>
    <cellStyle name="Text Indent B 3" xfId="7229"/>
    <cellStyle name="Text Indent B 3 2" xfId="10662"/>
    <cellStyle name="Text Indent B 4" xfId="9717"/>
    <cellStyle name="Text Indent C" xfId="4517"/>
    <cellStyle name="Text Indent C 2" xfId="4518"/>
    <cellStyle name="Text Indent C 3" xfId="7230"/>
    <cellStyle name="Text Indent C 3 2" xfId="10663"/>
    <cellStyle name="Text Indent C 4" xfId="9718"/>
    <cellStyle name="þ" xfId="4519"/>
    <cellStyle name="þ 2" xfId="4520"/>
    <cellStyle name="þ 2 2" xfId="9720"/>
    <cellStyle name="þ 3" xfId="7231"/>
    <cellStyle name="þ 3 2" xfId="10664"/>
    <cellStyle name="þ 4" xfId="9719"/>
    <cellStyle name="þ_A3 Dec 31, 2004 - J" xfId="4521"/>
    <cellStyle name="þ_A3 Dec 31, 2004 - J 2" xfId="4522"/>
    <cellStyle name="þ_A3 Dec 31, 2004 - J 2 2" xfId="9722"/>
    <cellStyle name="þ_A3 Dec 31, 2004 - J 3" xfId="7232"/>
    <cellStyle name="þ_A3 Dec 31, 2004 - J 3 2" xfId="10665"/>
    <cellStyle name="þ_A3 Dec 31, 2004 - J 4" xfId="9721"/>
    <cellStyle name="þ_Cash Flows-Bank OnlyBukopin 311206b" xfId="4523"/>
    <cellStyle name="þ_Cash Flows-Bank OnlyBukopin 311206b 2" xfId="4524"/>
    <cellStyle name="þ_Cash Flows-Bank OnlyBukopin 311206b 2 2" xfId="9724"/>
    <cellStyle name="þ_Cash Flows-Bank OnlyBukopin 311206b 3" xfId="7233"/>
    <cellStyle name="þ_Cash Flows-Bank OnlyBukopin 311206b 3 2" xfId="10666"/>
    <cellStyle name="þ_Cash Flows-Bank OnlyBukopin 311206b 4" xfId="9723"/>
    <cellStyle name="þ_x001d_ð " xfId="4525"/>
    <cellStyle name="þ_x001d_ð  2" xfId="4526"/>
    <cellStyle name="þ_x001d_ð  2 2" xfId="9726"/>
    <cellStyle name="þ_x001d_ð  3" xfId="7234"/>
    <cellStyle name="þ_x001d_ð  3 2" xfId="10667"/>
    <cellStyle name="þ_x001d_ð  4" xfId="9725"/>
    <cellStyle name="þ_x001d_ð &amp;ý&amp;†ýG" xfId="4527"/>
    <cellStyle name="þ_x001d_ð &amp;ý&amp;†ýG 2" xfId="4528"/>
    <cellStyle name="þ_x001d_ð &amp;ý&amp;†ýG 2 2" xfId="9728"/>
    <cellStyle name="þ_x001d_ð &amp;ý&amp;†ýG 3" xfId="7235"/>
    <cellStyle name="þ_x001d_ð &amp;ý&amp;†ýG 3 2" xfId="10668"/>
    <cellStyle name="þ_x001d_ð &amp;ý&amp;†ýG 4" xfId="9727"/>
    <cellStyle name="þ_x001d_ð &amp;ý&amp;†ýG_x0008_€ X_x000a__x0007__x0001__x0001_" xfId="4529"/>
    <cellStyle name="þ_x001d_ð &amp;ý&amp;†ýG_x0008_€ X_x000a__x0007__x0001__x0001_ 2" xfId="4530"/>
    <cellStyle name="þ_x001d_ð &amp;ý&amp;†ýG_x0008_€ X_x000a__x0007__x0001__x0001_ 2 2" xfId="9730"/>
    <cellStyle name="þ_x001d_ð &amp;ý&amp;†ýG_x0008_€ X_x000a__x0007__x0001__x0001_ 3" xfId="7236"/>
    <cellStyle name="þ_x001d_ð &amp;ý&amp;†ýG_x0008_€ X_x000a__x0007__x0001__x0001_ 3 2" xfId="10669"/>
    <cellStyle name="þ_x001d_ð &amp;ý&amp;†ýG_x0008_€ X_x000a__x0007__x0001__x0001_ 4" xfId="9729"/>
    <cellStyle name="Tickmark" xfId="4531"/>
    <cellStyle name="Tickmark 2" xfId="4532"/>
    <cellStyle name="Tickmark 3" xfId="7237"/>
    <cellStyle name="Tickmark 3 2" xfId="10670"/>
    <cellStyle name="Tickmark 4" xfId="9731"/>
    <cellStyle name="Times New Roman" xfId="4533"/>
    <cellStyle name="Times New Roman 2" xfId="4534"/>
    <cellStyle name="Times New Roman 3" xfId="7238"/>
    <cellStyle name="Times New Roman 3 2" xfId="10671"/>
    <cellStyle name="Times New Roman 4" xfId="9732"/>
    <cellStyle name="Title  - Style1" xfId="4535"/>
    <cellStyle name="Title  - Style1 2" xfId="4536"/>
    <cellStyle name="Title  - Style1 3" xfId="7239"/>
    <cellStyle name="Title  - Style1 3 2" xfId="10672"/>
    <cellStyle name="Title  - Style1 4" xfId="9733"/>
    <cellStyle name="Title 2" xfId="4537"/>
    <cellStyle name="Title 2 2" xfId="4538"/>
    <cellStyle name="Title 2 2 2" xfId="9735"/>
    <cellStyle name="Title 2 3" xfId="7240"/>
    <cellStyle name="Title 2 3 2" xfId="10673"/>
    <cellStyle name="Title 2 4" xfId="9734"/>
    <cellStyle name="Title 3" xfId="4539"/>
    <cellStyle name="Title 3 2" xfId="4540"/>
    <cellStyle name="Title 3 3" xfId="7241"/>
    <cellStyle name="Title 3 3 2" xfId="10674"/>
    <cellStyle name="Title 3 4" xfId="9736"/>
    <cellStyle name="toddiaccountingstyle" xfId="4541"/>
    <cellStyle name="toddiaccountingstyle 2" xfId="4542"/>
    <cellStyle name="toddiaccountingstyle 3" xfId="7242"/>
    <cellStyle name="toddiaccountingstyle 3 2" xfId="10675"/>
    <cellStyle name="toddiaccountingstyle 4" xfId="9737"/>
    <cellStyle name="todditextstyle" xfId="4543"/>
    <cellStyle name="todditextstyle 2" xfId="4544"/>
    <cellStyle name="todditextstyle 3" xfId="7243"/>
    <cellStyle name="todditextstyle 3 2" xfId="10676"/>
    <cellStyle name="todditextstyle 4" xfId="9738"/>
    <cellStyle name="Total 10" xfId="4545"/>
    <cellStyle name="Total 10 2" xfId="4546"/>
    <cellStyle name="Total 10 3" xfId="7244"/>
    <cellStyle name="Total 10 3 2" xfId="10677"/>
    <cellStyle name="Total 10 4" xfId="9739"/>
    <cellStyle name="Total 11" xfId="4547"/>
    <cellStyle name="Total 11 2" xfId="4548"/>
    <cellStyle name="Total 11 3" xfId="7245"/>
    <cellStyle name="Total 11 3 2" xfId="10678"/>
    <cellStyle name="Total 11 4" xfId="9740"/>
    <cellStyle name="Total 12" xfId="4549"/>
    <cellStyle name="Total 12 2" xfId="4550"/>
    <cellStyle name="Total 12 3" xfId="7246"/>
    <cellStyle name="Total 12 3 2" xfId="10679"/>
    <cellStyle name="Total 12 4" xfId="9741"/>
    <cellStyle name="Total 13" xfId="4551"/>
    <cellStyle name="Total 13 2" xfId="4552"/>
    <cellStyle name="Total 13 3" xfId="7247"/>
    <cellStyle name="Total 13 3 2" xfId="10680"/>
    <cellStyle name="Total 13 4" xfId="9742"/>
    <cellStyle name="Total 14" xfId="4553"/>
    <cellStyle name="Total 14 2" xfId="4554"/>
    <cellStyle name="Total 14 3" xfId="7248"/>
    <cellStyle name="Total 14 3 2" xfId="10681"/>
    <cellStyle name="Total 14 4" xfId="9743"/>
    <cellStyle name="Total 15" xfId="4555"/>
    <cellStyle name="Total 15 2" xfId="4556"/>
    <cellStyle name="Total 15 3" xfId="7249"/>
    <cellStyle name="Total 15 3 2" xfId="10682"/>
    <cellStyle name="Total 15 4" xfId="9744"/>
    <cellStyle name="Total 16" xfId="4557"/>
    <cellStyle name="Total 16 2" xfId="4558"/>
    <cellStyle name="Total 16 3" xfId="7250"/>
    <cellStyle name="Total 16 3 2" xfId="10683"/>
    <cellStyle name="Total 16 4" xfId="9745"/>
    <cellStyle name="Total 17" xfId="4559"/>
    <cellStyle name="Total 17 2" xfId="4560"/>
    <cellStyle name="Total 17 3" xfId="7251"/>
    <cellStyle name="Total 17 3 2" xfId="10684"/>
    <cellStyle name="Total 17 4" xfId="9746"/>
    <cellStyle name="Total 18" xfId="4561"/>
    <cellStyle name="Total 18 2" xfId="4562"/>
    <cellStyle name="Total 18 3" xfId="7252"/>
    <cellStyle name="Total 18 3 2" xfId="10685"/>
    <cellStyle name="Total 18 4" xfId="9747"/>
    <cellStyle name="Total 19" xfId="4563"/>
    <cellStyle name="Total 19 2" xfId="4564"/>
    <cellStyle name="Total 19 3" xfId="7253"/>
    <cellStyle name="Total 19 3 2" xfId="10686"/>
    <cellStyle name="Total 19 4" xfId="9748"/>
    <cellStyle name="Total 2" xfId="4565"/>
    <cellStyle name="Total 2 10" xfId="4566"/>
    <cellStyle name="Total 2 10 2" xfId="4567"/>
    <cellStyle name="Total 2 10 2 2" xfId="9751"/>
    <cellStyle name="Total 2 10 3" xfId="7254"/>
    <cellStyle name="Total 2 10 3 2" xfId="10687"/>
    <cellStyle name="Total 2 10 4" xfId="9750"/>
    <cellStyle name="Total 2 11" xfId="4568"/>
    <cellStyle name="Total 2 11 2" xfId="4569"/>
    <cellStyle name="Total 2 11 2 2" xfId="9753"/>
    <cellStyle name="Total 2 11 3" xfId="7255"/>
    <cellStyle name="Total 2 11 3 2" xfId="10688"/>
    <cellStyle name="Total 2 11 4" xfId="9752"/>
    <cellStyle name="Total 2 12" xfId="4570"/>
    <cellStyle name="Total 2 12 2" xfId="4571"/>
    <cellStyle name="Total 2 12 2 2" xfId="9755"/>
    <cellStyle name="Total 2 12 3" xfId="7256"/>
    <cellStyle name="Total 2 12 3 2" xfId="10689"/>
    <cellStyle name="Total 2 12 4" xfId="9754"/>
    <cellStyle name="Total 2 13" xfId="4572"/>
    <cellStyle name="Total 2 13 2" xfId="4573"/>
    <cellStyle name="Total 2 13 2 2" xfId="9757"/>
    <cellStyle name="Total 2 13 3" xfId="7257"/>
    <cellStyle name="Total 2 13 3 2" xfId="10690"/>
    <cellStyle name="Total 2 13 4" xfId="9756"/>
    <cellStyle name="Total 2 14" xfId="4574"/>
    <cellStyle name="Total 2 14 2" xfId="4575"/>
    <cellStyle name="Total 2 14 2 2" xfId="9759"/>
    <cellStyle name="Total 2 14 3" xfId="7258"/>
    <cellStyle name="Total 2 14 3 2" xfId="10691"/>
    <cellStyle name="Total 2 14 4" xfId="9758"/>
    <cellStyle name="Total 2 15" xfId="4576"/>
    <cellStyle name="Total 2 15 2" xfId="4577"/>
    <cellStyle name="Total 2 15 2 2" xfId="9761"/>
    <cellStyle name="Total 2 15 3" xfId="7259"/>
    <cellStyle name="Total 2 15 3 2" xfId="10692"/>
    <cellStyle name="Total 2 15 4" xfId="9760"/>
    <cellStyle name="Total 2 16" xfId="4578"/>
    <cellStyle name="Total 2 16 2" xfId="4579"/>
    <cellStyle name="Total 2 16 2 2" xfId="9763"/>
    <cellStyle name="Total 2 16 3" xfId="7260"/>
    <cellStyle name="Total 2 16 3 2" xfId="10693"/>
    <cellStyle name="Total 2 16 4" xfId="9762"/>
    <cellStyle name="Total 2 17" xfId="4580"/>
    <cellStyle name="Total 2 17 2" xfId="4581"/>
    <cellStyle name="Total 2 17 2 2" xfId="9765"/>
    <cellStyle name="Total 2 17 3" xfId="7261"/>
    <cellStyle name="Total 2 17 3 2" xfId="10694"/>
    <cellStyle name="Total 2 17 4" xfId="9764"/>
    <cellStyle name="Total 2 18" xfId="4582"/>
    <cellStyle name="Total 2 18 2" xfId="4583"/>
    <cellStyle name="Total 2 18 2 2" xfId="9767"/>
    <cellStyle name="Total 2 18 3" xfId="7262"/>
    <cellStyle name="Total 2 18 3 2" xfId="10695"/>
    <cellStyle name="Total 2 18 4" xfId="9766"/>
    <cellStyle name="Total 2 19" xfId="4584"/>
    <cellStyle name="Total 2 19 2" xfId="4585"/>
    <cellStyle name="Total 2 19 2 2" xfId="9769"/>
    <cellStyle name="Total 2 19 3" xfId="7263"/>
    <cellStyle name="Total 2 19 3 2" xfId="10696"/>
    <cellStyle name="Total 2 19 4" xfId="9768"/>
    <cellStyle name="Total 2 2" xfId="4586"/>
    <cellStyle name="Total 2 2 2" xfId="4587"/>
    <cellStyle name="Total 2 2 2 2" xfId="9771"/>
    <cellStyle name="Total 2 2 3" xfId="7264"/>
    <cellStyle name="Total 2 2 3 2" xfId="10697"/>
    <cellStyle name="Total 2 2 4" xfId="9770"/>
    <cellStyle name="Total 2 20" xfId="4588"/>
    <cellStyle name="Total 2 20 2" xfId="4589"/>
    <cellStyle name="Total 2 20 2 2" xfId="9773"/>
    <cellStyle name="Total 2 20 3" xfId="7265"/>
    <cellStyle name="Total 2 20 3 2" xfId="10698"/>
    <cellStyle name="Total 2 20 4" xfId="9772"/>
    <cellStyle name="Total 2 21" xfId="4590"/>
    <cellStyle name="Total 2 21 2" xfId="4591"/>
    <cellStyle name="Total 2 21 2 2" xfId="9775"/>
    <cellStyle name="Total 2 21 3" xfId="7266"/>
    <cellStyle name="Total 2 21 3 2" xfId="10699"/>
    <cellStyle name="Total 2 21 4" xfId="9774"/>
    <cellStyle name="Total 2 22" xfId="4592"/>
    <cellStyle name="Total 2 23" xfId="7267"/>
    <cellStyle name="Total 2 23 2" xfId="10700"/>
    <cellStyle name="Total 2 24" xfId="9749"/>
    <cellStyle name="Total 2 3" xfId="4593"/>
    <cellStyle name="Total 2 3 2" xfId="4594"/>
    <cellStyle name="Total 2 3 2 2" xfId="9777"/>
    <cellStyle name="Total 2 3 3" xfId="7268"/>
    <cellStyle name="Total 2 3 3 2" xfId="10701"/>
    <cellStyle name="Total 2 3 4" xfId="9776"/>
    <cellStyle name="Total 2 4" xfId="4595"/>
    <cellStyle name="Total 2 4 2" xfId="4596"/>
    <cellStyle name="Total 2 4 2 2" xfId="9779"/>
    <cellStyle name="Total 2 4 3" xfId="7269"/>
    <cellStyle name="Total 2 4 3 2" xfId="10702"/>
    <cellStyle name="Total 2 4 4" xfId="9778"/>
    <cellStyle name="Total 2 5" xfId="4597"/>
    <cellStyle name="Total 2 5 2" xfId="4598"/>
    <cellStyle name="Total 2 5 2 2" xfId="9781"/>
    <cellStyle name="Total 2 5 3" xfId="7270"/>
    <cellStyle name="Total 2 5 3 2" xfId="10703"/>
    <cellStyle name="Total 2 5 4" xfId="9780"/>
    <cellStyle name="Total 2 6" xfId="4599"/>
    <cellStyle name="Total 2 6 2" xfId="4600"/>
    <cellStyle name="Total 2 6 2 2" xfId="9783"/>
    <cellStyle name="Total 2 6 3" xfId="7271"/>
    <cellStyle name="Total 2 6 3 2" xfId="10704"/>
    <cellStyle name="Total 2 6 4" xfId="9782"/>
    <cellStyle name="Total 2 7" xfId="4601"/>
    <cellStyle name="Total 2 7 2" xfId="4602"/>
    <cellStyle name="Total 2 7 2 2" xfId="9785"/>
    <cellStyle name="Total 2 7 3" xfId="7272"/>
    <cellStyle name="Total 2 7 3 2" xfId="10705"/>
    <cellStyle name="Total 2 7 4" xfId="9784"/>
    <cellStyle name="Total 2 8" xfId="4603"/>
    <cellStyle name="Total 2 8 2" xfId="4604"/>
    <cellStyle name="Total 2 8 2 2" xfId="9787"/>
    <cellStyle name="Total 2 8 3" xfId="7273"/>
    <cellStyle name="Total 2 8 3 2" xfId="10706"/>
    <cellStyle name="Total 2 8 4" xfId="9786"/>
    <cellStyle name="Total 2 9" xfId="4605"/>
    <cellStyle name="Total 2 9 2" xfId="4606"/>
    <cellStyle name="Total 2 9 2 2" xfId="9789"/>
    <cellStyle name="Total 2 9 3" xfId="7274"/>
    <cellStyle name="Total 2 9 3 2" xfId="10707"/>
    <cellStyle name="Total 2 9 4" xfId="9788"/>
    <cellStyle name="Total 20" xfId="4607"/>
    <cellStyle name="Total 20 2" xfId="4608"/>
    <cellStyle name="Total 20 3" xfId="7275"/>
    <cellStyle name="Total 20 3 2" xfId="10708"/>
    <cellStyle name="Total 20 4" xfId="9790"/>
    <cellStyle name="Total 21" xfId="4609"/>
    <cellStyle name="Total 21 2" xfId="4610"/>
    <cellStyle name="Total 21 3" xfId="7276"/>
    <cellStyle name="Total 21 3 2" xfId="10709"/>
    <cellStyle name="Total 21 4" xfId="9791"/>
    <cellStyle name="Total 22" xfId="4611"/>
    <cellStyle name="Total 22 2" xfId="4612"/>
    <cellStyle name="Total 22 3" xfId="7277"/>
    <cellStyle name="Total 22 3 2" xfId="10710"/>
    <cellStyle name="Total 22 4" xfId="9792"/>
    <cellStyle name="Total 23" xfId="4613"/>
    <cellStyle name="Total 23 2" xfId="4614"/>
    <cellStyle name="Total 23 3" xfId="7278"/>
    <cellStyle name="Total 23 3 2" xfId="10711"/>
    <cellStyle name="Total 23 4" xfId="9793"/>
    <cellStyle name="Total 24" xfId="4615"/>
    <cellStyle name="Total 24 2" xfId="4616"/>
    <cellStyle name="Total 24 3" xfId="7279"/>
    <cellStyle name="Total 24 3 2" xfId="10712"/>
    <cellStyle name="Total 24 4" xfId="9794"/>
    <cellStyle name="Total 25" xfId="4617"/>
    <cellStyle name="Total 25 2" xfId="4618"/>
    <cellStyle name="Total 25 3" xfId="7280"/>
    <cellStyle name="Total 25 3 2" xfId="10713"/>
    <cellStyle name="Total 25 4" xfId="9795"/>
    <cellStyle name="Total 26" xfId="4619"/>
    <cellStyle name="Total 26 2" xfId="4620"/>
    <cellStyle name="Total 26 3" xfId="7281"/>
    <cellStyle name="Total 26 3 2" xfId="10714"/>
    <cellStyle name="Total 26 4" xfId="9796"/>
    <cellStyle name="Total 27" xfId="4621"/>
    <cellStyle name="Total 27 2" xfId="4622"/>
    <cellStyle name="Total 27 3" xfId="7282"/>
    <cellStyle name="Total 27 3 2" xfId="10715"/>
    <cellStyle name="Total 27 4" xfId="9797"/>
    <cellStyle name="Total 28" xfId="4623"/>
    <cellStyle name="Total 28 2" xfId="4624"/>
    <cellStyle name="Total 28 3" xfId="7283"/>
    <cellStyle name="Total 28 3 2" xfId="10716"/>
    <cellStyle name="Total 28 4" xfId="9798"/>
    <cellStyle name="Total 29" xfId="4625"/>
    <cellStyle name="Total 29 2" xfId="4626"/>
    <cellStyle name="Total 29 3" xfId="7284"/>
    <cellStyle name="Total 29 3 2" xfId="10717"/>
    <cellStyle name="Total 29 4" xfId="9799"/>
    <cellStyle name="Total 3" xfId="4627"/>
    <cellStyle name="Total 3 10" xfId="4628"/>
    <cellStyle name="Total 3 10 2" xfId="4629"/>
    <cellStyle name="Total 3 10 3" xfId="7285"/>
    <cellStyle name="Total 3 10 3 2" xfId="10718"/>
    <cellStyle name="Total 3 10 4" xfId="9801"/>
    <cellStyle name="Total 3 11" xfId="4630"/>
    <cellStyle name="Total 3 11 2" xfId="4631"/>
    <cellStyle name="Total 3 11 3" xfId="7286"/>
    <cellStyle name="Total 3 11 3 2" xfId="10719"/>
    <cellStyle name="Total 3 11 4" xfId="9802"/>
    <cellStyle name="Total 3 12" xfId="4632"/>
    <cellStyle name="Total 3 12 2" xfId="4633"/>
    <cellStyle name="Total 3 12 3" xfId="7287"/>
    <cellStyle name="Total 3 12 3 2" xfId="10720"/>
    <cellStyle name="Total 3 12 4" xfId="9803"/>
    <cellStyle name="Total 3 13" xfId="4634"/>
    <cellStyle name="Total 3 13 2" xfId="4635"/>
    <cellStyle name="Total 3 13 3" xfId="7288"/>
    <cellStyle name="Total 3 13 3 2" xfId="10721"/>
    <cellStyle name="Total 3 13 4" xfId="9804"/>
    <cellStyle name="Total 3 14" xfId="4636"/>
    <cellStyle name="Total 3 14 2" xfId="4637"/>
    <cellStyle name="Total 3 14 3" xfId="7289"/>
    <cellStyle name="Total 3 14 3 2" xfId="10722"/>
    <cellStyle name="Total 3 14 4" xfId="9805"/>
    <cellStyle name="Total 3 15" xfId="4638"/>
    <cellStyle name="Total 3 15 2" xfId="4639"/>
    <cellStyle name="Total 3 15 3" xfId="7290"/>
    <cellStyle name="Total 3 15 3 2" xfId="10723"/>
    <cellStyle name="Total 3 15 4" xfId="9806"/>
    <cellStyle name="Total 3 16" xfId="4640"/>
    <cellStyle name="Total 3 16 2" xfId="4641"/>
    <cellStyle name="Total 3 16 3" xfId="7291"/>
    <cellStyle name="Total 3 16 3 2" xfId="10724"/>
    <cellStyle name="Total 3 16 4" xfId="9807"/>
    <cellStyle name="Total 3 17" xfId="4642"/>
    <cellStyle name="Total 3 17 2" xfId="4643"/>
    <cellStyle name="Total 3 17 3" xfId="7292"/>
    <cellStyle name="Total 3 17 3 2" xfId="10725"/>
    <cellStyle name="Total 3 17 4" xfId="9808"/>
    <cellStyle name="Total 3 18" xfId="4644"/>
    <cellStyle name="Total 3 18 2" xfId="4645"/>
    <cellStyle name="Total 3 18 3" xfId="7293"/>
    <cellStyle name="Total 3 18 3 2" xfId="10726"/>
    <cellStyle name="Total 3 18 4" xfId="9809"/>
    <cellStyle name="Total 3 19" xfId="4646"/>
    <cellStyle name="Total 3 19 2" xfId="4647"/>
    <cellStyle name="Total 3 19 3" xfId="7294"/>
    <cellStyle name="Total 3 19 3 2" xfId="10727"/>
    <cellStyle name="Total 3 19 4" xfId="9810"/>
    <cellStyle name="Total 3 2" xfId="4648"/>
    <cellStyle name="Total 3 2 2" xfId="4649"/>
    <cellStyle name="Total 3 2 3" xfId="7295"/>
    <cellStyle name="Total 3 2 3 2" xfId="10728"/>
    <cellStyle name="Total 3 2 4" xfId="9811"/>
    <cellStyle name="Total 3 20" xfId="4650"/>
    <cellStyle name="Total 3 20 2" xfId="4651"/>
    <cellStyle name="Total 3 20 3" xfId="7296"/>
    <cellStyle name="Total 3 20 3 2" xfId="10729"/>
    <cellStyle name="Total 3 20 4" xfId="9812"/>
    <cellStyle name="Total 3 21" xfId="4652"/>
    <cellStyle name="Total 3 21 2" xfId="4653"/>
    <cellStyle name="Total 3 21 3" xfId="7297"/>
    <cellStyle name="Total 3 21 3 2" xfId="10730"/>
    <cellStyle name="Total 3 21 4" xfId="9813"/>
    <cellStyle name="Total 3 22" xfId="4654"/>
    <cellStyle name="Total 3 23" xfId="7298"/>
    <cellStyle name="Total 3 23 2" xfId="10731"/>
    <cellStyle name="Total 3 24" xfId="9800"/>
    <cellStyle name="Total 3 3" xfId="4655"/>
    <cellStyle name="Total 3 3 2" xfId="4656"/>
    <cellStyle name="Total 3 3 3" xfId="7299"/>
    <cellStyle name="Total 3 3 3 2" xfId="10732"/>
    <cellStyle name="Total 3 3 4" xfId="9814"/>
    <cellStyle name="Total 3 4" xfId="4657"/>
    <cellStyle name="Total 3 4 2" xfId="4658"/>
    <cellStyle name="Total 3 4 3" xfId="7300"/>
    <cellStyle name="Total 3 4 3 2" xfId="10733"/>
    <cellStyle name="Total 3 4 4" xfId="9815"/>
    <cellStyle name="Total 3 5" xfId="4659"/>
    <cellStyle name="Total 3 5 2" xfId="4660"/>
    <cellStyle name="Total 3 5 3" xfId="7301"/>
    <cellStyle name="Total 3 5 3 2" xfId="10734"/>
    <cellStyle name="Total 3 5 4" xfId="9816"/>
    <cellStyle name="Total 3 6" xfId="4661"/>
    <cellStyle name="Total 3 6 2" xfId="4662"/>
    <cellStyle name="Total 3 6 3" xfId="7302"/>
    <cellStyle name="Total 3 6 3 2" xfId="10735"/>
    <cellStyle name="Total 3 6 4" xfId="9817"/>
    <cellStyle name="Total 3 7" xfId="4663"/>
    <cellStyle name="Total 3 7 2" xfId="4664"/>
    <cellStyle name="Total 3 7 3" xfId="7303"/>
    <cellStyle name="Total 3 7 3 2" xfId="10736"/>
    <cellStyle name="Total 3 7 4" xfId="9818"/>
    <cellStyle name="Total 3 8" xfId="4665"/>
    <cellStyle name="Total 3 8 2" xfId="4666"/>
    <cellStyle name="Total 3 8 3" xfId="7304"/>
    <cellStyle name="Total 3 8 3 2" xfId="10737"/>
    <cellStyle name="Total 3 8 4" xfId="9819"/>
    <cellStyle name="Total 3 9" xfId="4667"/>
    <cellStyle name="Total 3 9 2" xfId="4668"/>
    <cellStyle name="Total 3 9 3" xfId="7305"/>
    <cellStyle name="Total 3 9 3 2" xfId="10738"/>
    <cellStyle name="Total 3 9 4" xfId="9820"/>
    <cellStyle name="Total 30" xfId="4669"/>
    <cellStyle name="Total 30 2" xfId="4670"/>
    <cellStyle name="Total 30 3" xfId="7306"/>
    <cellStyle name="Total 30 3 2" xfId="10739"/>
    <cellStyle name="Total 30 4" xfId="9821"/>
    <cellStyle name="Total 31" xfId="4671"/>
    <cellStyle name="Total 31 2" xfId="4672"/>
    <cellStyle name="Total 31 3" xfId="7307"/>
    <cellStyle name="Total 31 3 2" xfId="10740"/>
    <cellStyle name="Total 31 4" xfId="9822"/>
    <cellStyle name="Total 32" xfId="4673"/>
    <cellStyle name="Total 32 2" xfId="4674"/>
    <cellStyle name="Total 32 3" xfId="7308"/>
    <cellStyle name="Total 32 3 2" xfId="10741"/>
    <cellStyle name="Total 32 4" xfId="9823"/>
    <cellStyle name="Total 33" xfId="4675"/>
    <cellStyle name="Total 33 2" xfId="4676"/>
    <cellStyle name="Total 33 3" xfId="7309"/>
    <cellStyle name="Total 33 3 2" xfId="10742"/>
    <cellStyle name="Total 33 4" xfId="9824"/>
    <cellStyle name="Total 34" xfId="4677"/>
    <cellStyle name="Total 34 2" xfId="4678"/>
    <cellStyle name="Total 34 3" xfId="7310"/>
    <cellStyle name="Total 34 3 2" xfId="10743"/>
    <cellStyle name="Total 34 4" xfId="9825"/>
    <cellStyle name="Total 35" xfId="4679"/>
    <cellStyle name="Total 35 2" xfId="4680"/>
    <cellStyle name="Total 35 3" xfId="7311"/>
    <cellStyle name="Total 35 3 2" xfId="10744"/>
    <cellStyle name="Total 35 4" xfId="9826"/>
    <cellStyle name="Total 36" xfId="4681"/>
    <cellStyle name="Total 36 2" xfId="4682"/>
    <cellStyle name="Total 36 3" xfId="7312"/>
    <cellStyle name="Total 36 3 2" xfId="10745"/>
    <cellStyle name="Total 36 4" xfId="9827"/>
    <cellStyle name="Total 37" xfId="4683"/>
    <cellStyle name="Total 37 2" xfId="4684"/>
    <cellStyle name="Total 37 3" xfId="7313"/>
    <cellStyle name="Total 37 3 2" xfId="10746"/>
    <cellStyle name="Total 37 4" xfId="9828"/>
    <cellStyle name="Total 4" xfId="4685"/>
    <cellStyle name="Total 4 2" xfId="4686"/>
    <cellStyle name="Total 4 3" xfId="7314"/>
    <cellStyle name="Total 4 3 2" xfId="10747"/>
    <cellStyle name="Total 4 4" xfId="9829"/>
    <cellStyle name="Total 5" xfId="4687"/>
    <cellStyle name="Total 5 2" xfId="4688"/>
    <cellStyle name="Total 5 3" xfId="7315"/>
    <cellStyle name="Total 5 3 2" xfId="10748"/>
    <cellStyle name="Total 5 4" xfId="9830"/>
    <cellStyle name="Total 6" xfId="4689"/>
    <cellStyle name="Total 6 2" xfId="4690"/>
    <cellStyle name="Total 6 3" xfId="7316"/>
    <cellStyle name="Total 6 3 2" xfId="10749"/>
    <cellStyle name="Total 6 4" xfId="9831"/>
    <cellStyle name="Total 7" xfId="4691"/>
    <cellStyle name="Total 7 2" xfId="4692"/>
    <cellStyle name="Total 7 3" xfId="7317"/>
    <cellStyle name="Total 7 3 2" xfId="10750"/>
    <cellStyle name="Total 7 4" xfId="9832"/>
    <cellStyle name="Total 8" xfId="4693"/>
    <cellStyle name="Total 8 2" xfId="4694"/>
    <cellStyle name="Total 8 3" xfId="7318"/>
    <cellStyle name="Total 8 3 2" xfId="10751"/>
    <cellStyle name="Total 8 4" xfId="9833"/>
    <cellStyle name="Total 9" xfId="4695"/>
    <cellStyle name="Total 9 2" xfId="4696"/>
    <cellStyle name="Total 9 3" xfId="7319"/>
    <cellStyle name="Total 9 3 2" xfId="10752"/>
    <cellStyle name="Total 9 4" xfId="9834"/>
    <cellStyle name="TotCol - Style5" xfId="4697"/>
    <cellStyle name="TotCol - Style5 2" xfId="4698"/>
    <cellStyle name="TotCol - Style5 3" xfId="7320"/>
    <cellStyle name="TotCol - Style5 3 2" xfId="10753"/>
    <cellStyle name="TotCol - Style5 4" xfId="9835"/>
    <cellStyle name="TotRow - Style4" xfId="4699"/>
    <cellStyle name="TotRow - Style4 2" xfId="4700"/>
    <cellStyle name="TotRow - Style4 2 2" xfId="10917"/>
    <cellStyle name="TotRow - Style4 3" xfId="7321"/>
    <cellStyle name="TotRow - Style4 3 2" xfId="10754"/>
    <cellStyle name="TotRow - Style4 4" xfId="9836"/>
    <cellStyle name="underline" xfId="4701"/>
    <cellStyle name="underline 2" xfId="4702"/>
    <cellStyle name="underline 3" xfId="7322"/>
    <cellStyle name="underline 3 2" xfId="10755"/>
    <cellStyle name="underline 4" xfId="9837"/>
    <cellStyle name="Währung [0]_35ERI8T2gbIEMixb4v26icuOo" xfId="4703"/>
    <cellStyle name="Währung_35ERI8T2gbIEMixb4v26icuOo" xfId="4704"/>
    <cellStyle name="Warning Text 2" xfId="4705"/>
    <cellStyle name="Warning Text 2 2" xfId="4706"/>
    <cellStyle name="Warning Text 2 2 2" xfId="9839"/>
    <cellStyle name="Warning Text 2 3" xfId="7323"/>
    <cellStyle name="Warning Text 2 3 2" xfId="10756"/>
    <cellStyle name="Warning Text 2 4" xfId="9838"/>
    <cellStyle name="Warning Text 3" xfId="4707"/>
    <cellStyle name="Warning Text 3 2" xfId="4708"/>
    <cellStyle name="Warning Text 3 3" xfId="7324"/>
    <cellStyle name="Warning Text 3 3 2" xfId="10757"/>
    <cellStyle name="Warning Text 3 4" xfId="9840"/>
    <cellStyle name="เครื่องหมายจุลภาค [0]_N1222H#" xfId="4709"/>
    <cellStyle name="เครื่องหมายจุลภาค_N1222H#" xfId="4710"/>
    <cellStyle name="เครื่องหมายสกุลเงิน [0]_N1222H#" xfId="4711"/>
    <cellStyle name="เครื่องหมายสกุลเงิน_N1222H#" xfId="4712"/>
    <cellStyle name="ปกติ_N1222H#" xfId="4713"/>
    <cellStyle name="뒤에 오는 하이퍼링크_GL0803" xfId="4714"/>
    <cellStyle name="똿뗦먛귟 [0.00]_PRODUCT DETAIL Q1" xfId="4715"/>
    <cellStyle name="똿뗦먛귟_PRODUCT DETAIL Q1" xfId="4716"/>
    <cellStyle name="믅됞 [0.00]_PRODUCT DETAIL Q1" xfId="4717"/>
    <cellStyle name="믅됞_PRODUCT DETAIL Q1" xfId="4718"/>
    <cellStyle name="백분율_HOBONG" xfId="4719"/>
    <cellStyle name="뷭?_BOOKSHIP" xfId="4720"/>
    <cellStyle name="콤마 [0]_1202" xfId="4721"/>
    <cellStyle name="콤마_1202" xfId="4722"/>
    <cellStyle name="통화 [0]_1202" xfId="4723"/>
    <cellStyle name="통화_1202" xfId="4724"/>
    <cellStyle name="표준_(정보부문)월별인원계획" xfId="4725"/>
    <cellStyle name="하이퍼링크_GL0803" xfId="4726"/>
    <cellStyle name="一般_17 JAN" xfId="4727"/>
    <cellStyle name="千分位[0]_17 JAN" xfId="4728"/>
    <cellStyle name="千分位_17 JAN" xfId="4729"/>
    <cellStyle name="標準_456" xfId="4730"/>
    <cellStyle name="貨幣 [0]_17 JAN" xfId="4731"/>
    <cellStyle name="貨幣_17 JAN_EVALUASI MG TERBARU" xfId="4732"/>
    <cellStyle name="通貨 [0.00]_8-2" xfId="4733"/>
    <cellStyle name="通貨_8-2" xfId="4734"/>
  </cellStyles>
  <dxfs count="0"/>
  <tableStyles count="0" defaultTableStyle="TableStyleMedium2" defaultPivotStyle="PivotStyleLight16"/>
  <colors>
    <mruColors>
      <color rgb="FF00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26" Type="http://schemas.openxmlformats.org/officeDocument/2006/relationships/externalLink" Target="externalLinks/externalLink14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9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5" Type="http://schemas.openxmlformats.org/officeDocument/2006/relationships/externalLink" Target="externalLinks/externalLink1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externalLink" Target="externalLinks/externalLink8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2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23" Type="http://schemas.openxmlformats.org/officeDocument/2006/relationships/externalLink" Target="externalLinks/externalLink11.xml"/><Relationship Id="rId28" Type="http://schemas.openxmlformats.org/officeDocument/2006/relationships/externalLink" Target="externalLinks/externalLink16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7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externalLink" Target="externalLinks/externalLink10.xml"/><Relationship Id="rId27" Type="http://schemas.openxmlformats.org/officeDocument/2006/relationships/externalLink" Target="externalLinks/externalLink15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i="1"/>
            </a:pPr>
            <a:r>
              <a:rPr lang="en-US" sz="1400" i="1"/>
              <a:t>Performance</a:t>
            </a:r>
            <a:r>
              <a:rPr lang="en-US" sz="1400" i="1" baseline="0"/>
              <a:t> Mam</a:t>
            </a:r>
            <a:endParaRPr lang="en-US" sz="1400" i="1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9.0096916989853948E-2"/>
          <c:y val="6.8876775018507294E-2"/>
          <c:w val="0.70969017662828326"/>
          <c:h val="0.891550479267014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'Performance DEC''17'!$B$4</c:f>
              <c:strCache>
                <c:ptCount val="1"/>
                <c:pt idx="0">
                  <c:v>Dec-17</c:v>
                </c:pt>
              </c:strCache>
            </c:strRef>
          </c:tx>
          <c:invertIfNegative val="0"/>
          <c:cat>
            <c:strRef>
              <c:f>'Performance DEC''17'!$A$5:$A$10</c:f>
              <c:strCache>
                <c:ptCount val="6"/>
                <c:pt idx="0">
                  <c:v>Revenues</c:v>
                </c:pt>
                <c:pt idx="1">
                  <c:v>Operating Expenses</c:v>
                </c:pt>
                <c:pt idx="2">
                  <c:v>Operating Income</c:v>
                </c:pt>
                <c:pt idx="3">
                  <c:v>Net Income</c:v>
                </c:pt>
                <c:pt idx="4">
                  <c:v>EBITDA</c:v>
                </c:pt>
                <c:pt idx="5">
                  <c:v>EBITDA Margin</c:v>
                </c:pt>
              </c:strCache>
            </c:strRef>
          </c:cat>
          <c:val>
            <c:numRef>
              <c:f>'Performance DEC''17'!$B$5:$B$10</c:f>
              <c:numCache>
                <c:formatCode>_(* #,##0.0_);_(* \(#,##0.0\);_(* "-"_);_(@_)</c:formatCode>
                <c:ptCount val="6"/>
                <c:pt idx="0">
                  <c:v>31.321009990290001</c:v>
                </c:pt>
                <c:pt idx="1">
                  <c:v>31.204444718509993</c:v>
                </c:pt>
                <c:pt idx="2">
                  <c:v>0.11656527178000786</c:v>
                </c:pt>
                <c:pt idx="3">
                  <c:v>0.14259372630000647</c:v>
                </c:pt>
                <c:pt idx="4">
                  <c:v>2.5686114584700066</c:v>
                </c:pt>
                <c:pt idx="5" formatCode="0%">
                  <c:v>8.2009215515920969E-2</c:v>
                </c:pt>
              </c:numCache>
            </c:numRef>
          </c:val>
        </c:ser>
        <c:ser>
          <c:idx val="1"/>
          <c:order val="1"/>
          <c:tx>
            <c:strRef>
              <c:f>'Performance DEC''17'!$C$4</c:f>
              <c:strCache>
                <c:ptCount val="1"/>
                <c:pt idx="0">
                  <c:v>Dec-16</c:v>
                </c:pt>
              </c:strCache>
            </c:strRef>
          </c:tx>
          <c:invertIfNegative val="0"/>
          <c:cat>
            <c:strRef>
              <c:f>'Performance DEC''17'!$A$5:$A$10</c:f>
              <c:strCache>
                <c:ptCount val="6"/>
                <c:pt idx="0">
                  <c:v>Revenues</c:v>
                </c:pt>
                <c:pt idx="1">
                  <c:v>Operating Expenses</c:v>
                </c:pt>
                <c:pt idx="2">
                  <c:v>Operating Income</c:v>
                </c:pt>
                <c:pt idx="3">
                  <c:v>Net Income</c:v>
                </c:pt>
                <c:pt idx="4">
                  <c:v>EBITDA</c:v>
                </c:pt>
                <c:pt idx="5">
                  <c:v>EBITDA Margin</c:v>
                </c:pt>
              </c:strCache>
            </c:strRef>
          </c:cat>
          <c:val>
            <c:numRef>
              <c:f>'Performance DEC''17'!$C$5:$C$10</c:f>
              <c:numCache>
                <c:formatCode>_(* #,##0.0_);_(* \(#,##0.0\);_(* "-"_);_(@_)</c:formatCode>
                <c:ptCount val="6"/>
                <c:pt idx="0">
                  <c:v>35.55758286855</c:v>
                </c:pt>
                <c:pt idx="1">
                  <c:v>30.867200343009998</c:v>
                </c:pt>
                <c:pt idx="2">
                  <c:v>4.6903825255400022</c:v>
                </c:pt>
                <c:pt idx="3">
                  <c:v>3.3603587503279155</c:v>
                </c:pt>
                <c:pt idx="4">
                  <c:v>7.0059806380900049</c:v>
                </c:pt>
                <c:pt idx="5" formatCode="0%">
                  <c:v>0.19703197104229098</c:v>
                </c:pt>
              </c:numCache>
            </c:numRef>
          </c:val>
        </c:ser>
        <c:ser>
          <c:idx val="2"/>
          <c:order val="2"/>
          <c:tx>
            <c:strRef>
              <c:f>'Performance DEC''17'!$D$3</c:f>
              <c:strCache>
                <c:ptCount val="1"/>
                <c:pt idx="0">
                  <c:v>Budget</c:v>
                </c:pt>
              </c:strCache>
            </c:strRef>
          </c:tx>
          <c:invertIfNegative val="0"/>
          <c:cat>
            <c:strRef>
              <c:f>'Performance DEC''17'!$A$5:$A$10</c:f>
              <c:strCache>
                <c:ptCount val="6"/>
                <c:pt idx="0">
                  <c:v>Revenues</c:v>
                </c:pt>
                <c:pt idx="1">
                  <c:v>Operating Expenses</c:v>
                </c:pt>
                <c:pt idx="2">
                  <c:v>Operating Income</c:v>
                </c:pt>
                <c:pt idx="3">
                  <c:v>Net Income</c:v>
                </c:pt>
                <c:pt idx="4">
                  <c:v>EBITDA</c:v>
                </c:pt>
                <c:pt idx="5">
                  <c:v>EBITDA Margin</c:v>
                </c:pt>
              </c:strCache>
            </c:strRef>
          </c:cat>
          <c:val>
            <c:numRef>
              <c:f>'Performance DEC''17'!$D$5:$D$10</c:f>
              <c:numCache>
                <c:formatCode>_(* #,##0.0_);_(* \(#,##0.0\);_(* "-"_);_(@_)</c:formatCode>
                <c:ptCount val="6"/>
                <c:pt idx="0">
                  <c:v>50.40318474204193</c:v>
                </c:pt>
                <c:pt idx="1">
                  <c:v>48.862881433532394</c:v>
                </c:pt>
                <c:pt idx="2">
                  <c:v>1.5403033085095359</c:v>
                </c:pt>
                <c:pt idx="3">
                  <c:v>6.0108755675478855</c:v>
                </c:pt>
                <c:pt idx="4">
                  <c:v>9.2333126803928707</c:v>
                </c:pt>
                <c:pt idx="5" formatCode="0%">
                  <c:v>0.18318907282640909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axId val="269521664"/>
        <c:axId val="306094080"/>
      </c:barChart>
      <c:catAx>
        <c:axId val="2695216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lang="en-US"/>
            </a:pPr>
            <a:endParaRPr lang="en-US"/>
          </a:p>
        </c:txPr>
        <c:crossAx val="306094080"/>
        <c:crosses val="autoZero"/>
        <c:auto val="1"/>
        <c:lblAlgn val="ctr"/>
        <c:lblOffset val="100"/>
        <c:noMultiLvlLbl val="0"/>
      </c:catAx>
      <c:valAx>
        <c:axId val="306094080"/>
        <c:scaling>
          <c:orientation val="minMax"/>
        </c:scaling>
        <c:delete val="0"/>
        <c:axPos val="l"/>
        <c:numFmt formatCode="_(* #,##0.0_);_(* \(#,##0.0\);_(* &quot;-&quot;_);_(@_)" sourceLinked="1"/>
        <c:majorTickMark val="out"/>
        <c:minorTickMark val="none"/>
        <c:tickLblPos val="nextTo"/>
        <c:txPr>
          <a:bodyPr/>
          <a:lstStyle/>
          <a:p>
            <a:pPr>
              <a:defRPr lang="en-US"/>
            </a:pPr>
            <a:endParaRPr lang="en-US"/>
          </a:p>
        </c:txPr>
        <c:crossAx val="269521664"/>
        <c:crosses val="autoZero"/>
        <c:crossBetween val="between"/>
      </c:valAx>
      <c:spPr>
        <a:blipFill dpi="0" rotWithShape="1">
          <a:blip xmlns:r="http://schemas.openxmlformats.org/officeDocument/2006/relationships" r:embed="rId1">
            <a:alphaModFix amt="19000"/>
          </a:blip>
          <a:srcRect/>
          <a:stretch>
            <a:fillRect t="-1000" b="-39000"/>
          </a:stretch>
        </a:blipFill>
        <a:ln w="25400">
          <a:noFill/>
        </a:ln>
      </c:spPr>
    </c:plotArea>
    <c:legend>
      <c:legendPos val="r"/>
      <c:overlay val="0"/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979755004685361E-2"/>
          <c:y val="4.5034084680534311E-2"/>
          <c:w val="0.88436685886817845"/>
          <c:h val="0.77099356483413062"/>
        </c:manualLayout>
      </c:layout>
      <c:lineChart>
        <c:grouping val="percentStacked"/>
        <c:varyColors val="0"/>
        <c:ser>
          <c:idx val="0"/>
          <c:order val="0"/>
          <c:tx>
            <c:strRef>
              <c:f>'Performance DEC''17'!$B$51</c:f>
              <c:strCache>
                <c:ptCount val="1"/>
                <c:pt idx="0">
                  <c:v>Growth</c:v>
                </c:pt>
              </c:strCache>
            </c:strRef>
          </c:tx>
          <c:marker>
            <c:symbol val="none"/>
          </c:marker>
          <c:cat>
            <c:strRef>
              <c:f>'Performance DEC''17'!$A$52:$A$57</c:f>
              <c:strCache>
                <c:ptCount val="6"/>
                <c:pt idx="0">
                  <c:v>Revenues</c:v>
                </c:pt>
                <c:pt idx="1">
                  <c:v>Operating Expenses</c:v>
                </c:pt>
                <c:pt idx="2">
                  <c:v>Operating Income</c:v>
                </c:pt>
                <c:pt idx="3">
                  <c:v>Net Income</c:v>
                </c:pt>
                <c:pt idx="4">
                  <c:v>EBITDA</c:v>
                </c:pt>
                <c:pt idx="5">
                  <c:v>EBITDA Margin</c:v>
                </c:pt>
              </c:strCache>
            </c:strRef>
          </c:cat>
          <c:val>
            <c:numRef>
              <c:f>'Performance DEC''17'!$B$52:$B$57</c:f>
              <c:numCache>
                <c:formatCode>0%</c:formatCode>
                <c:ptCount val="6"/>
                <c:pt idx="0">
                  <c:v>-0.1191468186665513</c:v>
                </c:pt>
                <c:pt idx="1">
                  <c:v>1.0925654797078632E-2</c:v>
                </c:pt>
                <c:pt idx="2">
                  <c:v>-0.9751480244638282</c:v>
                </c:pt>
                <c:pt idx="3">
                  <c:v>-0.95756592170818322</c:v>
                </c:pt>
                <c:pt idx="4">
                  <c:v>-0.63336874719507219</c:v>
                </c:pt>
                <c:pt idx="5">
                  <c:v>-0.58377711453580039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'Performance DEC''17'!$C$51</c:f>
              <c:strCache>
                <c:ptCount val="1"/>
                <c:pt idx="0">
                  <c:v>Ach</c:v>
                </c:pt>
              </c:strCache>
            </c:strRef>
          </c:tx>
          <c:marker>
            <c:symbol val="none"/>
          </c:marker>
          <c:cat>
            <c:strRef>
              <c:f>'Performance DEC''17'!$A$52:$A$57</c:f>
              <c:strCache>
                <c:ptCount val="6"/>
                <c:pt idx="0">
                  <c:v>Revenues</c:v>
                </c:pt>
                <c:pt idx="1">
                  <c:v>Operating Expenses</c:v>
                </c:pt>
                <c:pt idx="2">
                  <c:v>Operating Income</c:v>
                </c:pt>
                <c:pt idx="3">
                  <c:v>Net Income</c:v>
                </c:pt>
                <c:pt idx="4">
                  <c:v>EBITDA</c:v>
                </c:pt>
                <c:pt idx="5">
                  <c:v>EBITDA Margin</c:v>
                </c:pt>
              </c:strCache>
            </c:strRef>
          </c:cat>
          <c:val>
            <c:numRef>
              <c:f>'Performance DEC''17'!$C$52:$C$57</c:f>
              <c:numCache>
                <c:formatCode>0%</c:formatCode>
                <c:ptCount val="6"/>
                <c:pt idx="0">
                  <c:v>0.62140934448066243</c:v>
                </c:pt>
                <c:pt idx="1">
                  <c:v>0.63861245597963834</c:v>
                </c:pt>
                <c:pt idx="2">
                  <c:v>7.5676830099651912E-2</c:v>
                </c:pt>
                <c:pt idx="3">
                  <c:v>2.3722621554479632E-2</c:v>
                </c:pt>
                <c:pt idx="4">
                  <c:v>-0.27818958887036349</c:v>
                </c:pt>
                <c:pt idx="5">
                  <c:v>-0.4476752584125655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2062976"/>
        <c:axId val="342091264"/>
      </c:lineChart>
      <c:catAx>
        <c:axId val="34206297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txPr>
          <a:bodyPr/>
          <a:lstStyle/>
          <a:p>
            <a:pPr>
              <a:defRPr lang="en-US"/>
            </a:pPr>
            <a:endParaRPr lang="en-US"/>
          </a:p>
        </c:txPr>
        <c:crossAx val="342091264"/>
        <c:crosses val="autoZero"/>
        <c:auto val="1"/>
        <c:lblAlgn val="ctr"/>
        <c:lblOffset val="100"/>
        <c:noMultiLvlLbl val="0"/>
      </c:catAx>
      <c:valAx>
        <c:axId val="3420912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0%" sourceLinked="1"/>
        <c:majorTickMark val="none"/>
        <c:minorTickMark val="none"/>
        <c:tickLblPos val="low"/>
        <c:txPr>
          <a:bodyPr/>
          <a:lstStyle/>
          <a:p>
            <a:pPr>
              <a:defRPr lang="en-US"/>
            </a:pPr>
            <a:endParaRPr lang="en-US"/>
          </a:p>
        </c:txPr>
        <c:crossAx val="342062976"/>
        <c:crosses val="autoZero"/>
        <c:crossBetween val="between"/>
      </c:valAx>
      <c:spPr>
        <a:blipFill dpi="0" rotWithShape="1">
          <a:blip xmlns:r="http://schemas.openxmlformats.org/officeDocument/2006/relationships" r:embed="rId1">
            <a:alphaModFix amt="26000"/>
          </a:blip>
          <a:srcRect/>
          <a:stretch>
            <a:fillRect l="1000" t="-13000" b="-44000"/>
          </a:stretch>
        </a:blipFill>
      </c:spPr>
    </c:plotArea>
    <c:legend>
      <c:legendPos val="b"/>
      <c:layout>
        <c:manualLayout>
          <c:xMode val="edge"/>
          <c:yMode val="edge"/>
          <c:x val="0.40203602915332665"/>
          <c:y val="4.4735680596995439E-2"/>
          <c:w val="0.26681832162026625"/>
          <c:h val="8.946395952612185E-2"/>
        </c:manualLayout>
      </c:layout>
      <c:overlay val="0"/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190637</xdr:colOff>
      <xdr:row>5</xdr:row>
      <xdr:rowOff>171450</xdr:rowOff>
    </xdr:from>
    <xdr:to>
      <xdr:col>9</xdr:col>
      <xdr:colOff>419100</xdr:colOff>
      <xdr:row>15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237" y="1133475"/>
          <a:ext cx="4505188" cy="18859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19</xdr:row>
      <xdr:rowOff>28575</xdr:rowOff>
    </xdr:from>
    <xdr:to>
      <xdr:col>7</xdr:col>
      <xdr:colOff>133349</xdr:colOff>
      <xdr:row>32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9</xdr:col>
      <xdr:colOff>314325</xdr:colOff>
      <xdr:row>9</xdr:row>
      <xdr:rowOff>76200</xdr:rowOff>
    </xdr:from>
    <xdr:ext cx="184731" cy="264560"/>
    <xdr:sp macro="" textlink="">
      <xdr:nvSpPr>
        <xdr:cNvPr id="3" name="TextBox 2"/>
        <xdr:cNvSpPr txBox="1"/>
      </xdr:nvSpPr>
      <xdr:spPr>
        <a:xfrm>
          <a:off x="8353425" y="1790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0</xdr:col>
      <xdr:colOff>19049</xdr:colOff>
      <xdr:row>33</xdr:row>
      <xdr:rowOff>128586</xdr:rowOff>
    </xdr:from>
    <xdr:to>
      <xdr:col>7</xdr:col>
      <xdr:colOff>95249</xdr:colOff>
      <xdr:row>47</xdr:row>
      <xdr:rowOff>28575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_me\HMS\J04\From%20Joestina\Inv%20PNM_0604(report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~1\USER1~1\LOCALS~1\Temp\Rar$DI00.531\My%20Documents\My%20Received%20Files\PT%20ABC\Report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6.225.247\Unit%20Pelaporan\Documents%20and%20Settings\herrse.EY-ID01\My%20Documents\Clients\Mandiri\2003%20Dec\A%20Section\A5\Documents%20and%20Settings\CHARDI\My%20Documents\The%20Clients\Mandiri\June%202003\Subsidiaries\BMEL%20-%2030-06-0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FINANCE\Exhibit\2003\Prepaid%20and%20Accrual\ACCR%20010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canner_akt\Application%20Data\Microsoft\Excel\Audit%20CMNP%20Juni%202011\FITRI\REQUEST-AN\NERACA%20SALDO%2019%20MEI%200910%20&amp;%206%20MEI%202010\ULLIE_PPN\PERENCANAAN%20DATABASE\Neraca%20saldo%202009\KINGSTON%20(G)\06-Juni%202007\KAP\utama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WS%20BSMI%202009%20(FINAL)\Documents%20and%20Settings\Ayi%20Dong\My%20Documents\KNN\Catur\KKS\Report\Clients\Audit%20Year-2003\PT%20Masaji%20Tatanan%20Container\File%20ter-update\WP-MTCont%20%202003-%2024040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WS%20BSMI%202009%20(FINAL)\Documents%20and%20Settings\Ayi%20Dong\My%20Documents\KNN\Catur\KKS\Report\Documents%20and%20Settings\anggka\My%20Documents\Angela\My%20Clients\Ratu%20Agung%20Sayang\2001\WbsWpl%202001-RA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canner_akt\Application%20Data\Microsoft\Excel\Audit%20CMNP%20Juni%202011\DOCUME~1\Deploy\LOCALS~1\Temp\notesE97E9E\Ner-Desember%202005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canner_akt\Application%20Data\Microsoft\Excel\Audit%20CMNP%20Juni%202011\Documents%20and%20Settings\Yoyo.CITRA\Application%20Data\Microsoft\Excel\Users\Boma\AppData\Local\Temp\Copy%20of%20Draft%20Rhodia%20Manyar%202010_13-1-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canner_akt\Application%20Data\Microsoft\Excel\Audit%20CMNP%20Juni%202011\Documents%20and%20Settings\Yoyo.CITRA\Application%20Data\Microsoft\Excel\Penugasan%202010\PT%20CItra%20Margatama%20Surabaya\CW\WORKSHEET%20CW%2031%20Desember%202010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WS%20BSMI%202009%20(FINAL)\Documents%20and%20Settings\Ayi%20Dong\My%20Documents\KNN\Catur\KKS\Report\Maria's\Client\2003\Samudera%20Indonesia\PT%20Prima%20Nur%20Panurjwan\Update-Report-ASM-SRM\WP%20PT%20Prima%202003-050404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dari%20suwanda\PT%20PDSU%202010\Worksheet\WS-PDSU2010%20(adyt)Update19apr1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ulkarnaen\lajur\Permintaan\REPORT18050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canner_akt/Application%20Data/Microsoft/Excel/Audit%20CMNP%20Juni%202011/kantor/Office/Documents%20and%20Settings/nengah/My%20Documents/My%20Document%20Lama/budgetcms/RKAP/2008/2007-0924%20SERR%20Model2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CGU%20Insurance\BSPL2000%20-%20CGU%20detail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canner_akt\Application%20Data\Microsoft\Excel\Audit%20CMNP%20Juni%202011\Audit\CLIENT\BR%20Group\Lancar\2002\Completion\WS-LP-2002rev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"/>
      <sheetName val="PV"/>
      <sheetName val="Rekap"/>
      <sheetName val="Unit Cost"/>
      <sheetName val="INV"/>
    </sheetNames>
    <sheetDataSet>
      <sheetData sheetId="0" refreshError="1"/>
      <sheetData sheetId="1"/>
      <sheetData sheetId="2" refreshError="1"/>
      <sheetData sheetId="3" refreshError="1"/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-WP"/>
      <sheetName val="AJE"/>
      <sheetName val="FS"/>
      <sheetName val="NOTES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"/>
      <sheetName val="Check Sheet"/>
      <sheetName val="BSHO Report"/>
      <sheetName val="PLHO Report"/>
      <sheetName val="PLHOENG"/>
    </sheetNames>
    <sheetDataSet>
      <sheetData sheetId="0"/>
      <sheetData sheetId="1" refreshError="1">
        <row r="2">
          <cell r="A2">
            <v>37802</v>
          </cell>
        </row>
        <row r="7">
          <cell r="B7">
            <v>8867</v>
          </cell>
          <cell r="C7">
            <v>8881</v>
          </cell>
          <cell r="D7">
            <v>8902</v>
          </cell>
          <cell r="F7">
            <v>8337.5</v>
          </cell>
          <cell r="G7">
            <v>8265</v>
          </cell>
          <cell r="H7">
            <v>9045</v>
          </cell>
          <cell r="I7">
            <v>8838</v>
          </cell>
          <cell r="J7">
            <v>8982</v>
          </cell>
          <cell r="K7">
            <v>9227.5</v>
          </cell>
          <cell r="L7">
            <v>8962</v>
          </cell>
          <cell r="M7">
            <v>8950</v>
          </cell>
        </row>
      </sheetData>
      <sheetData sheetId="2" refreshError="1">
        <row r="1">
          <cell r="D1" t="str">
            <v>Date on :</v>
          </cell>
          <cell r="G1">
            <v>1127</v>
          </cell>
          <cell r="H1" t="str">
            <v>Date on :</v>
          </cell>
          <cell r="K1">
            <v>1155</v>
          </cell>
          <cell r="L1" t="str">
            <v>Date on :</v>
          </cell>
          <cell r="O1">
            <v>1186</v>
          </cell>
          <cell r="P1" t="str">
            <v>Date on :</v>
          </cell>
          <cell r="S1">
            <v>1216</v>
          </cell>
          <cell r="T1" t="str">
            <v>Date on :</v>
          </cell>
          <cell r="U1">
            <v>1244135055149.25</v>
          </cell>
          <cell r="W1">
            <v>1247</v>
          </cell>
          <cell r="X1" t="str">
            <v>Date on :</v>
          </cell>
          <cell r="AA1">
            <v>1277</v>
          </cell>
          <cell r="AB1" t="str">
            <v>Date on :</v>
          </cell>
          <cell r="AE1">
            <v>1308</v>
          </cell>
          <cell r="AF1" t="str">
            <v>Date on :</v>
          </cell>
          <cell r="AI1">
            <v>1339</v>
          </cell>
          <cell r="AJ1" t="str">
            <v>Date on :</v>
          </cell>
          <cell r="AM1">
            <v>1369</v>
          </cell>
          <cell r="AN1" t="str">
            <v>Date on :</v>
          </cell>
          <cell r="AQ1">
            <v>1400</v>
          </cell>
          <cell r="AR1" t="str">
            <v>Date on :</v>
          </cell>
          <cell r="AU1">
            <v>1430</v>
          </cell>
          <cell r="AV1" t="str">
            <v>Date on :</v>
          </cell>
          <cell r="AY1">
            <v>1461</v>
          </cell>
        </row>
        <row r="3">
          <cell r="D3">
            <v>1127</v>
          </cell>
          <cell r="G3">
            <v>1127</v>
          </cell>
          <cell r="H3">
            <v>1155</v>
          </cell>
          <cell r="K3">
            <v>1155</v>
          </cell>
          <cell r="L3">
            <v>1186</v>
          </cell>
          <cell r="O3">
            <v>1186</v>
          </cell>
          <cell r="P3">
            <v>1216</v>
          </cell>
          <cell r="S3">
            <v>1216</v>
          </cell>
          <cell r="T3">
            <v>1247</v>
          </cell>
          <cell r="W3">
            <v>1247</v>
          </cell>
          <cell r="X3">
            <v>1277</v>
          </cell>
          <cell r="AA3">
            <v>1277</v>
          </cell>
          <cell r="AB3">
            <v>1308</v>
          </cell>
          <cell r="AE3">
            <v>1308</v>
          </cell>
          <cell r="AF3">
            <v>1339</v>
          </cell>
          <cell r="AG3" t="str">
            <v xml:space="preserve"> </v>
          </cell>
          <cell r="AI3">
            <v>1339</v>
          </cell>
          <cell r="AJ3">
            <v>1369</v>
          </cell>
          <cell r="AM3">
            <v>1369</v>
          </cell>
          <cell r="AN3">
            <v>1400</v>
          </cell>
          <cell r="AQ3">
            <v>1400</v>
          </cell>
          <cell r="AR3">
            <v>1430</v>
          </cell>
          <cell r="AU3">
            <v>1430</v>
          </cell>
          <cell r="AV3">
            <v>1461</v>
          </cell>
          <cell r="AY3">
            <v>1461</v>
          </cell>
        </row>
        <row r="4">
          <cell r="AF4" t="str">
            <v xml:space="preserve"> </v>
          </cell>
        </row>
        <row r="5">
          <cell r="D5" t="str">
            <v>S A L D O</v>
          </cell>
          <cell r="F5" t="str">
            <v xml:space="preserve">A K H I R </v>
          </cell>
          <cell r="H5" t="str">
            <v>S A L D O</v>
          </cell>
          <cell r="J5" t="str">
            <v xml:space="preserve">A K H I R </v>
          </cell>
          <cell r="L5" t="str">
            <v>S A L D O</v>
          </cell>
          <cell r="N5" t="str">
            <v xml:space="preserve">A K H I R </v>
          </cell>
          <cell r="P5" t="str">
            <v>S A L D O</v>
          </cell>
          <cell r="R5" t="str">
            <v xml:space="preserve">A K H I R </v>
          </cell>
          <cell r="T5" t="str">
            <v>S A L D O</v>
          </cell>
          <cell r="U5" t="str">
            <v xml:space="preserve"> </v>
          </cell>
          <cell r="V5" t="str">
            <v xml:space="preserve"> </v>
          </cell>
          <cell r="W5" t="str">
            <v xml:space="preserve">A K H I R </v>
          </cell>
          <cell r="X5" t="str">
            <v>S A L D O</v>
          </cell>
          <cell r="Z5" t="str">
            <v xml:space="preserve">A K H I R </v>
          </cell>
          <cell r="AB5" t="str">
            <v>S A L D O</v>
          </cell>
          <cell r="AD5" t="str">
            <v xml:space="preserve">A K H I R </v>
          </cell>
          <cell r="AF5" t="str">
            <v>S A L D O</v>
          </cell>
          <cell r="AH5" t="str">
            <v xml:space="preserve">A K H I R </v>
          </cell>
          <cell r="AJ5" t="str">
            <v>S A L D O</v>
          </cell>
          <cell r="AL5" t="str">
            <v xml:space="preserve">A K H I R </v>
          </cell>
          <cell r="AN5" t="str">
            <v>S A L D O</v>
          </cell>
          <cell r="AP5" t="str">
            <v xml:space="preserve">A K H I R </v>
          </cell>
          <cell r="AR5" t="str">
            <v>S A L D O</v>
          </cell>
          <cell r="AT5" t="str">
            <v xml:space="preserve">A K H I R </v>
          </cell>
          <cell r="AV5" t="str">
            <v>S A L D O</v>
          </cell>
          <cell r="AX5" t="str">
            <v xml:space="preserve">A K H I R </v>
          </cell>
        </row>
        <row r="6">
          <cell r="D6">
            <v>8867</v>
          </cell>
          <cell r="H6">
            <v>8881</v>
          </cell>
          <cell r="L6">
            <v>8902</v>
          </cell>
          <cell r="P6">
            <v>8675.5</v>
          </cell>
          <cell r="T6">
            <v>8337.5</v>
          </cell>
          <cell r="X6">
            <v>8265</v>
          </cell>
          <cell r="AB6">
            <v>9045</v>
          </cell>
          <cell r="AF6">
            <v>8838</v>
          </cell>
          <cell r="AJ6">
            <v>8982</v>
          </cell>
          <cell r="AN6">
            <v>9227.5</v>
          </cell>
          <cell r="AR6">
            <v>8962</v>
          </cell>
          <cell r="AV6">
            <v>8950</v>
          </cell>
        </row>
        <row r="7">
          <cell r="D7" t="str">
            <v>R U P I A H</v>
          </cell>
          <cell r="E7" t="str">
            <v>R U P I A H</v>
          </cell>
          <cell r="F7" t="str">
            <v>Non Rupiah</v>
          </cell>
          <cell r="G7" t="str">
            <v>VALAS/NTR</v>
          </cell>
          <cell r="H7" t="str">
            <v>R U P I A H</v>
          </cell>
          <cell r="I7" t="str">
            <v>R U P I A H</v>
          </cell>
          <cell r="J7" t="str">
            <v>Non Rupiah</v>
          </cell>
          <cell r="K7" t="str">
            <v>VALAS/NTR</v>
          </cell>
          <cell r="L7" t="str">
            <v>R U P I A H</v>
          </cell>
          <cell r="M7" t="str">
            <v>R U P I A H</v>
          </cell>
          <cell r="N7" t="str">
            <v>Non Rupiah</v>
          </cell>
          <cell r="O7" t="str">
            <v>VALAS/NTR</v>
          </cell>
          <cell r="P7" t="str">
            <v>R U P I A H</v>
          </cell>
          <cell r="Q7" t="str">
            <v>R U P I A H</v>
          </cell>
          <cell r="R7" t="str">
            <v>Non Rupiah</v>
          </cell>
          <cell r="S7" t="str">
            <v>VALAS/NTR</v>
          </cell>
          <cell r="T7" t="str">
            <v>R U P I A H</v>
          </cell>
          <cell r="U7" t="str">
            <v>R U P I A H</v>
          </cell>
          <cell r="V7" t="str">
            <v>Non Rupiah</v>
          </cell>
          <cell r="W7" t="str">
            <v>VALAS/NTR</v>
          </cell>
          <cell r="X7" t="str">
            <v>R U P I A H</v>
          </cell>
          <cell r="Y7" t="str">
            <v>R U P I A H</v>
          </cell>
          <cell r="Z7" t="str">
            <v>Non Rupiah</v>
          </cell>
          <cell r="AA7" t="str">
            <v>VALAS/NTR</v>
          </cell>
          <cell r="AB7" t="str">
            <v>R U P I A H</v>
          </cell>
          <cell r="AC7" t="str">
            <v>R U P I A H</v>
          </cell>
          <cell r="AD7" t="str">
            <v>Non Rupiah</v>
          </cell>
          <cell r="AE7" t="str">
            <v>VALAS/NTR</v>
          </cell>
          <cell r="AF7" t="str">
            <v>R U P I A H</v>
          </cell>
          <cell r="AG7" t="str">
            <v>R U P I A H</v>
          </cell>
          <cell r="AH7" t="str">
            <v>Non Rupiah</v>
          </cell>
          <cell r="AI7" t="str">
            <v>VALAS/NTR</v>
          </cell>
          <cell r="AJ7" t="str">
            <v>R U P I A H</v>
          </cell>
          <cell r="AK7" t="str">
            <v>R U P I A H</v>
          </cell>
          <cell r="AL7" t="str">
            <v>Non Rupiah</v>
          </cell>
          <cell r="AM7" t="str">
            <v>VALAS/NTR</v>
          </cell>
          <cell r="AN7" t="str">
            <v>R U P I A H</v>
          </cell>
          <cell r="AO7" t="str">
            <v>R U P I A H</v>
          </cell>
          <cell r="AP7" t="str">
            <v>Non Rupiah</v>
          </cell>
          <cell r="AQ7" t="str">
            <v>VALAS/NTR</v>
          </cell>
          <cell r="AR7" t="str">
            <v>R U P I A H</v>
          </cell>
          <cell r="AS7" t="str">
            <v>R U P I A H</v>
          </cell>
          <cell r="AT7" t="str">
            <v>Non Rupiah</v>
          </cell>
          <cell r="AU7" t="str">
            <v>VALAS/NTR</v>
          </cell>
          <cell r="AV7" t="str">
            <v>R U P I A H</v>
          </cell>
          <cell r="AW7" t="str">
            <v>R U P I A H</v>
          </cell>
          <cell r="AX7" t="str">
            <v>Non Rupiah</v>
          </cell>
          <cell r="AY7" t="str">
            <v>VALAS/NTR</v>
          </cell>
        </row>
        <row r="8">
          <cell r="D8" t="str">
            <v>USD equiv.</v>
          </cell>
          <cell r="F8" t="str">
            <v>USD equiv.</v>
          </cell>
          <cell r="H8" t="str">
            <v>USD equiv.</v>
          </cell>
          <cell r="J8" t="str">
            <v>USD equiv.</v>
          </cell>
          <cell r="L8" t="str">
            <v>USD equiv.</v>
          </cell>
          <cell r="N8" t="str">
            <v>USD equiv.</v>
          </cell>
          <cell r="P8" t="str">
            <v>USD equiv.</v>
          </cell>
          <cell r="R8" t="str">
            <v>USD equiv.</v>
          </cell>
          <cell r="T8" t="str">
            <v>USD equiv.</v>
          </cell>
          <cell r="V8" t="str">
            <v>USD equiv.</v>
          </cell>
          <cell r="X8" t="str">
            <v>USD equiv.</v>
          </cell>
          <cell r="Z8" t="str">
            <v>USD equiv.</v>
          </cell>
          <cell r="AB8" t="str">
            <v>USD equiv.</v>
          </cell>
          <cell r="AD8" t="str">
            <v>USD equiv.</v>
          </cell>
          <cell r="AF8" t="str">
            <v>USD equiv.</v>
          </cell>
          <cell r="AH8" t="str">
            <v>USD equiv.</v>
          </cell>
          <cell r="AJ8" t="str">
            <v>USD equiv.</v>
          </cell>
          <cell r="AL8" t="str">
            <v>USD equiv.</v>
          </cell>
          <cell r="AN8" t="str">
            <v>USD equiv.</v>
          </cell>
          <cell r="AP8" t="str">
            <v>USD equiv.</v>
          </cell>
          <cell r="AR8" t="str">
            <v>USD equiv.</v>
          </cell>
          <cell r="AT8" t="str">
            <v>USD equiv.</v>
          </cell>
          <cell r="AV8" t="str">
            <v>USD equiv.</v>
          </cell>
          <cell r="AX8" t="str">
            <v>USD equiv.</v>
          </cell>
        </row>
        <row r="11">
          <cell r="D11">
            <v>0</v>
          </cell>
          <cell r="E11">
            <v>0</v>
          </cell>
          <cell r="F11">
            <v>5007.09</v>
          </cell>
          <cell r="G11">
            <v>44397867.030000001</v>
          </cell>
          <cell r="H11">
            <v>0</v>
          </cell>
          <cell r="I11">
            <v>0</v>
          </cell>
          <cell r="J11">
            <v>5489.57</v>
          </cell>
          <cell r="K11">
            <v>48752871.169999994</v>
          </cell>
          <cell r="L11">
            <v>0</v>
          </cell>
          <cell r="M11">
            <v>0</v>
          </cell>
          <cell r="N11">
            <v>5971.03</v>
          </cell>
          <cell r="O11">
            <v>53154109.059999995</v>
          </cell>
          <cell r="P11">
            <v>0</v>
          </cell>
          <cell r="Q11">
            <v>0</v>
          </cell>
          <cell r="R11">
            <v>2945.99</v>
          </cell>
          <cell r="S11">
            <v>25557936.244999997</v>
          </cell>
          <cell r="T11">
            <v>0</v>
          </cell>
          <cell r="U11">
            <v>0</v>
          </cell>
          <cell r="V11">
            <v>2469.04</v>
          </cell>
          <cell r="W11">
            <v>20585621</v>
          </cell>
          <cell r="X11">
            <v>0</v>
          </cell>
          <cell r="Y11">
            <v>0</v>
          </cell>
          <cell r="Z11">
            <v>2234.98</v>
          </cell>
          <cell r="AA11">
            <v>18472109.699999999</v>
          </cell>
          <cell r="AB11">
            <v>0</v>
          </cell>
          <cell r="AC11">
            <v>0</v>
          </cell>
          <cell r="AD11">
            <v>3441.46</v>
          </cell>
          <cell r="AE11">
            <v>31128005.699999999</v>
          </cell>
          <cell r="AF11">
            <v>0</v>
          </cell>
          <cell r="AG11">
            <v>0</v>
          </cell>
          <cell r="AH11">
            <v>3217.05</v>
          </cell>
          <cell r="AI11">
            <v>28432287.900000002</v>
          </cell>
          <cell r="AJ11">
            <v>0</v>
          </cell>
          <cell r="AK11">
            <v>0</v>
          </cell>
          <cell r="AL11">
            <v>3840.3</v>
          </cell>
          <cell r="AM11">
            <v>34493574.600000001</v>
          </cell>
          <cell r="AN11">
            <v>0</v>
          </cell>
          <cell r="AO11">
            <v>0</v>
          </cell>
          <cell r="AP11">
            <v>4659.66</v>
          </cell>
          <cell r="AQ11">
            <v>42997012.649999999</v>
          </cell>
          <cell r="AR11">
            <v>0</v>
          </cell>
          <cell r="AS11">
            <v>0</v>
          </cell>
          <cell r="AT11">
            <v>4748.4799999999996</v>
          </cell>
          <cell r="AU11">
            <v>42555877.759999998</v>
          </cell>
          <cell r="AV11">
            <v>0</v>
          </cell>
          <cell r="AW11">
            <v>0</v>
          </cell>
          <cell r="AX11">
            <v>5092.2700000000004</v>
          </cell>
          <cell r="AY11">
            <v>45575816.500000007</v>
          </cell>
        </row>
        <row r="13">
          <cell r="D13">
            <v>0</v>
          </cell>
          <cell r="E13">
            <v>0</v>
          </cell>
          <cell r="F13">
            <v>5007.09</v>
          </cell>
          <cell r="G13">
            <v>44397867.030000001</v>
          </cell>
          <cell r="H13">
            <v>0</v>
          </cell>
          <cell r="I13">
            <v>0</v>
          </cell>
          <cell r="J13">
            <v>5489.57</v>
          </cell>
          <cell r="K13">
            <v>48752871.169999994</v>
          </cell>
          <cell r="L13">
            <v>0</v>
          </cell>
          <cell r="M13">
            <v>0</v>
          </cell>
          <cell r="N13">
            <v>5971.03</v>
          </cell>
          <cell r="O13">
            <v>53154109.059999995</v>
          </cell>
          <cell r="P13">
            <v>0</v>
          </cell>
          <cell r="Q13">
            <v>0</v>
          </cell>
          <cell r="R13">
            <v>2945.99</v>
          </cell>
          <cell r="S13">
            <v>25557936.244999997</v>
          </cell>
          <cell r="T13">
            <v>0</v>
          </cell>
          <cell r="U13">
            <v>0</v>
          </cell>
          <cell r="V13">
            <v>2469.04</v>
          </cell>
          <cell r="W13">
            <v>20585621</v>
          </cell>
          <cell r="X13">
            <v>0</v>
          </cell>
          <cell r="Y13">
            <v>0</v>
          </cell>
          <cell r="Z13">
            <v>2234.98</v>
          </cell>
          <cell r="AA13">
            <v>18472109.699999999</v>
          </cell>
          <cell r="AB13">
            <v>0</v>
          </cell>
          <cell r="AC13">
            <v>0</v>
          </cell>
          <cell r="AD13">
            <v>3441.46</v>
          </cell>
          <cell r="AE13">
            <v>31128005.699999999</v>
          </cell>
          <cell r="AF13">
            <v>0</v>
          </cell>
          <cell r="AG13">
            <v>0</v>
          </cell>
          <cell r="AH13">
            <v>3217.05</v>
          </cell>
          <cell r="AI13">
            <v>28432287.900000002</v>
          </cell>
          <cell r="AJ13">
            <v>0</v>
          </cell>
          <cell r="AK13">
            <v>0</v>
          </cell>
          <cell r="AL13">
            <v>3840.3</v>
          </cell>
          <cell r="AM13">
            <v>34493574.600000001</v>
          </cell>
          <cell r="AN13">
            <v>0</v>
          </cell>
          <cell r="AO13">
            <v>0</v>
          </cell>
          <cell r="AP13">
            <v>4659.66</v>
          </cell>
          <cell r="AQ13">
            <v>42997012.649999999</v>
          </cell>
          <cell r="AR13">
            <v>0</v>
          </cell>
          <cell r="AS13">
            <v>0</v>
          </cell>
          <cell r="AT13">
            <v>4748.4799999999996</v>
          </cell>
          <cell r="AU13">
            <v>42555877.759999998</v>
          </cell>
          <cell r="AV13">
            <v>0</v>
          </cell>
          <cell r="AW13">
            <v>0</v>
          </cell>
          <cell r="AX13">
            <v>5092.2700000000004</v>
          </cell>
          <cell r="AY13">
            <v>45575816.500000007</v>
          </cell>
        </row>
        <row r="15">
          <cell r="D15">
            <v>2459.73</v>
          </cell>
          <cell r="E15">
            <v>21810425.91</v>
          </cell>
          <cell r="F15">
            <v>953755.35</v>
          </cell>
          <cell r="G15">
            <v>8456948688.4499989</v>
          </cell>
          <cell r="H15">
            <v>8057.99</v>
          </cell>
          <cell r="I15">
            <v>71563009.189999998</v>
          </cell>
          <cell r="J15">
            <v>948402.15</v>
          </cell>
          <cell r="K15">
            <v>8422759494.1499996</v>
          </cell>
          <cell r="L15">
            <v>6527.36</v>
          </cell>
          <cell r="M15">
            <v>58106558.719999999</v>
          </cell>
          <cell r="N15">
            <v>1225176.8500000001</v>
          </cell>
          <cell r="O15">
            <v>10906524318.700001</v>
          </cell>
          <cell r="P15">
            <v>6203.72</v>
          </cell>
          <cell r="Q15">
            <v>53820372.859999999</v>
          </cell>
          <cell r="R15">
            <v>2072639.07</v>
          </cell>
          <cell r="S15">
            <v>17981180251.785</v>
          </cell>
          <cell r="T15">
            <v>0</v>
          </cell>
          <cell r="U15">
            <v>0</v>
          </cell>
          <cell r="V15">
            <v>1013946.98</v>
          </cell>
          <cell r="W15">
            <v>8453782945.750001</v>
          </cell>
          <cell r="X15">
            <v>3478.92</v>
          </cell>
          <cell r="Y15">
            <v>28753273.800000001</v>
          </cell>
          <cell r="Z15">
            <v>1091933.26</v>
          </cell>
          <cell r="AA15">
            <v>9024828393.8999977</v>
          </cell>
          <cell r="AB15">
            <v>6774.82</v>
          </cell>
          <cell r="AC15">
            <v>61278246.899999999</v>
          </cell>
          <cell r="AD15">
            <v>1919755.8800000001</v>
          </cell>
          <cell r="AE15">
            <v>17364191934.600002</v>
          </cell>
          <cell r="AF15">
            <v>6934.96</v>
          </cell>
          <cell r="AG15">
            <v>61291176.479999997</v>
          </cell>
          <cell r="AH15">
            <v>4419755</v>
          </cell>
          <cell r="AI15">
            <v>39061794690</v>
          </cell>
          <cell r="AJ15">
            <v>5678.09</v>
          </cell>
          <cell r="AK15">
            <v>51000604.380000003</v>
          </cell>
          <cell r="AL15">
            <v>943661</v>
          </cell>
          <cell r="AM15">
            <v>8475963102.000001</v>
          </cell>
          <cell r="AN15">
            <v>1800.73</v>
          </cell>
          <cell r="AO15">
            <v>16616236.074999999</v>
          </cell>
          <cell r="AP15">
            <v>615190.51</v>
          </cell>
          <cell r="AQ15">
            <v>5676670431.0249996</v>
          </cell>
          <cell r="AR15">
            <v>5963.49</v>
          </cell>
          <cell r="AS15">
            <v>53444797.379999995</v>
          </cell>
          <cell r="AT15">
            <v>1172148.8899999999</v>
          </cell>
          <cell r="AU15">
            <v>10504798352.18</v>
          </cell>
          <cell r="AV15">
            <v>3047.97</v>
          </cell>
          <cell r="AW15">
            <v>27279331.5</v>
          </cell>
          <cell r="AX15">
            <v>669588.11</v>
          </cell>
          <cell r="AY15">
            <v>5992813584.500001</v>
          </cell>
        </row>
        <row r="17">
          <cell r="D17">
            <v>2459.73</v>
          </cell>
          <cell r="E17">
            <v>21810425.91</v>
          </cell>
          <cell r="F17">
            <v>0</v>
          </cell>
          <cell r="G17">
            <v>0</v>
          </cell>
          <cell r="H17">
            <v>8057.99</v>
          </cell>
          <cell r="I17">
            <v>71563009.189999998</v>
          </cell>
          <cell r="J17">
            <v>0</v>
          </cell>
          <cell r="K17">
            <v>0</v>
          </cell>
          <cell r="L17">
            <v>6527.36</v>
          </cell>
          <cell r="M17">
            <v>58106558.719999999</v>
          </cell>
          <cell r="N17">
            <v>0</v>
          </cell>
          <cell r="O17">
            <v>0</v>
          </cell>
          <cell r="P17">
            <v>6203.72</v>
          </cell>
          <cell r="Q17">
            <v>53820372.859999999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3478.92</v>
          </cell>
          <cell r="Y17">
            <v>28753273.800000001</v>
          </cell>
          <cell r="Z17">
            <v>0</v>
          </cell>
          <cell r="AA17">
            <v>0</v>
          </cell>
          <cell r="AB17">
            <v>6774.82</v>
          </cell>
          <cell r="AC17">
            <v>61278246.899999999</v>
          </cell>
          <cell r="AD17">
            <v>0</v>
          </cell>
          <cell r="AE17">
            <v>0</v>
          </cell>
          <cell r="AF17">
            <v>6934.96</v>
          </cell>
          <cell r="AG17">
            <v>61291176.479999997</v>
          </cell>
          <cell r="AH17">
            <v>0</v>
          </cell>
          <cell r="AI17">
            <v>0</v>
          </cell>
          <cell r="AJ17">
            <v>5678.09</v>
          </cell>
          <cell r="AK17">
            <v>51000604.380000003</v>
          </cell>
          <cell r="AL17">
            <v>0</v>
          </cell>
          <cell r="AM17">
            <v>0</v>
          </cell>
          <cell r="AN17">
            <v>1800.73</v>
          </cell>
          <cell r="AO17">
            <v>16616236.074999999</v>
          </cell>
          <cell r="AP17">
            <v>0</v>
          </cell>
          <cell r="AQ17">
            <v>0</v>
          </cell>
          <cell r="AR17">
            <v>5963.49</v>
          </cell>
          <cell r="AS17">
            <v>53444797.379999995</v>
          </cell>
          <cell r="AT17">
            <v>0</v>
          </cell>
          <cell r="AU17">
            <v>0</v>
          </cell>
          <cell r="AV17">
            <v>3047.97</v>
          </cell>
          <cell r="AW17">
            <v>27279331.5</v>
          </cell>
          <cell r="AX17">
            <v>0</v>
          </cell>
          <cell r="AY17">
            <v>0</v>
          </cell>
        </row>
        <row r="18">
          <cell r="D18">
            <v>0</v>
          </cell>
          <cell r="E18">
            <v>0</v>
          </cell>
          <cell r="F18">
            <v>953755.35</v>
          </cell>
          <cell r="G18">
            <v>8456948688.4499989</v>
          </cell>
          <cell r="H18">
            <v>0</v>
          </cell>
          <cell r="I18">
            <v>0</v>
          </cell>
          <cell r="J18">
            <v>948402.15</v>
          </cell>
          <cell r="K18">
            <v>8422759494.1499996</v>
          </cell>
          <cell r="L18">
            <v>0</v>
          </cell>
          <cell r="M18">
            <v>0</v>
          </cell>
          <cell r="N18">
            <v>1126718.6000000001</v>
          </cell>
          <cell r="O18">
            <v>10030048977.200001</v>
          </cell>
          <cell r="P18">
            <v>0</v>
          </cell>
          <cell r="Q18">
            <v>0</v>
          </cell>
          <cell r="R18">
            <v>2072639.07</v>
          </cell>
          <cell r="S18">
            <v>17981180251.785</v>
          </cell>
          <cell r="T18">
            <v>0</v>
          </cell>
          <cell r="U18">
            <v>0</v>
          </cell>
          <cell r="V18">
            <v>1013946.98</v>
          </cell>
          <cell r="W18">
            <v>8453782945.750001</v>
          </cell>
          <cell r="X18">
            <v>0</v>
          </cell>
          <cell r="Y18">
            <v>0</v>
          </cell>
          <cell r="Z18">
            <v>1091933.26</v>
          </cell>
          <cell r="AA18">
            <v>9024828393.8999977</v>
          </cell>
          <cell r="AB18">
            <v>0</v>
          </cell>
          <cell r="AC18">
            <v>0</v>
          </cell>
          <cell r="AD18">
            <v>1919755.86</v>
          </cell>
          <cell r="AE18">
            <v>17364191753.700001</v>
          </cell>
          <cell r="AF18">
            <v>0</v>
          </cell>
          <cell r="AG18">
            <v>0</v>
          </cell>
          <cell r="AH18">
            <v>4419755</v>
          </cell>
          <cell r="AI18">
            <v>39061794690</v>
          </cell>
          <cell r="AJ18">
            <v>0</v>
          </cell>
          <cell r="AK18">
            <v>0</v>
          </cell>
          <cell r="AL18">
            <v>943661</v>
          </cell>
          <cell r="AM18">
            <v>8475963102.000001</v>
          </cell>
          <cell r="AN18">
            <v>0</v>
          </cell>
          <cell r="AO18">
            <v>0</v>
          </cell>
          <cell r="AP18">
            <v>615190.51</v>
          </cell>
          <cell r="AQ18">
            <v>5676670431.0249996</v>
          </cell>
          <cell r="AR18">
            <v>0</v>
          </cell>
          <cell r="AS18">
            <v>0</v>
          </cell>
          <cell r="AT18">
            <v>1172148.8899999999</v>
          </cell>
          <cell r="AU18">
            <v>10504798352.18</v>
          </cell>
          <cell r="AV18">
            <v>0</v>
          </cell>
          <cell r="AW18">
            <v>0</v>
          </cell>
          <cell r="AX18">
            <v>669588.11</v>
          </cell>
          <cell r="AY18">
            <v>5992813584.500001</v>
          </cell>
        </row>
        <row r="19"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98458.25</v>
          </cell>
          <cell r="O19">
            <v>876475341.5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0.02</v>
          </cell>
          <cell r="AE19">
            <v>180.9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</row>
        <row r="22">
          <cell r="D22">
            <v>0</v>
          </cell>
          <cell r="E22">
            <v>0</v>
          </cell>
          <cell r="F22">
            <v>25488685</v>
          </cell>
          <cell r="G22">
            <v>226008169895</v>
          </cell>
          <cell r="H22">
            <v>0</v>
          </cell>
          <cell r="I22">
            <v>0</v>
          </cell>
          <cell r="J22">
            <v>23312800</v>
          </cell>
          <cell r="K22">
            <v>207040976800</v>
          </cell>
          <cell r="L22">
            <v>0</v>
          </cell>
          <cell r="M22">
            <v>0</v>
          </cell>
          <cell r="N22">
            <v>24070982</v>
          </cell>
          <cell r="O22">
            <v>214279881764</v>
          </cell>
          <cell r="P22">
            <v>0</v>
          </cell>
          <cell r="Q22">
            <v>0</v>
          </cell>
          <cell r="R22">
            <v>35096800</v>
          </cell>
          <cell r="S22">
            <v>304482288400</v>
          </cell>
          <cell r="T22">
            <v>0</v>
          </cell>
          <cell r="U22">
            <v>0</v>
          </cell>
          <cell r="V22">
            <v>39872460.5</v>
          </cell>
          <cell r="W22">
            <v>332436639418.75</v>
          </cell>
          <cell r="X22">
            <v>0</v>
          </cell>
          <cell r="Y22">
            <v>0</v>
          </cell>
          <cell r="Z22">
            <v>28813610</v>
          </cell>
          <cell r="AA22">
            <v>238144486650</v>
          </cell>
          <cell r="AB22">
            <v>0</v>
          </cell>
          <cell r="AC22">
            <v>0</v>
          </cell>
          <cell r="AD22">
            <v>53992373.25</v>
          </cell>
          <cell r="AE22">
            <v>488361016046.25</v>
          </cell>
          <cell r="AF22">
            <v>0</v>
          </cell>
          <cell r="AG22">
            <v>0</v>
          </cell>
          <cell r="AH22">
            <v>29004500</v>
          </cell>
          <cell r="AI22">
            <v>256341771000</v>
          </cell>
          <cell r="AJ22">
            <v>0</v>
          </cell>
          <cell r="AK22">
            <v>0</v>
          </cell>
          <cell r="AL22">
            <v>29045925</v>
          </cell>
          <cell r="AM22">
            <v>260890498350</v>
          </cell>
          <cell r="AN22">
            <v>0</v>
          </cell>
          <cell r="AO22">
            <v>0</v>
          </cell>
          <cell r="AP22">
            <v>24843560</v>
          </cell>
          <cell r="AQ22">
            <v>229243949900</v>
          </cell>
          <cell r="AR22">
            <v>0</v>
          </cell>
          <cell r="AS22">
            <v>0</v>
          </cell>
          <cell r="AT22">
            <v>30988070</v>
          </cell>
          <cell r="AU22">
            <v>277715083340</v>
          </cell>
          <cell r="AV22">
            <v>0</v>
          </cell>
          <cell r="AW22">
            <v>0</v>
          </cell>
          <cell r="AX22">
            <v>26763370</v>
          </cell>
          <cell r="AY22">
            <v>239532161500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4830052.59</v>
          </cell>
          <cell r="AE28">
            <v>43687825676.549995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25152730.66</v>
          </cell>
          <cell r="AE29">
            <v>227506448819.70001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</row>
        <row r="30">
          <cell r="D30">
            <v>0</v>
          </cell>
          <cell r="E30">
            <v>0</v>
          </cell>
          <cell r="F30">
            <v>25488685</v>
          </cell>
          <cell r="G30">
            <v>226008169895</v>
          </cell>
          <cell r="H30">
            <v>0</v>
          </cell>
          <cell r="I30">
            <v>0</v>
          </cell>
          <cell r="J30">
            <v>23312800</v>
          </cell>
          <cell r="K30">
            <v>207040976800</v>
          </cell>
          <cell r="L30">
            <v>0</v>
          </cell>
          <cell r="M30">
            <v>0</v>
          </cell>
          <cell r="N30">
            <v>24070982</v>
          </cell>
          <cell r="O30">
            <v>214279881764</v>
          </cell>
          <cell r="P30">
            <v>0</v>
          </cell>
          <cell r="Q30">
            <v>0</v>
          </cell>
          <cell r="R30">
            <v>35096800</v>
          </cell>
          <cell r="S30">
            <v>304482288400</v>
          </cell>
          <cell r="T30">
            <v>0</v>
          </cell>
          <cell r="U30">
            <v>0</v>
          </cell>
          <cell r="V30">
            <v>39872460.5</v>
          </cell>
          <cell r="W30">
            <v>332436639418.75</v>
          </cell>
          <cell r="X30">
            <v>0</v>
          </cell>
          <cell r="Y30">
            <v>0</v>
          </cell>
          <cell r="Z30">
            <v>28813610</v>
          </cell>
          <cell r="AA30">
            <v>238144486650</v>
          </cell>
          <cell r="AB30">
            <v>0</v>
          </cell>
          <cell r="AC30">
            <v>0</v>
          </cell>
          <cell r="AD30">
            <v>24009590</v>
          </cell>
          <cell r="AE30">
            <v>217166741550</v>
          </cell>
          <cell r="AF30">
            <v>0</v>
          </cell>
          <cell r="AG30">
            <v>0</v>
          </cell>
          <cell r="AH30">
            <v>29004500</v>
          </cell>
          <cell r="AI30">
            <v>256341771000</v>
          </cell>
          <cell r="AJ30">
            <v>0</v>
          </cell>
          <cell r="AK30">
            <v>0</v>
          </cell>
          <cell r="AL30">
            <v>29045925</v>
          </cell>
          <cell r="AM30">
            <v>260890498350</v>
          </cell>
          <cell r="AN30">
            <v>0</v>
          </cell>
          <cell r="AO30">
            <v>0</v>
          </cell>
          <cell r="AP30">
            <v>24843560</v>
          </cell>
          <cell r="AQ30">
            <v>229243949900</v>
          </cell>
          <cell r="AR30">
            <v>0</v>
          </cell>
          <cell r="AS30">
            <v>0</v>
          </cell>
          <cell r="AT30">
            <v>30988070</v>
          </cell>
          <cell r="AU30">
            <v>277715083340</v>
          </cell>
          <cell r="AV30">
            <v>0</v>
          </cell>
          <cell r="AW30">
            <v>0</v>
          </cell>
          <cell r="AX30">
            <v>26763370</v>
          </cell>
          <cell r="AY30">
            <v>239532161500</v>
          </cell>
        </row>
        <row r="31"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</row>
        <row r="38">
          <cell r="D38">
            <v>0</v>
          </cell>
          <cell r="E38">
            <v>0</v>
          </cell>
          <cell r="F38">
            <v>47407210.379999995</v>
          </cell>
          <cell r="G38">
            <v>420359734439.45996</v>
          </cell>
          <cell r="H38">
            <v>0</v>
          </cell>
          <cell r="I38">
            <v>0</v>
          </cell>
          <cell r="J38">
            <v>51114322.32</v>
          </cell>
          <cell r="K38">
            <v>453946296523.92004</v>
          </cell>
          <cell r="L38">
            <v>0</v>
          </cell>
          <cell r="M38">
            <v>0</v>
          </cell>
          <cell r="N38">
            <v>51347949.809999995</v>
          </cell>
          <cell r="O38">
            <v>457099449208.62</v>
          </cell>
          <cell r="P38">
            <v>0</v>
          </cell>
          <cell r="Q38">
            <v>0</v>
          </cell>
          <cell r="R38">
            <v>48523468.459999993</v>
          </cell>
          <cell r="S38">
            <v>420965350624.72998</v>
          </cell>
          <cell r="T38">
            <v>0</v>
          </cell>
          <cell r="U38">
            <v>0</v>
          </cell>
          <cell r="V38">
            <v>42076550.790000007</v>
          </cell>
          <cell r="W38">
            <v>350813242211.625</v>
          </cell>
          <cell r="X38">
            <v>0</v>
          </cell>
          <cell r="Y38">
            <v>0</v>
          </cell>
          <cell r="Z38">
            <v>51933454.75</v>
          </cell>
          <cell r="AA38">
            <v>429230003508.75006</v>
          </cell>
          <cell r="AB38">
            <v>0</v>
          </cell>
          <cell r="AC38">
            <v>0</v>
          </cell>
          <cell r="AD38">
            <v>37303956.18</v>
          </cell>
          <cell r="AE38">
            <v>337414283648.09998</v>
          </cell>
          <cell r="AF38">
            <v>0</v>
          </cell>
          <cell r="AG38">
            <v>0</v>
          </cell>
          <cell r="AH38">
            <v>39823172.640000001</v>
          </cell>
          <cell r="AI38">
            <v>351957199792.32001</v>
          </cell>
          <cell r="AJ38">
            <v>0</v>
          </cell>
          <cell r="AK38">
            <v>0</v>
          </cell>
          <cell r="AL38">
            <v>40383283.710000008</v>
          </cell>
          <cell r="AM38">
            <v>362722654283.22003</v>
          </cell>
          <cell r="AN38">
            <v>0</v>
          </cell>
          <cell r="AO38">
            <v>0</v>
          </cell>
          <cell r="AP38">
            <v>42061475.050000004</v>
          </cell>
          <cell r="AQ38">
            <v>388122261023.875</v>
          </cell>
          <cell r="AR38">
            <v>0</v>
          </cell>
          <cell r="AS38">
            <v>0</v>
          </cell>
          <cell r="AT38">
            <v>45120661.060000002</v>
          </cell>
          <cell r="AU38">
            <v>404371364419.71997</v>
          </cell>
          <cell r="AV38">
            <v>0</v>
          </cell>
          <cell r="AW38">
            <v>0</v>
          </cell>
          <cell r="AX38">
            <v>49436129.209999993</v>
          </cell>
          <cell r="AY38">
            <v>442453356429.5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</row>
        <row r="44"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</row>
        <row r="45"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</row>
        <row r="46"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</row>
        <row r="48"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</row>
        <row r="49"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</row>
        <row r="50"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</row>
        <row r="51">
          <cell r="D51">
            <v>0</v>
          </cell>
          <cell r="E51">
            <v>0</v>
          </cell>
          <cell r="F51">
            <v>7500000</v>
          </cell>
          <cell r="G51">
            <v>66502500000</v>
          </cell>
          <cell r="H51">
            <v>0</v>
          </cell>
          <cell r="I51">
            <v>0</v>
          </cell>
          <cell r="J51">
            <v>7500000</v>
          </cell>
          <cell r="K51">
            <v>66607500000</v>
          </cell>
          <cell r="L51">
            <v>0</v>
          </cell>
          <cell r="M51">
            <v>0</v>
          </cell>
          <cell r="N51">
            <v>7500000</v>
          </cell>
          <cell r="O51">
            <v>66765000000</v>
          </cell>
          <cell r="P51">
            <v>0</v>
          </cell>
          <cell r="Q51">
            <v>0</v>
          </cell>
          <cell r="R51">
            <v>7500000</v>
          </cell>
          <cell r="S51">
            <v>65066250000</v>
          </cell>
          <cell r="T51">
            <v>0</v>
          </cell>
          <cell r="U51">
            <v>0</v>
          </cell>
          <cell r="V51">
            <v>7500000</v>
          </cell>
          <cell r="W51">
            <v>62531250000</v>
          </cell>
          <cell r="X51">
            <v>0</v>
          </cell>
          <cell r="Y51">
            <v>0</v>
          </cell>
          <cell r="Z51">
            <v>7500000</v>
          </cell>
          <cell r="AA51">
            <v>61987500000</v>
          </cell>
          <cell r="AB51">
            <v>0</v>
          </cell>
          <cell r="AC51">
            <v>0</v>
          </cell>
          <cell r="AD51">
            <v>16500000</v>
          </cell>
          <cell r="AE51">
            <v>149242500000</v>
          </cell>
          <cell r="AF51">
            <v>0</v>
          </cell>
          <cell r="AG51">
            <v>0</v>
          </cell>
          <cell r="AH51">
            <v>7500000</v>
          </cell>
          <cell r="AI51">
            <v>66285000000</v>
          </cell>
          <cell r="AJ51">
            <v>0</v>
          </cell>
          <cell r="AK51">
            <v>0</v>
          </cell>
          <cell r="AL51">
            <v>7500000</v>
          </cell>
          <cell r="AM51">
            <v>67365000000</v>
          </cell>
          <cell r="AN51">
            <v>0</v>
          </cell>
          <cell r="AO51">
            <v>0</v>
          </cell>
          <cell r="AP51">
            <v>7500000</v>
          </cell>
          <cell r="AQ51">
            <v>69206250000</v>
          </cell>
          <cell r="AR51">
            <v>0</v>
          </cell>
          <cell r="AS51">
            <v>0</v>
          </cell>
          <cell r="AT51">
            <v>7500000</v>
          </cell>
          <cell r="AU51">
            <v>67215000000</v>
          </cell>
          <cell r="AV51">
            <v>0</v>
          </cell>
          <cell r="AW51">
            <v>0</v>
          </cell>
          <cell r="AX51">
            <v>7500000</v>
          </cell>
          <cell r="AY51">
            <v>67125000000</v>
          </cell>
        </row>
        <row r="52">
          <cell r="D52">
            <v>0</v>
          </cell>
          <cell r="E52">
            <v>0</v>
          </cell>
          <cell r="F52">
            <v>11335714.26</v>
          </cell>
          <cell r="G52">
            <v>100513778343.42</v>
          </cell>
          <cell r="H52">
            <v>0</v>
          </cell>
          <cell r="I52">
            <v>0</v>
          </cell>
          <cell r="J52">
            <v>11335714.26</v>
          </cell>
          <cell r="K52">
            <v>100672478343.06</v>
          </cell>
          <cell r="L52">
            <v>0</v>
          </cell>
          <cell r="M52">
            <v>0</v>
          </cell>
          <cell r="N52">
            <v>11335714.26</v>
          </cell>
          <cell r="O52">
            <v>100910528342.52</v>
          </cell>
          <cell r="P52">
            <v>0</v>
          </cell>
          <cell r="Q52">
            <v>0</v>
          </cell>
          <cell r="R52">
            <v>12835714.26</v>
          </cell>
          <cell r="S52">
            <v>111356239062.63</v>
          </cell>
          <cell r="T52">
            <v>0</v>
          </cell>
          <cell r="U52">
            <v>0</v>
          </cell>
          <cell r="V52">
            <v>12835714.26</v>
          </cell>
          <cell r="W52">
            <v>107017767642.75</v>
          </cell>
          <cell r="X52">
            <v>0</v>
          </cell>
          <cell r="Y52">
            <v>0</v>
          </cell>
          <cell r="Z52">
            <v>10946428.550000001</v>
          </cell>
          <cell r="AA52">
            <v>90472231965.75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11335714.26</v>
          </cell>
          <cell r="AY52">
            <v>101454642627</v>
          </cell>
        </row>
        <row r="53">
          <cell r="D53">
            <v>0</v>
          </cell>
          <cell r="E53">
            <v>0</v>
          </cell>
          <cell r="F53">
            <v>21902869.900000002</v>
          </cell>
          <cell r="G53">
            <v>194212747403.30002</v>
          </cell>
          <cell r="H53">
            <v>0</v>
          </cell>
          <cell r="I53">
            <v>0</v>
          </cell>
          <cell r="J53">
            <v>25551287.390000001</v>
          </cell>
          <cell r="K53">
            <v>226920983310.59</v>
          </cell>
          <cell r="L53">
            <v>0</v>
          </cell>
          <cell r="M53">
            <v>0</v>
          </cell>
          <cell r="N53">
            <v>25687639.399999999</v>
          </cell>
          <cell r="O53">
            <v>228671365938.79999</v>
          </cell>
          <cell r="P53">
            <v>0</v>
          </cell>
          <cell r="Q53">
            <v>0</v>
          </cell>
          <cell r="R53">
            <v>21273216.919999998</v>
          </cell>
          <cell r="S53">
            <v>184555793389.45999</v>
          </cell>
          <cell r="T53">
            <v>0</v>
          </cell>
          <cell r="U53">
            <v>0</v>
          </cell>
          <cell r="V53">
            <v>15010525.02</v>
          </cell>
          <cell r="W53">
            <v>125150252354.25</v>
          </cell>
          <cell r="X53">
            <v>0</v>
          </cell>
          <cell r="Y53">
            <v>0</v>
          </cell>
          <cell r="Z53">
            <v>26724859.48</v>
          </cell>
          <cell r="AA53">
            <v>220880963602.20001</v>
          </cell>
          <cell r="AB53">
            <v>0</v>
          </cell>
          <cell r="AC53">
            <v>0</v>
          </cell>
          <cell r="AD53">
            <v>9852350.6899999995</v>
          </cell>
          <cell r="AE53">
            <v>89114511991.049988</v>
          </cell>
          <cell r="AF53">
            <v>0</v>
          </cell>
          <cell r="AG53">
            <v>0</v>
          </cell>
          <cell r="AH53">
            <v>16114825.42</v>
          </cell>
          <cell r="AI53">
            <v>142422827061.95999</v>
          </cell>
          <cell r="AJ53">
            <v>0</v>
          </cell>
          <cell r="AK53">
            <v>0</v>
          </cell>
          <cell r="AL53">
            <v>12854532.710000001</v>
          </cell>
          <cell r="AM53">
            <v>115459412801.22</v>
          </cell>
          <cell r="AN53">
            <v>0</v>
          </cell>
          <cell r="AO53">
            <v>0</v>
          </cell>
          <cell r="AP53">
            <v>14426724.530000001</v>
          </cell>
          <cell r="AQ53">
            <v>133122600600.57501</v>
          </cell>
          <cell r="AR53">
            <v>0</v>
          </cell>
          <cell r="AS53">
            <v>0</v>
          </cell>
          <cell r="AT53">
            <v>17676511.050000001</v>
          </cell>
          <cell r="AU53">
            <v>158416892030.10001</v>
          </cell>
          <cell r="AV53">
            <v>0</v>
          </cell>
          <cell r="AW53">
            <v>0</v>
          </cell>
          <cell r="AX53">
            <v>23793416.089999996</v>
          </cell>
          <cell r="AY53">
            <v>212951074005.49997</v>
          </cell>
        </row>
        <row r="54">
          <cell r="D54">
            <v>0</v>
          </cell>
          <cell r="E54">
            <v>0</v>
          </cell>
          <cell r="F54">
            <v>-1544964.71</v>
          </cell>
          <cell r="G54">
            <v>-13699202083.569998</v>
          </cell>
          <cell r="H54">
            <v>0</v>
          </cell>
          <cell r="I54">
            <v>0</v>
          </cell>
          <cell r="J54">
            <v>-1486270.26</v>
          </cell>
          <cell r="K54">
            <v>-13199566179.059996</v>
          </cell>
          <cell r="L54">
            <v>0</v>
          </cell>
          <cell r="M54">
            <v>0</v>
          </cell>
          <cell r="N54">
            <v>-1388994.78</v>
          </cell>
          <cell r="O54">
            <v>-12364831531.560001</v>
          </cell>
          <cell r="P54">
            <v>0</v>
          </cell>
          <cell r="Q54">
            <v>0</v>
          </cell>
          <cell r="R54">
            <v>-1299053.6499999999</v>
          </cell>
          <cell r="S54">
            <v>-11269939940.574999</v>
          </cell>
          <cell r="T54">
            <v>0</v>
          </cell>
          <cell r="U54">
            <v>0</v>
          </cell>
          <cell r="V54">
            <v>-1215297.3</v>
          </cell>
          <cell r="W54">
            <v>-10132541238.75</v>
          </cell>
          <cell r="X54">
            <v>0</v>
          </cell>
          <cell r="Y54">
            <v>0</v>
          </cell>
          <cell r="Z54">
            <v>-1183442.0900000001</v>
          </cell>
          <cell r="AA54">
            <v>-9781148873.8499985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-1518361.06</v>
          </cell>
          <cell r="AI54">
            <v>-13419275048.280001</v>
          </cell>
          <cell r="AJ54">
            <v>0</v>
          </cell>
          <cell r="AK54">
            <v>0</v>
          </cell>
          <cell r="AL54">
            <v>-1857471.54</v>
          </cell>
          <cell r="AM54">
            <v>-16683809372.279997</v>
          </cell>
          <cell r="AN54">
            <v>0</v>
          </cell>
          <cell r="AO54">
            <v>0</v>
          </cell>
          <cell r="AP54">
            <v>-1751472.02</v>
          </cell>
          <cell r="AQ54">
            <v>-16161708064.550005</v>
          </cell>
          <cell r="AR54">
            <v>0</v>
          </cell>
          <cell r="AS54">
            <v>0</v>
          </cell>
          <cell r="AT54">
            <v>-1694013.08</v>
          </cell>
          <cell r="AU54">
            <v>-15181745222.960003</v>
          </cell>
          <cell r="AV54">
            <v>0</v>
          </cell>
          <cell r="AW54">
            <v>0</v>
          </cell>
          <cell r="AX54">
            <v>-1606164.26</v>
          </cell>
          <cell r="AY54">
            <v>-14375170126.999996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</row>
        <row r="56">
          <cell r="D56">
            <v>0</v>
          </cell>
          <cell r="E56">
            <v>0</v>
          </cell>
          <cell r="F56">
            <v>8213590.9299999997</v>
          </cell>
          <cell r="G56">
            <v>72829910776.309998</v>
          </cell>
          <cell r="H56">
            <v>0</v>
          </cell>
          <cell r="I56">
            <v>0</v>
          </cell>
          <cell r="J56">
            <v>8213590.9299999997</v>
          </cell>
          <cell r="K56">
            <v>72944901049.330002</v>
          </cell>
          <cell r="L56">
            <v>0</v>
          </cell>
          <cell r="M56">
            <v>0</v>
          </cell>
          <cell r="N56">
            <v>8213590.9299999997</v>
          </cell>
          <cell r="O56">
            <v>73117386458.860001</v>
          </cell>
          <cell r="P56">
            <v>0</v>
          </cell>
          <cell r="Q56">
            <v>0</v>
          </cell>
          <cell r="R56">
            <v>8213590.9299999997</v>
          </cell>
          <cell r="S56">
            <v>71257008113.214996</v>
          </cell>
          <cell r="T56">
            <v>0</v>
          </cell>
          <cell r="U56">
            <v>0</v>
          </cell>
          <cell r="V56">
            <v>7945608.8100000005</v>
          </cell>
          <cell r="W56">
            <v>66246513453.375008</v>
          </cell>
          <cell r="X56">
            <v>0</v>
          </cell>
          <cell r="Y56">
            <v>0</v>
          </cell>
          <cell r="Z56">
            <v>7945608.8100000005</v>
          </cell>
          <cell r="AA56">
            <v>65670456814.650002</v>
          </cell>
          <cell r="AB56">
            <v>0</v>
          </cell>
          <cell r="AC56">
            <v>0</v>
          </cell>
          <cell r="AD56">
            <v>10951605.49</v>
          </cell>
          <cell r="AE56">
            <v>99057271657.050003</v>
          </cell>
          <cell r="AF56">
            <v>0</v>
          </cell>
          <cell r="AG56">
            <v>0</v>
          </cell>
          <cell r="AH56">
            <v>17726708.280000001</v>
          </cell>
          <cell r="AI56">
            <v>156668647778.64001</v>
          </cell>
          <cell r="AJ56">
            <v>0</v>
          </cell>
          <cell r="AK56">
            <v>0</v>
          </cell>
          <cell r="AL56">
            <v>21886222.540000003</v>
          </cell>
          <cell r="AM56">
            <v>196582050854.28003</v>
          </cell>
          <cell r="AN56">
            <v>0</v>
          </cell>
          <cell r="AO56">
            <v>0</v>
          </cell>
          <cell r="AP56">
            <v>21886222.540000003</v>
          </cell>
          <cell r="AQ56">
            <v>201955118487.85004</v>
          </cell>
          <cell r="AR56">
            <v>0</v>
          </cell>
          <cell r="AS56">
            <v>0</v>
          </cell>
          <cell r="AT56">
            <v>21638163.09</v>
          </cell>
          <cell r="AU56">
            <v>193921217612.57999</v>
          </cell>
          <cell r="AV56">
            <v>0</v>
          </cell>
          <cell r="AW56">
            <v>0</v>
          </cell>
          <cell r="AX56">
            <v>8413163.120000001</v>
          </cell>
          <cell r="AY56">
            <v>75297809924.000015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</row>
        <row r="58"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</row>
        <row r="62">
          <cell r="D62">
            <v>0</v>
          </cell>
          <cell r="E62">
            <v>0</v>
          </cell>
          <cell r="F62">
            <v>35644953.780000001</v>
          </cell>
          <cell r="G62">
            <v>316063805167.26001</v>
          </cell>
          <cell r="H62">
            <v>0</v>
          </cell>
          <cell r="I62">
            <v>0</v>
          </cell>
          <cell r="J62">
            <v>37019220.36999999</v>
          </cell>
          <cell r="K62">
            <v>328767696105.96997</v>
          </cell>
          <cell r="L62">
            <v>0</v>
          </cell>
          <cell r="M62">
            <v>0</v>
          </cell>
          <cell r="N62">
            <v>44535449.889999993</v>
          </cell>
          <cell r="O62">
            <v>396454574920.78003</v>
          </cell>
          <cell r="P62">
            <v>0</v>
          </cell>
          <cell r="Q62">
            <v>0</v>
          </cell>
          <cell r="R62">
            <v>49672507.780000001</v>
          </cell>
          <cell r="S62">
            <v>430933841245.39008</v>
          </cell>
          <cell r="T62">
            <v>0</v>
          </cell>
          <cell r="U62">
            <v>0</v>
          </cell>
          <cell r="V62">
            <v>53753673.949999996</v>
          </cell>
          <cell r="W62">
            <v>448171256558.12494</v>
          </cell>
          <cell r="X62">
            <v>0</v>
          </cell>
          <cell r="Y62">
            <v>0</v>
          </cell>
          <cell r="Z62">
            <v>53512484.649999991</v>
          </cell>
          <cell r="AA62">
            <v>442280685632.24994</v>
          </cell>
          <cell r="AB62">
            <v>0</v>
          </cell>
          <cell r="AC62">
            <v>0</v>
          </cell>
          <cell r="AD62">
            <v>10506522.210000001</v>
          </cell>
          <cell r="AE62">
            <v>95031493389.449997</v>
          </cell>
          <cell r="AF62">
            <v>0</v>
          </cell>
          <cell r="AG62">
            <v>0</v>
          </cell>
          <cell r="AH62">
            <v>30707163.800000004</v>
          </cell>
          <cell r="AI62">
            <v>271389913664.40002</v>
          </cell>
          <cell r="AJ62">
            <v>0</v>
          </cell>
          <cell r="AK62">
            <v>0</v>
          </cell>
          <cell r="AL62">
            <v>31955172.460000005</v>
          </cell>
          <cell r="AM62">
            <v>287021359035.72003</v>
          </cell>
          <cell r="AN62">
            <v>0</v>
          </cell>
          <cell r="AO62">
            <v>0</v>
          </cell>
          <cell r="AP62">
            <v>37123959.599999987</v>
          </cell>
          <cell r="AQ62">
            <v>342561337209</v>
          </cell>
          <cell r="AR62">
            <v>0</v>
          </cell>
          <cell r="AS62">
            <v>0</v>
          </cell>
          <cell r="AT62">
            <v>35081646.229999997</v>
          </cell>
          <cell r="AU62">
            <v>314401713513.25995</v>
          </cell>
          <cell r="AV62">
            <v>0</v>
          </cell>
          <cell r="AW62">
            <v>0</v>
          </cell>
          <cell r="AX62">
            <v>35895451.350000001</v>
          </cell>
          <cell r="AY62">
            <v>321264289582.50006</v>
          </cell>
        </row>
        <row r="64">
          <cell r="D64">
            <v>0</v>
          </cell>
          <cell r="E64">
            <v>0</v>
          </cell>
          <cell r="F64">
            <v>8350000</v>
          </cell>
          <cell r="G64">
            <v>74039450000</v>
          </cell>
          <cell r="H64">
            <v>0</v>
          </cell>
          <cell r="I64">
            <v>0</v>
          </cell>
          <cell r="J64">
            <v>8350000</v>
          </cell>
          <cell r="K64">
            <v>74156350000</v>
          </cell>
          <cell r="L64">
            <v>0</v>
          </cell>
          <cell r="M64">
            <v>0</v>
          </cell>
          <cell r="N64">
            <v>8350000</v>
          </cell>
          <cell r="O64">
            <v>74331700000</v>
          </cell>
          <cell r="P64">
            <v>0</v>
          </cell>
          <cell r="Q64">
            <v>0</v>
          </cell>
          <cell r="R64">
            <v>8350000</v>
          </cell>
          <cell r="S64">
            <v>72440425000</v>
          </cell>
          <cell r="T64">
            <v>0</v>
          </cell>
          <cell r="U64">
            <v>0</v>
          </cell>
          <cell r="V64">
            <v>8350000</v>
          </cell>
          <cell r="W64">
            <v>69618125000</v>
          </cell>
          <cell r="X64">
            <v>0</v>
          </cell>
          <cell r="Y64">
            <v>0</v>
          </cell>
          <cell r="Z64">
            <v>5925000</v>
          </cell>
          <cell r="AA64">
            <v>48970125000</v>
          </cell>
          <cell r="AB64">
            <v>0</v>
          </cell>
          <cell r="AC64">
            <v>0</v>
          </cell>
          <cell r="AD64">
            <v>3500000</v>
          </cell>
          <cell r="AE64">
            <v>31657500000</v>
          </cell>
          <cell r="AF64">
            <v>0</v>
          </cell>
          <cell r="AG64">
            <v>0</v>
          </cell>
          <cell r="AH64">
            <v>8350000</v>
          </cell>
          <cell r="AI64">
            <v>73797300000</v>
          </cell>
          <cell r="AJ64">
            <v>0</v>
          </cell>
          <cell r="AK64">
            <v>0</v>
          </cell>
          <cell r="AL64">
            <v>8350000</v>
          </cell>
          <cell r="AM64">
            <v>74999700000</v>
          </cell>
          <cell r="AN64">
            <v>0</v>
          </cell>
          <cell r="AO64">
            <v>0</v>
          </cell>
          <cell r="AP64">
            <v>8350000</v>
          </cell>
          <cell r="AQ64">
            <v>77049625000</v>
          </cell>
          <cell r="AR64">
            <v>0</v>
          </cell>
          <cell r="AS64">
            <v>0</v>
          </cell>
          <cell r="AT64">
            <v>8350000</v>
          </cell>
          <cell r="AU64">
            <v>74832700000</v>
          </cell>
          <cell r="AV64">
            <v>0</v>
          </cell>
          <cell r="AW64">
            <v>0</v>
          </cell>
          <cell r="AX64">
            <v>8350000</v>
          </cell>
          <cell r="AY64">
            <v>74732500000</v>
          </cell>
        </row>
        <row r="65">
          <cell r="D65">
            <v>0</v>
          </cell>
          <cell r="E65">
            <v>0</v>
          </cell>
          <cell r="F65">
            <v>22647359.360000003</v>
          </cell>
          <cell r="G65">
            <v>200814135445.12003</v>
          </cell>
          <cell r="H65">
            <v>0</v>
          </cell>
          <cell r="I65">
            <v>0</v>
          </cell>
          <cell r="J65">
            <v>23982343.879999995</v>
          </cell>
          <cell r="K65">
            <v>212987195998.27997</v>
          </cell>
          <cell r="L65">
            <v>0</v>
          </cell>
          <cell r="M65">
            <v>0</v>
          </cell>
          <cell r="N65">
            <v>25544256.470000003</v>
          </cell>
          <cell r="O65">
            <v>227394971095.94003</v>
          </cell>
          <cell r="P65">
            <v>0</v>
          </cell>
          <cell r="Q65">
            <v>0</v>
          </cell>
          <cell r="R65">
            <v>30634138.840000004</v>
          </cell>
          <cell r="S65">
            <v>265766471506.42004</v>
          </cell>
          <cell r="T65">
            <v>0</v>
          </cell>
          <cell r="U65">
            <v>0</v>
          </cell>
          <cell r="V65">
            <v>34666596.019999996</v>
          </cell>
          <cell r="W65">
            <v>289032744316.74994</v>
          </cell>
          <cell r="X65">
            <v>0</v>
          </cell>
          <cell r="Y65">
            <v>0</v>
          </cell>
          <cell r="Z65">
            <v>36819381.139999993</v>
          </cell>
          <cell r="AA65">
            <v>304312185122.09991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17738207.970000003</v>
          </cell>
          <cell r="AI65">
            <v>156770282038.86002</v>
          </cell>
          <cell r="AJ65">
            <v>0</v>
          </cell>
          <cell r="AK65">
            <v>0</v>
          </cell>
          <cell r="AL65">
            <v>18944920.730000004</v>
          </cell>
          <cell r="AM65">
            <v>170163277996.86005</v>
          </cell>
          <cell r="AN65">
            <v>0</v>
          </cell>
          <cell r="AO65">
            <v>0</v>
          </cell>
          <cell r="AP65">
            <v>24074637.689999998</v>
          </cell>
          <cell r="AQ65">
            <v>222148719284.47498</v>
          </cell>
          <cell r="AR65">
            <v>0</v>
          </cell>
          <cell r="AS65">
            <v>0</v>
          </cell>
          <cell r="AT65">
            <v>21989521.260000002</v>
          </cell>
          <cell r="AU65">
            <v>197070089532.12003</v>
          </cell>
          <cell r="AV65">
            <v>0</v>
          </cell>
          <cell r="AW65">
            <v>0</v>
          </cell>
          <cell r="AX65">
            <v>22950875.760000005</v>
          </cell>
          <cell r="AY65">
            <v>205410338052.00006</v>
          </cell>
        </row>
        <row r="66">
          <cell r="D66">
            <v>0</v>
          </cell>
          <cell r="E66">
            <v>0</v>
          </cell>
          <cell r="F66">
            <v>34187.339999999997</v>
          </cell>
          <cell r="G66">
            <v>303139143.77999997</v>
          </cell>
          <cell r="H66">
            <v>0</v>
          </cell>
          <cell r="I66">
            <v>0</v>
          </cell>
          <cell r="J66">
            <v>34357.89</v>
          </cell>
          <cell r="K66">
            <v>305132421.08999997</v>
          </cell>
          <cell r="L66">
            <v>0</v>
          </cell>
          <cell r="M66">
            <v>0</v>
          </cell>
          <cell r="N66">
            <v>33858.120000000003</v>
          </cell>
          <cell r="O66">
            <v>301404984.24000001</v>
          </cell>
          <cell r="P66">
            <v>0</v>
          </cell>
          <cell r="Q66">
            <v>0</v>
          </cell>
          <cell r="R66">
            <v>30499.84</v>
          </cell>
          <cell r="S66">
            <v>264601361.91999996</v>
          </cell>
          <cell r="T66">
            <v>0</v>
          </cell>
          <cell r="U66">
            <v>0</v>
          </cell>
          <cell r="V66">
            <v>26990.560000000001</v>
          </cell>
          <cell r="W66">
            <v>225033793.99999997</v>
          </cell>
          <cell r="X66">
            <v>0</v>
          </cell>
          <cell r="Y66">
            <v>0</v>
          </cell>
          <cell r="Z66">
            <v>27516.080000000002</v>
          </cell>
          <cell r="AA66">
            <v>227420401.20000002</v>
          </cell>
          <cell r="AB66">
            <v>0</v>
          </cell>
          <cell r="AC66">
            <v>0</v>
          </cell>
          <cell r="AD66">
            <v>18029.64</v>
          </cell>
          <cell r="AE66">
            <v>163078093.79999998</v>
          </cell>
          <cell r="AF66">
            <v>0</v>
          </cell>
          <cell r="AG66">
            <v>0</v>
          </cell>
          <cell r="AH66">
            <v>19265.3</v>
          </cell>
          <cell r="AI66">
            <v>170266721.40000001</v>
          </cell>
          <cell r="AJ66">
            <v>0</v>
          </cell>
          <cell r="AK66">
            <v>0</v>
          </cell>
          <cell r="AL66">
            <v>18656</v>
          </cell>
          <cell r="AM66">
            <v>167568192</v>
          </cell>
          <cell r="AN66">
            <v>0</v>
          </cell>
          <cell r="AO66">
            <v>0</v>
          </cell>
          <cell r="AP66">
            <v>14424.13</v>
          </cell>
          <cell r="AQ66">
            <v>133098659.575</v>
          </cell>
          <cell r="AR66">
            <v>0</v>
          </cell>
          <cell r="AS66">
            <v>0</v>
          </cell>
          <cell r="AT66">
            <v>15321.99</v>
          </cell>
          <cell r="AU66">
            <v>137315674.38</v>
          </cell>
          <cell r="AV66">
            <v>0</v>
          </cell>
          <cell r="AW66">
            <v>0</v>
          </cell>
          <cell r="AX66">
            <v>24470.560000000001</v>
          </cell>
          <cell r="AY66">
            <v>219011511.99999997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1750000</v>
          </cell>
          <cell r="AE67">
            <v>15828750000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</row>
        <row r="68">
          <cell r="D68">
            <v>0</v>
          </cell>
          <cell r="E68">
            <v>0</v>
          </cell>
          <cell r="F68">
            <v>6000000</v>
          </cell>
          <cell r="G68">
            <v>53202000000</v>
          </cell>
          <cell r="H68">
            <v>0</v>
          </cell>
          <cell r="I68">
            <v>0</v>
          </cell>
          <cell r="J68">
            <v>5999999.9999999981</v>
          </cell>
          <cell r="K68">
            <v>53285999999.999985</v>
          </cell>
          <cell r="L68">
            <v>0</v>
          </cell>
          <cell r="M68">
            <v>0</v>
          </cell>
          <cell r="N68">
            <v>12479564.000000002</v>
          </cell>
          <cell r="O68">
            <v>111093078728.00002</v>
          </cell>
          <cell r="P68">
            <v>0</v>
          </cell>
          <cell r="Q68">
            <v>0</v>
          </cell>
          <cell r="R68">
            <v>12479564</v>
          </cell>
          <cell r="S68">
            <v>108266457482</v>
          </cell>
          <cell r="T68">
            <v>0</v>
          </cell>
          <cell r="U68">
            <v>0</v>
          </cell>
          <cell r="V68">
            <v>12479564</v>
          </cell>
          <cell r="W68">
            <v>104048364850</v>
          </cell>
          <cell r="X68">
            <v>0</v>
          </cell>
          <cell r="Y68">
            <v>0</v>
          </cell>
          <cell r="Z68">
            <v>12479564</v>
          </cell>
          <cell r="AA68">
            <v>103143596460</v>
          </cell>
          <cell r="AB68">
            <v>0</v>
          </cell>
          <cell r="AC68">
            <v>0</v>
          </cell>
          <cell r="AD68">
            <v>6000000</v>
          </cell>
          <cell r="AE68">
            <v>54270000000</v>
          </cell>
          <cell r="AF68">
            <v>0</v>
          </cell>
          <cell r="AG68">
            <v>0</v>
          </cell>
          <cell r="AH68">
            <v>6000000</v>
          </cell>
          <cell r="AI68">
            <v>53028000000</v>
          </cell>
          <cell r="AJ68">
            <v>0</v>
          </cell>
          <cell r="AK68">
            <v>0</v>
          </cell>
          <cell r="AL68">
            <v>5999999.9999999981</v>
          </cell>
          <cell r="AM68">
            <v>53891999999.999985</v>
          </cell>
          <cell r="AN68">
            <v>0</v>
          </cell>
          <cell r="AO68">
            <v>0</v>
          </cell>
          <cell r="AP68">
            <v>6000000</v>
          </cell>
          <cell r="AQ68">
            <v>55365000000</v>
          </cell>
          <cell r="AR68">
            <v>0</v>
          </cell>
          <cell r="AS68">
            <v>0</v>
          </cell>
          <cell r="AT68">
            <v>6000000</v>
          </cell>
          <cell r="AU68">
            <v>53772000000</v>
          </cell>
          <cell r="AV68">
            <v>0</v>
          </cell>
          <cell r="AW68">
            <v>0</v>
          </cell>
          <cell r="AX68">
            <v>6000000</v>
          </cell>
          <cell r="AY68">
            <v>53700000000</v>
          </cell>
        </row>
        <row r="70">
          <cell r="D70">
            <v>0</v>
          </cell>
          <cell r="E70">
            <v>0</v>
          </cell>
          <cell r="F70">
            <v>-1074518.95</v>
          </cell>
          <cell r="G70">
            <v>-9527759529.6499996</v>
          </cell>
          <cell r="H70">
            <v>0</v>
          </cell>
          <cell r="I70">
            <v>0</v>
          </cell>
          <cell r="J70">
            <v>-1074518.95</v>
          </cell>
          <cell r="K70">
            <v>-9542802794.9499989</v>
          </cell>
          <cell r="L70">
            <v>0</v>
          </cell>
          <cell r="M70">
            <v>0</v>
          </cell>
          <cell r="N70">
            <v>-1074518.95</v>
          </cell>
          <cell r="O70">
            <v>-9565367692.8999996</v>
          </cell>
          <cell r="P70">
            <v>0</v>
          </cell>
          <cell r="Q70">
            <v>0</v>
          </cell>
          <cell r="R70">
            <v>-1074518.95</v>
          </cell>
          <cell r="S70">
            <v>-9321989150.7250004</v>
          </cell>
          <cell r="T70">
            <v>0</v>
          </cell>
          <cell r="U70">
            <v>0</v>
          </cell>
          <cell r="V70">
            <v>-1074518.95</v>
          </cell>
          <cell r="W70">
            <v>-8958801745.625</v>
          </cell>
          <cell r="X70">
            <v>0</v>
          </cell>
          <cell r="Y70">
            <v>0</v>
          </cell>
          <cell r="Z70">
            <v>-1074518.95</v>
          </cell>
          <cell r="AA70">
            <v>-8880899121.75</v>
          </cell>
          <cell r="AB70">
            <v>0</v>
          </cell>
          <cell r="AC70">
            <v>0</v>
          </cell>
          <cell r="AD70">
            <v>-761507.43</v>
          </cell>
          <cell r="AE70">
            <v>-6887834704.3500004</v>
          </cell>
          <cell r="AF70">
            <v>0</v>
          </cell>
          <cell r="AG70">
            <v>0</v>
          </cell>
          <cell r="AH70">
            <v>-874518.95</v>
          </cell>
          <cell r="AI70">
            <v>-7728998480.0999994</v>
          </cell>
          <cell r="AJ70">
            <v>0</v>
          </cell>
          <cell r="AK70">
            <v>0</v>
          </cell>
          <cell r="AL70">
            <v>-874518.95</v>
          </cell>
          <cell r="AM70">
            <v>-7854929208.8999996</v>
          </cell>
          <cell r="AN70">
            <v>0</v>
          </cell>
          <cell r="AO70">
            <v>0</v>
          </cell>
          <cell r="AP70">
            <v>-874518.95</v>
          </cell>
          <cell r="AQ70">
            <v>-8069623611.125</v>
          </cell>
          <cell r="AR70">
            <v>0</v>
          </cell>
          <cell r="AS70">
            <v>0</v>
          </cell>
          <cell r="AT70">
            <v>-874518.95</v>
          </cell>
          <cell r="AU70">
            <v>-7837438829.8999996</v>
          </cell>
          <cell r="AV70">
            <v>0</v>
          </cell>
          <cell r="AW70">
            <v>0</v>
          </cell>
          <cell r="AX70">
            <v>-1074518.95</v>
          </cell>
          <cell r="AY70">
            <v>-9616944602.5</v>
          </cell>
        </row>
        <row r="71">
          <cell r="D71">
            <v>0</v>
          </cell>
          <cell r="E71">
            <v>0</v>
          </cell>
          <cell r="F71">
            <v>-312073.96999999997</v>
          </cell>
          <cell r="G71">
            <v>-2767159891.9900017</v>
          </cell>
          <cell r="H71">
            <v>0</v>
          </cell>
          <cell r="I71">
            <v>0</v>
          </cell>
          <cell r="J71">
            <v>-272962.45</v>
          </cell>
          <cell r="K71">
            <v>-2424179518.4499998</v>
          </cell>
          <cell r="L71">
            <v>0</v>
          </cell>
          <cell r="M71">
            <v>0</v>
          </cell>
          <cell r="N71">
            <v>-797709.75</v>
          </cell>
          <cell r="O71">
            <v>-7101212194.5000019</v>
          </cell>
          <cell r="P71">
            <v>0</v>
          </cell>
          <cell r="Q71">
            <v>0</v>
          </cell>
          <cell r="R71">
            <v>-747175.95</v>
          </cell>
          <cell r="S71">
            <v>-6482124954.2250013</v>
          </cell>
          <cell r="T71">
            <v>0</v>
          </cell>
          <cell r="U71">
            <v>0</v>
          </cell>
          <cell r="V71">
            <v>-694957.68</v>
          </cell>
          <cell r="W71">
            <v>-5794209657.000001</v>
          </cell>
          <cell r="X71">
            <v>0</v>
          </cell>
          <cell r="Y71">
            <v>0</v>
          </cell>
          <cell r="Z71">
            <v>-664457.62</v>
          </cell>
          <cell r="AA71">
            <v>-5491742229.3000002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-525790.52</v>
          </cell>
          <cell r="AI71">
            <v>-4646936615.7600002</v>
          </cell>
          <cell r="AJ71">
            <v>0</v>
          </cell>
          <cell r="AK71">
            <v>0</v>
          </cell>
          <cell r="AL71">
            <v>-483885.32</v>
          </cell>
          <cell r="AM71">
            <v>-4346257944.2400007</v>
          </cell>
          <cell r="AN71">
            <v>0</v>
          </cell>
          <cell r="AO71">
            <v>0</v>
          </cell>
          <cell r="AP71">
            <v>-440583.27</v>
          </cell>
          <cell r="AQ71">
            <v>-4065482123.9250002</v>
          </cell>
          <cell r="AR71">
            <v>0</v>
          </cell>
          <cell r="AS71">
            <v>0</v>
          </cell>
          <cell r="AT71">
            <v>-398678.07</v>
          </cell>
          <cell r="AU71">
            <v>-3572952863.3400025</v>
          </cell>
          <cell r="AV71">
            <v>0</v>
          </cell>
          <cell r="AW71">
            <v>0</v>
          </cell>
          <cell r="AX71">
            <v>-355376.02</v>
          </cell>
          <cell r="AY71">
            <v>-3180615378.9999981</v>
          </cell>
        </row>
        <row r="73"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5157683.2000000002</v>
          </cell>
          <cell r="AE77">
            <v>46651244544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5157683.2000000002</v>
          </cell>
          <cell r="AE79">
            <v>46651244544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</row>
        <row r="83"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</row>
        <row r="85">
          <cell r="D85">
            <v>0</v>
          </cell>
          <cell r="E85">
            <v>0</v>
          </cell>
          <cell r="F85">
            <v>264111</v>
          </cell>
          <cell r="G85">
            <v>2341872236.9999995</v>
          </cell>
          <cell r="H85">
            <v>0</v>
          </cell>
          <cell r="I85">
            <v>0</v>
          </cell>
          <cell r="J85">
            <v>396651.3</v>
          </cell>
          <cell r="K85">
            <v>3522660195.3000002</v>
          </cell>
          <cell r="L85">
            <v>0</v>
          </cell>
          <cell r="M85">
            <v>0</v>
          </cell>
          <cell r="N85">
            <v>524193.52</v>
          </cell>
          <cell r="O85">
            <v>4666370715.04</v>
          </cell>
          <cell r="P85">
            <v>0</v>
          </cell>
          <cell r="Q85">
            <v>0</v>
          </cell>
          <cell r="R85">
            <v>707726.87</v>
          </cell>
          <cell r="S85">
            <v>6139884460.6849995</v>
          </cell>
          <cell r="T85">
            <v>0</v>
          </cell>
          <cell r="U85">
            <v>0</v>
          </cell>
          <cell r="V85">
            <v>758955.26</v>
          </cell>
          <cell r="W85">
            <v>6327789480.25</v>
          </cell>
          <cell r="X85">
            <v>0</v>
          </cell>
          <cell r="Y85">
            <v>0</v>
          </cell>
          <cell r="Z85">
            <v>311781.09999999998</v>
          </cell>
          <cell r="AA85">
            <v>2576870791.5000005</v>
          </cell>
          <cell r="AB85">
            <v>0</v>
          </cell>
          <cell r="AC85">
            <v>0</v>
          </cell>
          <cell r="AD85">
            <v>569985.22</v>
          </cell>
          <cell r="AE85">
            <v>5155516314.8999996</v>
          </cell>
          <cell r="AF85">
            <v>0</v>
          </cell>
          <cell r="AG85">
            <v>0</v>
          </cell>
          <cell r="AH85">
            <v>394067.86</v>
          </cell>
          <cell r="AI85">
            <v>3482771746.6800003</v>
          </cell>
          <cell r="AJ85">
            <v>0</v>
          </cell>
          <cell r="AK85">
            <v>0</v>
          </cell>
          <cell r="AL85">
            <v>545310.96</v>
          </cell>
          <cell r="AM85">
            <v>4897983042.7199993</v>
          </cell>
          <cell r="AN85">
            <v>0</v>
          </cell>
          <cell r="AO85">
            <v>0</v>
          </cell>
          <cell r="AP85">
            <v>717602.78</v>
          </cell>
          <cell r="AQ85">
            <v>6621679652.4499998</v>
          </cell>
          <cell r="AR85">
            <v>0</v>
          </cell>
          <cell r="AS85">
            <v>0</v>
          </cell>
          <cell r="AT85">
            <v>732359.09</v>
          </cell>
          <cell r="AU85">
            <v>6563402164.5799999</v>
          </cell>
          <cell r="AV85">
            <v>0</v>
          </cell>
          <cell r="AW85">
            <v>0</v>
          </cell>
          <cell r="AX85">
            <v>220347.66</v>
          </cell>
          <cell r="AY85">
            <v>1972111557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</row>
        <row r="91">
          <cell r="D91">
            <v>0</v>
          </cell>
          <cell r="E91">
            <v>0</v>
          </cell>
          <cell r="F91">
            <v>30477.200000000001</v>
          </cell>
          <cell r="G91">
            <v>270241332.39999998</v>
          </cell>
          <cell r="H91">
            <v>0</v>
          </cell>
          <cell r="I91">
            <v>0</v>
          </cell>
          <cell r="J91">
            <v>44521.42</v>
          </cell>
          <cell r="K91">
            <v>395394731.01999998</v>
          </cell>
          <cell r="L91">
            <v>0</v>
          </cell>
          <cell r="M91">
            <v>0</v>
          </cell>
          <cell r="N91">
            <v>60457.8</v>
          </cell>
          <cell r="O91">
            <v>538195335.60000002</v>
          </cell>
          <cell r="P91">
            <v>0</v>
          </cell>
          <cell r="Q91">
            <v>0</v>
          </cell>
          <cell r="R91">
            <v>75785.16</v>
          </cell>
          <cell r="S91">
            <v>657474155.57999992</v>
          </cell>
          <cell r="T91">
            <v>0</v>
          </cell>
          <cell r="U91">
            <v>0</v>
          </cell>
          <cell r="V91">
            <v>93359.47</v>
          </cell>
          <cell r="W91">
            <v>778384581.125</v>
          </cell>
          <cell r="X91">
            <v>0</v>
          </cell>
          <cell r="Y91">
            <v>0</v>
          </cell>
          <cell r="Z91">
            <v>11489.53</v>
          </cell>
          <cell r="AA91">
            <v>94960965.450000003</v>
          </cell>
          <cell r="AB91">
            <v>0</v>
          </cell>
          <cell r="AC91">
            <v>0</v>
          </cell>
          <cell r="AD91">
            <v>159672.73000000001</v>
          </cell>
          <cell r="AE91">
            <v>1444239842.8500001</v>
          </cell>
          <cell r="AF91">
            <v>0</v>
          </cell>
          <cell r="AG91">
            <v>0</v>
          </cell>
          <cell r="AH91">
            <v>54616.200000000012</v>
          </cell>
          <cell r="AI91">
            <v>482697975.60000008</v>
          </cell>
          <cell r="AJ91">
            <v>0</v>
          </cell>
          <cell r="AK91">
            <v>0</v>
          </cell>
          <cell r="AL91">
            <v>70314.38</v>
          </cell>
          <cell r="AM91">
            <v>631563761.16000009</v>
          </cell>
          <cell r="AN91">
            <v>0</v>
          </cell>
          <cell r="AO91">
            <v>0</v>
          </cell>
          <cell r="AP91">
            <v>88160.08</v>
          </cell>
          <cell r="AQ91">
            <v>813497138.20000005</v>
          </cell>
          <cell r="AR91">
            <v>0</v>
          </cell>
          <cell r="AS91">
            <v>0</v>
          </cell>
          <cell r="AT91">
            <v>106979.9</v>
          </cell>
          <cell r="AU91">
            <v>958753863.80000007</v>
          </cell>
          <cell r="AV91">
            <v>0</v>
          </cell>
          <cell r="AW91">
            <v>0</v>
          </cell>
          <cell r="AX91">
            <v>15060.45</v>
          </cell>
          <cell r="AY91">
            <v>134791027.5</v>
          </cell>
        </row>
        <row r="92">
          <cell r="D92">
            <v>0</v>
          </cell>
          <cell r="E92">
            <v>0</v>
          </cell>
          <cell r="F92">
            <v>47160.24</v>
          </cell>
          <cell r="G92">
            <v>418169848.08000004</v>
          </cell>
          <cell r="H92">
            <v>0</v>
          </cell>
          <cell r="I92">
            <v>0</v>
          </cell>
          <cell r="J92">
            <v>70694.899999999994</v>
          </cell>
          <cell r="K92">
            <v>627841406.89999998</v>
          </cell>
          <cell r="L92">
            <v>0</v>
          </cell>
          <cell r="M92">
            <v>0</v>
          </cell>
          <cell r="N92">
            <v>73289.66</v>
          </cell>
          <cell r="O92">
            <v>652424553.32000005</v>
          </cell>
          <cell r="P92">
            <v>0</v>
          </cell>
          <cell r="Q92">
            <v>0</v>
          </cell>
          <cell r="R92">
            <v>131377.16</v>
          </cell>
          <cell r="S92">
            <v>1139762551.5799999</v>
          </cell>
          <cell r="T92">
            <v>0</v>
          </cell>
          <cell r="U92">
            <v>0</v>
          </cell>
          <cell r="V92">
            <v>190278.06</v>
          </cell>
          <cell r="W92">
            <v>1586443325.25</v>
          </cell>
          <cell r="X92">
            <v>0</v>
          </cell>
          <cell r="Y92">
            <v>0</v>
          </cell>
          <cell r="Z92">
            <v>125066.01</v>
          </cell>
          <cell r="AA92">
            <v>1033670572.6500001</v>
          </cell>
          <cell r="AB92">
            <v>0</v>
          </cell>
          <cell r="AC92">
            <v>0</v>
          </cell>
          <cell r="AD92">
            <v>92238.15</v>
          </cell>
          <cell r="AE92">
            <v>834294066.75</v>
          </cell>
          <cell r="AF92">
            <v>0</v>
          </cell>
          <cell r="AG92">
            <v>0</v>
          </cell>
          <cell r="AH92">
            <v>40622.230000000003</v>
          </cell>
          <cell r="AI92">
            <v>359019268.74000001</v>
          </cell>
          <cell r="AJ92">
            <v>0</v>
          </cell>
          <cell r="AK92">
            <v>0</v>
          </cell>
          <cell r="AL92">
            <v>61773.45</v>
          </cell>
          <cell r="AM92">
            <v>554849127.89999998</v>
          </cell>
          <cell r="AN92">
            <v>0</v>
          </cell>
          <cell r="AO92">
            <v>0</v>
          </cell>
          <cell r="AP92">
            <v>85400.9</v>
          </cell>
          <cell r="AQ92">
            <v>788036804.75</v>
          </cell>
          <cell r="AR92">
            <v>0</v>
          </cell>
          <cell r="AS92">
            <v>0</v>
          </cell>
          <cell r="AT92">
            <v>114717.35</v>
          </cell>
          <cell r="AU92">
            <v>1028096890.6999999</v>
          </cell>
          <cell r="AV92">
            <v>0</v>
          </cell>
          <cell r="AW92">
            <v>0</v>
          </cell>
          <cell r="AX92">
            <v>21104.02</v>
          </cell>
          <cell r="AY92">
            <v>188880979</v>
          </cell>
        </row>
        <row r="93">
          <cell r="D93">
            <v>0</v>
          </cell>
          <cell r="E93">
            <v>0</v>
          </cell>
          <cell r="F93">
            <v>169575.4</v>
          </cell>
          <cell r="G93">
            <v>1503625071.8</v>
          </cell>
          <cell r="H93">
            <v>0</v>
          </cell>
          <cell r="I93">
            <v>0</v>
          </cell>
          <cell r="J93">
            <v>281172.38</v>
          </cell>
          <cell r="K93">
            <v>2497091906.7800002</v>
          </cell>
          <cell r="L93">
            <v>0</v>
          </cell>
          <cell r="M93">
            <v>0</v>
          </cell>
          <cell r="N93">
            <v>387724.87</v>
          </cell>
          <cell r="O93">
            <v>3451526792.7399998</v>
          </cell>
          <cell r="P93">
            <v>0</v>
          </cell>
          <cell r="Q93">
            <v>0</v>
          </cell>
          <cell r="R93">
            <v>495431.73</v>
          </cell>
          <cell r="S93">
            <v>4298117973.6149998</v>
          </cell>
          <cell r="T93">
            <v>0</v>
          </cell>
          <cell r="U93">
            <v>0</v>
          </cell>
          <cell r="V93">
            <v>467386.79</v>
          </cell>
          <cell r="W93">
            <v>3896837361.625</v>
          </cell>
          <cell r="X93">
            <v>0</v>
          </cell>
          <cell r="Y93">
            <v>0</v>
          </cell>
          <cell r="Z93">
            <v>165263.14000000001</v>
          </cell>
          <cell r="AA93">
            <v>1365899852.1000001</v>
          </cell>
          <cell r="AB93">
            <v>0</v>
          </cell>
          <cell r="AC93">
            <v>0</v>
          </cell>
          <cell r="AD93">
            <v>267234.07</v>
          </cell>
          <cell r="AE93">
            <v>2417132163.1500001</v>
          </cell>
          <cell r="AF93">
            <v>0</v>
          </cell>
          <cell r="AG93">
            <v>0</v>
          </cell>
          <cell r="AH93">
            <v>298048.06</v>
          </cell>
          <cell r="AI93">
            <v>2634148754.2800002</v>
          </cell>
          <cell r="AJ93">
            <v>0</v>
          </cell>
          <cell r="AK93">
            <v>0</v>
          </cell>
          <cell r="AL93">
            <v>409443.12</v>
          </cell>
          <cell r="AM93">
            <v>3677618103.8400002</v>
          </cell>
          <cell r="AN93">
            <v>0</v>
          </cell>
          <cell r="AO93">
            <v>0</v>
          </cell>
          <cell r="AP93">
            <v>536930.71</v>
          </cell>
          <cell r="AQ93">
            <v>4954528126.5249996</v>
          </cell>
          <cell r="AR93">
            <v>0</v>
          </cell>
          <cell r="AS93">
            <v>0</v>
          </cell>
          <cell r="AT93">
            <v>500154.6</v>
          </cell>
          <cell r="AU93">
            <v>4482385525.1999998</v>
          </cell>
          <cell r="AV93">
            <v>0</v>
          </cell>
          <cell r="AW93">
            <v>0</v>
          </cell>
          <cell r="AX93">
            <v>170491.48</v>
          </cell>
          <cell r="AY93">
            <v>1525898746</v>
          </cell>
        </row>
        <row r="94">
          <cell r="D94">
            <v>0</v>
          </cell>
          <cell r="E94">
            <v>0</v>
          </cell>
          <cell r="F94">
            <v>16898.16</v>
          </cell>
          <cell r="G94">
            <v>149835984.72</v>
          </cell>
          <cell r="H94">
            <v>0</v>
          </cell>
          <cell r="I94">
            <v>0</v>
          </cell>
          <cell r="J94">
            <v>262.60000000000002</v>
          </cell>
          <cell r="K94">
            <v>2332150.6</v>
          </cell>
          <cell r="L94">
            <v>0</v>
          </cell>
          <cell r="M94">
            <v>0</v>
          </cell>
          <cell r="N94">
            <v>2721.19</v>
          </cell>
          <cell r="O94">
            <v>24224033.379999999</v>
          </cell>
          <cell r="P94">
            <v>0</v>
          </cell>
          <cell r="Q94">
            <v>0</v>
          </cell>
          <cell r="R94">
            <v>5132.82</v>
          </cell>
          <cell r="S94">
            <v>44529779.909999996</v>
          </cell>
          <cell r="T94">
            <v>0</v>
          </cell>
          <cell r="U94">
            <v>0</v>
          </cell>
          <cell r="V94">
            <v>7930.94</v>
          </cell>
          <cell r="W94">
            <v>66124212.25</v>
          </cell>
          <cell r="X94">
            <v>0</v>
          </cell>
          <cell r="Y94">
            <v>0</v>
          </cell>
          <cell r="Z94">
            <v>9962.42</v>
          </cell>
          <cell r="AA94">
            <v>82339401.299999997</v>
          </cell>
          <cell r="AB94">
            <v>0</v>
          </cell>
          <cell r="AC94">
            <v>0</v>
          </cell>
          <cell r="AD94">
            <v>50840.27</v>
          </cell>
          <cell r="AE94">
            <v>459850242.14999998</v>
          </cell>
          <cell r="AF94">
            <v>0</v>
          </cell>
          <cell r="AG94">
            <v>0</v>
          </cell>
          <cell r="AH94">
            <v>781.37</v>
          </cell>
          <cell r="AI94">
            <v>6905748.0599999996</v>
          </cell>
          <cell r="AJ94">
            <v>0</v>
          </cell>
          <cell r="AK94">
            <v>0</v>
          </cell>
          <cell r="AL94">
            <v>3780.01</v>
          </cell>
          <cell r="AM94">
            <v>33952049.82</v>
          </cell>
          <cell r="AN94">
            <v>0</v>
          </cell>
          <cell r="AO94">
            <v>0</v>
          </cell>
          <cell r="AP94">
            <v>7111.09</v>
          </cell>
          <cell r="AQ94">
            <v>65617582.975000001</v>
          </cell>
          <cell r="AR94">
            <v>0</v>
          </cell>
          <cell r="AS94">
            <v>0</v>
          </cell>
          <cell r="AT94">
            <v>10507.24</v>
          </cell>
          <cell r="AU94">
            <v>94165884.879999995</v>
          </cell>
          <cell r="AV94">
            <v>0</v>
          </cell>
          <cell r="AW94">
            <v>0</v>
          </cell>
          <cell r="AX94">
            <v>13691.71</v>
          </cell>
          <cell r="AY94">
            <v>122540804.49999999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</row>
        <row r="102">
          <cell r="D102">
            <v>0</v>
          </cell>
          <cell r="E102">
            <v>0</v>
          </cell>
          <cell r="F102">
            <v>290200.51</v>
          </cell>
          <cell r="G102">
            <v>2573207922.1700006</v>
          </cell>
          <cell r="H102">
            <v>0</v>
          </cell>
          <cell r="I102">
            <v>0</v>
          </cell>
          <cell r="J102">
            <v>292789.29999999946</v>
          </cell>
          <cell r="K102">
            <v>2600261773.2999983</v>
          </cell>
          <cell r="L102">
            <v>0</v>
          </cell>
          <cell r="M102">
            <v>0</v>
          </cell>
          <cell r="N102">
            <v>359891.17</v>
          </cell>
          <cell r="O102">
            <v>3203751195.3399963</v>
          </cell>
          <cell r="P102">
            <v>0</v>
          </cell>
          <cell r="Q102">
            <v>0</v>
          </cell>
          <cell r="R102">
            <v>348691.81</v>
          </cell>
          <cell r="S102">
            <v>3025075797.6550007</v>
          </cell>
          <cell r="T102">
            <v>0</v>
          </cell>
          <cell r="U102">
            <v>0</v>
          </cell>
          <cell r="V102">
            <v>336928.55</v>
          </cell>
          <cell r="W102">
            <v>2809141785.625</v>
          </cell>
          <cell r="X102">
            <v>0</v>
          </cell>
          <cell r="Y102">
            <v>0</v>
          </cell>
          <cell r="Z102">
            <v>335082.57</v>
          </cell>
          <cell r="AA102">
            <v>2769457441.0499992</v>
          </cell>
          <cell r="AB102">
            <v>0</v>
          </cell>
          <cell r="AC102">
            <v>0</v>
          </cell>
          <cell r="AD102">
            <v>147163.02999999962</v>
          </cell>
          <cell r="AE102">
            <v>1331089606.3500018</v>
          </cell>
          <cell r="AF102">
            <v>0</v>
          </cell>
          <cell r="AG102">
            <v>0</v>
          </cell>
          <cell r="AH102">
            <v>99265.329999999783</v>
          </cell>
          <cell r="AI102">
            <v>877306986.54000044</v>
          </cell>
          <cell r="AJ102">
            <v>0</v>
          </cell>
          <cell r="AK102">
            <v>0</v>
          </cell>
          <cell r="AL102">
            <v>100900.25</v>
          </cell>
          <cell r="AM102">
            <v>906286045.50000191</v>
          </cell>
          <cell r="AN102">
            <v>0</v>
          </cell>
          <cell r="AO102">
            <v>0</v>
          </cell>
          <cell r="AP102">
            <v>166802.16</v>
          </cell>
          <cell r="AQ102">
            <v>1539166931.3999968</v>
          </cell>
          <cell r="AR102">
            <v>0</v>
          </cell>
          <cell r="AS102">
            <v>0</v>
          </cell>
          <cell r="AT102">
            <v>161435.53</v>
          </cell>
          <cell r="AU102">
            <v>1446785219.8600011</v>
          </cell>
          <cell r="AV102">
            <v>0</v>
          </cell>
          <cell r="AW102">
            <v>0</v>
          </cell>
          <cell r="AX102">
            <v>162380.25</v>
          </cell>
          <cell r="AY102">
            <v>1453303237.5</v>
          </cell>
        </row>
        <row r="104">
          <cell r="D104">
            <v>0</v>
          </cell>
          <cell r="E104">
            <v>0</v>
          </cell>
          <cell r="F104">
            <v>678787.88</v>
          </cell>
          <cell r="G104">
            <v>6018812131.96</v>
          </cell>
          <cell r="H104">
            <v>0</v>
          </cell>
          <cell r="I104">
            <v>0</v>
          </cell>
          <cell r="J104">
            <v>678787.88</v>
          </cell>
          <cell r="K104">
            <v>6028315162.2799997</v>
          </cell>
          <cell r="L104">
            <v>0</v>
          </cell>
          <cell r="M104">
            <v>0</v>
          </cell>
          <cell r="N104">
            <v>678787.88</v>
          </cell>
          <cell r="O104">
            <v>6042569707.7600002</v>
          </cell>
          <cell r="P104">
            <v>0</v>
          </cell>
          <cell r="Q104">
            <v>0</v>
          </cell>
          <cell r="R104">
            <v>678787.88</v>
          </cell>
          <cell r="S104">
            <v>5888824252.9399996</v>
          </cell>
          <cell r="T104">
            <v>0</v>
          </cell>
          <cell r="U104">
            <v>0</v>
          </cell>
          <cell r="V104">
            <v>678787.88</v>
          </cell>
          <cell r="W104">
            <v>5659393949.5</v>
          </cell>
          <cell r="X104">
            <v>0</v>
          </cell>
          <cell r="Y104">
            <v>0</v>
          </cell>
          <cell r="Z104">
            <v>678787.88</v>
          </cell>
          <cell r="AA104">
            <v>5610181828.1999998</v>
          </cell>
          <cell r="AB104">
            <v>0</v>
          </cell>
          <cell r="AC104">
            <v>0</v>
          </cell>
          <cell r="AD104">
            <v>678787.88</v>
          </cell>
          <cell r="AE104">
            <v>6139636374.6000004</v>
          </cell>
          <cell r="AF104">
            <v>0</v>
          </cell>
          <cell r="AG104">
            <v>0</v>
          </cell>
          <cell r="AH104">
            <v>678787.88</v>
          </cell>
          <cell r="AI104">
            <v>5999127283.4399996</v>
          </cell>
          <cell r="AJ104">
            <v>0</v>
          </cell>
          <cell r="AK104">
            <v>0</v>
          </cell>
          <cell r="AL104">
            <v>678787.88</v>
          </cell>
          <cell r="AM104">
            <v>6096872738.1599998</v>
          </cell>
          <cell r="AN104">
            <v>0</v>
          </cell>
          <cell r="AO104">
            <v>0</v>
          </cell>
          <cell r="AP104">
            <v>678787.88</v>
          </cell>
          <cell r="AQ104">
            <v>6263515162.6999998</v>
          </cell>
          <cell r="AR104">
            <v>0</v>
          </cell>
          <cell r="AS104">
            <v>0</v>
          </cell>
          <cell r="AT104">
            <v>678787.88</v>
          </cell>
          <cell r="AU104">
            <v>6083296980.5600004</v>
          </cell>
          <cell r="AV104">
            <v>0</v>
          </cell>
          <cell r="AW104">
            <v>0</v>
          </cell>
          <cell r="AX104">
            <v>678787.88</v>
          </cell>
          <cell r="AY104">
            <v>6075151526</v>
          </cell>
        </row>
        <row r="105">
          <cell r="D105">
            <v>0</v>
          </cell>
          <cell r="E105">
            <v>0</v>
          </cell>
          <cell r="F105">
            <v>1705057.9</v>
          </cell>
          <cell r="G105">
            <v>15118748399.299999</v>
          </cell>
          <cell r="H105">
            <v>0</v>
          </cell>
          <cell r="I105">
            <v>0</v>
          </cell>
          <cell r="J105">
            <v>1717325.61</v>
          </cell>
          <cell r="K105">
            <v>15251568742.409998</v>
          </cell>
          <cell r="L105">
            <v>0</v>
          </cell>
          <cell r="M105">
            <v>0</v>
          </cell>
          <cell r="N105">
            <v>1797792.83</v>
          </cell>
          <cell r="O105">
            <v>16003951772.659998</v>
          </cell>
          <cell r="P105">
            <v>0</v>
          </cell>
          <cell r="Q105">
            <v>0</v>
          </cell>
          <cell r="R105">
            <v>1799972.64</v>
          </cell>
          <cell r="S105">
            <v>15615662638.320002</v>
          </cell>
          <cell r="T105">
            <v>0</v>
          </cell>
          <cell r="U105">
            <v>0</v>
          </cell>
          <cell r="V105">
            <v>1801666.08</v>
          </cell>
          <cell r="W105">
            <v>15021390941.999998</v>
          </cell>
          <cell r="X105">
            <v>0</v>
          </cell>
          <cell r="Y105">
            <v>0</v>
          </cell>
          <cell r="Z105">
            <v>1813608.53</v>
          </cell>
          <cell r="AA105">
            <v>14989474500.450001</v>
          </cell>
          <cell r="AB105">
            <v>0</v>
          </cell>
          <cell r="AC105">
            <v>0</v>
          </cell>
          <cell r="AD105">
            <v>1603856.92</v>
          </cell>
          <cell r="AE105">
            <v>14506885841.4</v>
          </cell>
          <cell r="AF105">
            <v>0</v>
          </cell>
          <cell r="AG105">
            <v>0</v>
          </cell>
          <cell r="AH105">
            <v>1647416.08</v>
          </cell>
          <cell r="AI105">
            <v>14559863315.040001</v>
          </cell>
          <cell r="AJ105">
            <v>0</v>
          </cell>
          <cell r="AK105">
            <v>0</v>
          </cell>
          <cell r="AL105">
            <v>1624178.29</v>
          </cell>
          <cell r="AM105">
            <v>14588369400.780001</v>
          </cell>
          <cell r="AN105">
            <v>0</v>
          </cell>
          <cell r="AO105">
            <v>0</v>
          </cell>
          <cell r="AP105">
            <v>1626426.2</v>
          </cell>
          <cell r="AQ105">
            <v>15007847760.5</v>
          </cell>
          <cell r="AR105">
            <v>0</v>
          </cell>
          <cell r="AS105">
            <v>0</v>
          </cell>
          <cell r="AT105">
            <v>1630197.57</v>
          </cell>
          <cell r="AU105">
            <v>14609830622.34</v>
          </cell>
          <cell r="AV105">
            <v>0</v>
          </cell>
          <cell r="AW105">
            <v>0</v>
          </cell>
          <cell r="AX105">
            <v>1640534.15</v>
          </cell>
          <cell r="AY105">
            <v>14682780642.5</v>
          </cell>
        </row>
        <row r="106">
          <cell r="D106">
            <v>0</v>
          </cell>
          <cell r="E106">
            <v>0</v>
          </cell>
          <cell r="F106">
            <v>312536.42</v>
          </cell>
          <cell r="G106">
            <v>2771260436.1400003</v>
          </cell>
          <cell r="H106">
            <v>0</v>
          </cell>
          <cell r="I106">
            <v>0</v>
          </cell>
          <cell r="J106">
            <v>312536.42</v>
          </cell>
          <cell r="K106">
            <v>2775635946.0200005</v>
          </cell>
          <cell r="L106">
            <v>0</v>
          </cell>
          <cell r="M106">
            <v>0</v>
          </cell>
          <cell r="N106">
            <v>312536.42</v>
          </cell>
          <cell r="O106">
            <v>2782199210.8400002</v>
          </cell>
          <cell r="P106">
            <v>0</v>
          </cell>
          <cell r="Q106">
            <v>0</v>
          </cell>
          <cell r="R106">
            <v>312536.42</v>
          </cell>
          <cell r="S106">
            <v>2711409711.7100005</v>
          </cell>
          <cell r="T106">
            <v>0</v>
          </cell>
          <cell r="U106">
            <v>0</v>
          </cell>
          <cell r="V106">
            <v>312536.42</v>
          </cell>
          <cell r="W106">
            <v>2605772401.7500005</v>
          </cell>
          <cell r="X106">
            <v>0</v>
          </cell>
          <cell r="Y106">
            <v>0</v>
          </cell>
          <cell r="Z106">
            <v>312536.42</v>
          </cell>
          <cell r="AA106">
            <v>2583113511.3000002</v>
          </cell>
          <cell r="AB106">
            <v>0</v>
          </cell>
          <cell r="AC106">
            <v>0</v>
          </cell>
          <cell r="AD106">
            <v>312716.09000000003</v>
          </cell>
          <cell r="AE106">
            <v>2828517034.0500002</v>
          </cell>
          <cell r="AF106">
            <v>0</v>
          </cell>
          <cell r="AG106">
            <v>0</v>
          </cell>
          <cell r="AH106">
            <v>310812.44</v>
          </cell>
          <cell r="AI106">
            <v>2746960344.7199998</v>
          </cell>
          <cell r="AJ106">
            <v>0</v>
          </cell>
          <cell r="AK106">
            <v>0</v>
          </cell>
          <cell r="AL106">
            <v>310812.44</v>
          </cell>
          <cell r="AM106">
            <v>2791717336.0799999</v>
          </cell>
          <cell r="AN106">
            <v>0</v>
          </cell>
          <cell r="AO106">
            <v>0</v>
          </cell>
          <cell r="AP106">
            <v>310812.44</v>
          </cell>
          <cell r="AQ106">
            <v>2868021790.0999999</v>
          </cell>
          <cell r="AR106">
            <v>0</v>
          </cell>
          <cell r="AS106">
            <v>0</v>
          </cell>
          <cell r="AT106">
            <v>310812.44</v>
          </cell>
          <cell r="AU106">
            <v>2785501087.2800002</v>
          </cell>
          <cell r="AV106">
            <v>0</v>
          </cell>
          <cell r="AW106">
            <v>0</v>
          </cell>
          <cell r="AX106">
            <v>310812.44</v>
          </cell>
          <cell r="AY106">
            <v>2781771338</v>
          </cell>
        </row>
        <row r="107">
          <cell r="D107">
            <v>0</v>
          </cell>
          <cell r="E107">
            <v>0</v>
          </cell>
          <cell r="F107">
            <v>166730.89000000001</v>
          </cell>
          <cell r="G107">
            <v>1478402801.6300001</v>
          </cell>
          <cell r="H107">
            <v>0</v>
          </cell>
          <cell r="I107">
            <v>0</v>
          </cell>
          <cell r="J107">
            <v>168341.49</v>
          </cell>
          <cell r="K107">
            <v>1495040772.6899998</v>
          </cell>
          <cell r="L107">
            <v>0</v>
          </cell>
          <cell r="M107">
            <v>0</v>
          </cell>
          <cell r="N107">
            <v>168341.49</v>
          </cell>
          <cell r="O107">
            <v>1498575943.98</v>
          </cell>
          <cell r="P107">
            <v>0</v>
          </cell>
          <cell r="Q107">
            <v>0</v>
          </cell>
          <cell r="R107">
            <v>168341.49</v>
          </cell>
          <cell r="S107">
            <v>1460446596.4949999</v>
          </cell>
          <cell r="T107">
            <v>0</v>
          </cell>
          <cell r="U107">
            <v>0</v>
          </cell>
          <cell r="V107">
            <v>168341.49</v>
          </cell>
          <cell r="W107">
            <v>1403547172.875</v>
          </cell>
          <cell r="X107">
            <v>0</v>
          </cell>
          <cell r="Y107">
            <v>0</v>
          </cell>
          <cell r="Z107">
            <v>168341.49</v>
          </cell>
          <cell r="AA107">
            <v>1391342414.8499999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95387.99</v>
          </cell>
          <cell r="AQ107">
            <v>880192677.72500002</v>
          </cell>
          <cell r="AR107">
            <v>0</v>
          </cell>
          <cell r="AS107">
            <v>0</v>
          </cell>
          <cell r="AT107">
            <v>95387.99</v>
          </cell>
          <cell r="AU107">
            <v>854867166.38</v>
          </cell>
          <cell r="AV107">
            <v>0</v>
          </cell>
          <cell r="AW107">
            <v>0</v>
          </cell>
          <cell r="AX107">
            <v>95387.99</v>
          </cell>
          <cell r="AY107">
            <v>853722510.5</v>
          </cell>
        </row>
        <row r="108">
          <cell r="D108">
            <v>0</v>
          </cell>
          <cell r="E108">
            <v>0</v>
          </cell>
          <cell r="F108">
            <v>-678787.88</v>
          </cell>
          <cell r="G108">
            <v>-6018812131.96</v>
          </cell>
          <cell r="H108">
            <v>0</v>
          </cell>
          <cell r="I108">
            <v>0</v>
          </cell>
          <cell r="J108">
            <v>-678787.88</v>
          </cell>
          <cell r="K108">
            <v>-6028315162.2799997</v>
          </cell>
          <cell r="L108">
            <v>0</v>
          </cell>
          <cell r="M108">
            <v>0</v>
          </cell>
          <cell r="N108">
            <v>-678787.88</v>
          </cell>
          <cell r="O108">
            <v>-6042569707.7600002</v>
          </cell>
          <cell r="P108">
            <v>0</v>
          </cell>
          <cell r="Q108">
            <v>0</v>
          </cell>
          <cell r="R108">
            <v>-678787.88</v>
          </cell>
          <cell r="S108">
            <v>-5888824252.9399996</v>
          </cell>
          <cell r="T108">
            <v>0</v>
          </cell>
          <cell r="U108">
            <v>0</v>
          </cell>
          <cell r="V108">
            <v>-678787.88</v>
          </cell>
          <cell r="W108">
            <v>-5659393949.5</v>
          </cell>
          <cell r="X108">
            <v>0</v>
          </cell>
          <cell r="Y108">
            <v>0</v>
          </cell>
          <cell r="Z108">
            <v>-678787.88</v>
          </cell>
          <cell r="AA108">
            <v>-5610181828.1999998</v>
          </cell>
          <cell r="AB108">
            <v>0</v>
          </cell>
          <cell r="AC108">
            <v>0</v>
          </cell>
          <cell r="AD108">
            <v>-662894.82999999996</v>
          </cell>
          <cell r="AE108">
            <v>-5995883737.3499994</v>
          </cell>
          <cell r="AF108">
            <v>0</v>
          </cell>
          <cell r="AG108">
            <v>0</v>
          </cell>
          <cell r="AH108">
            <v>-675136.14</v>
          </cell>
          <cell r="AI108">
            <v>-5966853205.3199997</v>
          </cell>
          <cell r="AJ108">
            <v>0</v>
          </cell>
          <cell r="AK108">
            <v>0</v>
          </cell>
          <cell r="AL108">
            <v>-676049.17</v>
          </cell>
          <cell r="AM108">
            <v>-6072273644.9400005</v>
          </cell>
          <cell r="AN108">
            <v>0</v>
          </cell>
          <cell r="AO108">
            <v>0</v>
          </cell>
          <cell r="AP108">
            <v>-676962.2</v>
          </cell>
          <cell r="AQ108">
            <v>-6246668700.5</v>
          </cell>
          <cell r="AR108">
            <v>0</v>
          </cell>
          <cell r="AS108">
            <v>0</v>
          </cell>
          <cell r="AT108">
            <v>-677875.23</v>
          </cell>
          <cell r="AU108">
            <v>-6075117811.2600002</v>
          </cell>
          <cell r="AV108">
            <v>0</v>
          </cell>
          <cell r="AW108">
            <v>0</v>
          </cell>
          <cell r="AX108">
            <v>-678787.88</v>
          </cell>
          <cell r="AY108">
            <v>-6075151526</v>
          </cell>
        </row>
        <row r="109">
          <cell r="D109">
            <v>0</v>
          </cell>
          <cell r="E109">
            <v>0</v>
          </cell>
          <cell r="F109">
            <v>-1562091.12</v>
          </cell>
          <cell r="G109">
            <v>-13851061961.039999</v>
          </cell>
          <cell r="H109">
            <v>0</v>
          </cell>
          <cell r="I109">
            <v>0</v>
          </cell>
          <cell r="J109">
            <v>-1569414.87</v>
          </cell>
          <cell r="K109">
            <v>-13937973460.470001</v>
          </cell>
          <cell r="L109">
            <v>0</v>
          </cell>
          <cell r="M109">
            <v>0</v>
          </cell>
          <cell r="N109">
            <v>-1578847.9</v>
          </cell>
          <cell r="O109">
            <v>-14054904005.799999</v>
          </cell>
          <cell r="P109">
            <v>0</v>
          </cell>
          <cell r="Q109">
            <v>0</v>
          </cell>
          <cell r="R109">
            <v>-1588310.99</v>
          </cell>
          <cell r="S109">
            <v>-13779391993.745001</v>
          </cell>
          <cell r="T109">
            <v>0</v>
          </cell>
          <cell r="U109">
            <v>0</v>
          </cell>
          <cell r="V109">
            <v>-1597851.61</v>
          </cell>
          <cell r="W109">
            <v>-13322087798.375</v>
          </cell>
          <cell r="X109">
            <v>0</v>
          </cell>
          <cell r="Y109">
            <v>0</v>
          </cell>
          <cell r="Z109">
            <v>-1607723.96</v>
          </cell>
          <cell r="AA109">
            <v>-13287838529.4</v>
          </cell>
          <cell r="AB109">
            <v>0</v>
          </cell>
          <cell r="AC109">
            <v>0</v>
          </cell>
          <cell r="AD109">
            <v>-1500831.46</v>
          </cell>
          <cell r="AE109">
            <v>-13575020555.699999</v>
          </cell>
          <cell r="AF109">
            <v>0</v>
          </cell>
          <cell r="AG109">
            <v>0</v>
          </cell>
          <cell r="AH109">
            <v>-1566578.74</v>
          </cell>
          <cell r="AI109">
            <v>-13845422904.120001</v>
          </cell>
          <cell r="AJ109">
            <v>0</v>
          </cell>
          <cell r="AK109">
            <v>0</v>
          </cell>
          <cell r="AL109">
            <v>-1539934.01</v>
          </cell>
          <cell r="AM109">
            <v>-13831687277.82</v>
          </cell>
          <cell r="AN109">
            <v>0</v>
          </cell>
          <cell r="AO109">
            <v>0</v>
          </cell>
          <cell r="AP109">
            <v>-1545207.93</v>
          </cell>
          <cell r="AQ109">
            <v>-14258406174.075001</v>
          </cell>
          <cell r="AR109">
            <v>0</v>
          </cell>
          <cell r="AS109">
            <v>0</v>
          </cell>
          <cell r="AT109">
            <v>-1550586.66</v>
          </cell>
          <cell r="AU109">
            <v>-13896357646.920002</v>
          </cell>
          <cell r="AV109">
            <v>0</v>
          </cell>
          <cell r="AW109">
            <v>0</v>
          </cell>
          <cell r="AX109">
            <v>-1556219.42</v>
          </cell>
          <cell r="AY109">
            <v>-13928163809</v>
          </cell>
        </row>
        <row r="110">
          <cell r="D110">
            <v>0</v>
          </cell>
          <cell r="E110">
            <v>0</v>
          </cell>
          <cell r="F110">
            <v>-299897.46999999997</v>
          </cell>
          <cell r="G110">
            <v>-2659190866.4900002</v>
          </cell>
          <cell r="H110">
            <v>0</v>
          </cell>
          <cell r="I110">
            <v>0</v>
          </cell>
          <cell r="J110">
            <v>-300322.58</v>
          </cell>
          <cell r="K110">
            <v>-2667164832.9799995</v>
          </cell>
          <cell r="L110">
            <v>0</v>
          </cell>
          <cell r="M110">
            <v>0</v>
          </cell>
          <cell r="N110">
            <v>-300747.78999999998</v>
          </cell>
          <cell r="O110">
            <v>-2677256826.5800004</v>
          </cell>
          <cell r="P110">
            <v>0</v>
          </cell>
          <cell r="Q110">
            <v>0</v>
          </cell>
          <cell r="R110">
            <v>-301156.76</v>
          </cell>
          <cell r="S110">
            <v>-2612685471.3800001</v>
          </cell>
          <cell r="T110">
            <v>0</v>
          </cell>
          <cell r="U110">
            <v>0</v>
          </cell>
          <cell r="V110">
            <v>-301565.73</v>
          </cell>
          <cell r="W110">
            <v>-2514304273.875</v>
          </cell>
          <cell r="X110">
            <v>0</v>
          </cell>
          <cell r="Y110">
            <v>0</v>
          </cell>
          <cell r="Z110">
            <v>-301974.7</v>
          </cell>
          <cell r="AA110">
            <v>-2495820895.4999995</v>
          </cell>
          <cell r="AB110">
            <v>0</v>
          </cell>
          <cell r="AC110">
            <v>0</v>
          </cell>
          <cell r="AD110">
            <v>-284471.57</v>
          </cell>
          <cell r="AE110">
            <v>-2573045350.6500001</v>
          </cell>
          <cell r="AF110">
            <v>0</v>
          </cell>
          <cell r="AG110">
            <v>0</v>
          </cell>
          <cell r="AH110">
            <v>-296036.19</v>
          </cell>
          <cell r="AI110">
            <v>-2616367847.2199998</v>
          </cell>
          <cell r="AJ110">
            <v>0</v>
          </cell>
          <cell r="AK110">
            <v>0</v>
          </cell>
          <cell r="AL110">
            <v>-296895.18</v>
          </cell>
          <cell r="AM110">
            <v>-2666712506.7600002</v>
          </cell>
          <cell r="AN110">
            <v>0</v>
          </cell>
          <cell r="AO110">
            <v>0</v>
          </cell>
          <cell r="AP110">
            <v>-297754.17</v>
          </cell>
          <cell r="AQ110">
            <v>-2747526603.6750002</v>
          </cell>
          <cell r="AR110">
            <v>0</v>
          </cell>
          <cell r="AS110">
            <v>0</v>
          </cell>
          <cell r="AT110">
            <v>-298613.15999999997</v>
          </cell>
          <cell r="AU110">
            <v>-2676171139.9200001</v>
          </cell>
          <cell r="AV110">
            <v>0</v>
          </cell>
          <cell r="AW110">
            <v>0</v>
          </cell>
          <cell r="AX110">
            <v>-299472.36</v>
          </cell>
          <cell r="AY110">
            <v>-2680277622</v>
          </cell>
        </row>
        <row r="111">
          <cell r="D111">
            <v>0</v>
          </cell>
          <cell r="E111">
            <v>0</v>
          </cell>
          <cell r="F111">
            <v>-32136.11</v>
          </cell>
          <cell r="G111">
            <v>-284950887.37</v>
          </cell>
          <cell r="H111">
            <v>0</v>
          </cell>
          <cell r="I111">
            <v>0</v>
          </cell>
          <cell r="J111">
            <v>-35676.769999999997</v>
          </cell>
          <cell r="K111">
            <v>-316845394.36999995</v>
          </cell>
          <cell r="L111">
            <v>0</v>
          </cell>
          <cell r="M111">
            <v>0</v>
          </cell>
          <cell r="N111">
            <v>-39183.879999999997</v>
          </cell>
          <cell r="O111">
            <v>-348814899.75999999</v>
          </cell>
          <cell r="P111">
            <v>0</v>
          </cell>
          <cell r="Q111">
            <v>0</v>
          </cell>
          <cell r="R111">
            <v>-42690.99</v>
          </cell>
          <cell r="S111">
            <v>-370365683.745</v>
          </cell>
          <cell r="T111">
            <v>0</v>
          </cell>
          <cell r="U111">
            <v>0</v>
          </cell>
          <cell r="V111">
            <v>-46198.1</v>
          </cell>
          <cell r="W111">
            <v>-385176658.75</v>
          </cell>
          <cell r="X111">
            <v>0</v>
          </cell>
          <cell r="Y111">
            <v>0</v>
          </cell>
          <cell r="Z111">
            <v>-49705.21</v>
          </cell>
          <cell r="AA111">
            <v>-410813560.64999998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-24688.05</v>
          </cell>
          <cell r="AQ111">
            <v>-227808981.375</v>
          </cell>
          <cell r="AR111">
            <v>0</v>
          </cell>
          <cell r="AS111">
            <v>0</v>
          </cell>
          <cell r="AT111">
            <v>-26675.3</v>
          </cell>
          <cell r="AU111">
            <v>-239064038.59999999</v>
          </cell>
          <cell r="AV111">
            <v>0</v>
          </cell>
          <cell r="AW111">
            <v>0</v>
          </cell>
          <cell r="AX111">
            <v>-28662.55</v>
          </cell>
          <cell r="AY111">
            <v>-256529822.5</v>
          </cell>
        </row>
        <row r="113">
          <cell r="D113">
            <v>0</v>
          </cell>
          <cell r="E113">
            <v>0</v>
          </cell>
          <cell r="F113">
            <v>5919815.0999999996</v>
          </cell>
          <cell r="G113">
            <v>52491000491.699997</v>
          </cell>
          <cell r="H113">
            <v>0</v>
          </cell>
          <cell r="I113">
            <v>0</v>
          </cell>
          <cell r="J113">
            <v>7452142.8500000006</v>
          </cell>
          <cell r="K113">
            <v>66182480650.850006</v>
          </cell>
          <cell r="L113">
            <v>0</v>
          </cell>
          <cell r="M113">
            <v>0</v>
          </cell>
          <cell r="N113">
            <v>8199584.6099999994</v>
          </cell>
          <cell r="O113">
            <v>72992702198.219986</v>
          </cell>
          <cell r="P113">
            <v>0</v>
          </cell>
          <cell r="Q113">
            <v>0</v>
          </cell>
          <cell r="R113">
            <v>8647113.6100000013</v>
          </cell>
          <cell r="S113">
            <v>75018034123.555008</v>
          </cell>
          <cell r="T113">
            <v>48.36</v>
          </cell>
          <cell r="U113">
            <v>403201.5</v>
          </cell>
          <cell r="V113">
            <v>11352438.77</v>
          </cell>
          <cell r="W113">
            <v>94650958244.875</v>
          </cell>
          <cell r="X113">
            <v>0</v>
          </cell>
          <cell r="Y113">
            <v>0</v>
          </cell>
          <cell r="Z113">
            <v>9368062.4899999984</v>
          </cell>
          <cell r="AA113">
            <v>77427036479.849991</v>
          </cell>
          <cell r="AB113">
            <v>0</v>
          </cell>
          <cell r="AC113">
            <v>0</v>
          </cell>
          <cell r="AD113">
            <v>8260527.96</v>
          </cell>
          <cell r="AE113">
            <v>74716475398.200012</v>
          </cell>
          <cell r="AF113">
            <v>0</v>
          </cell>
          <cell r="AG113">
            <v>0</v>
          </cell>
          <cell r="AH113">
            <v>6445699.3199999994</v>
          </cell>
          <cell r="AI113">
            <v>56967090590.159996</v>
          </cell>
          <cell r="AJ113">
            <v>0</v>
          </cell>
          <cell r="AK113">
            <v>0</v>
          </cell>
          <cell r="AL113">
            <v>5515014.9299999997</v>
          </cell>
          <cell r="AM113">
            <v>49535864101.259995</v>
          </cell>
          <cell r="AN113">
            <v>0</v>
          </cell>
          <cell r="AO113">
            <v>0</v>
          </cell>
          <cell r="AP113">
            <v>6284327.4499999993</v>
          </cell>
          <cell r="AQ113">
            <v>57988631544.875</v>
          </cell>
          <cell r="AR113">
            <v>0</v>
          </cell>
          <cell r="AS113">
            <v>0</v>
          </cell>
          <cell r="AT113">
            <v>7828007.8700000001</v>
          </cell>
          <cell r="AU113">
            <v>70154606530.940002</v>
          </cell>
          <cell r="AV113">
            <v>0</v>
          </cell>
          <cell r="AW113">
            <v>0</v>
          </cell>
          <cell r="AX113">
            <v>7971545.1100000003</v>
          </cell>
          <cell r="AY113">
            <v>71345328734.5</v>
          </cell>
        </row>
        <row r="115">
          <cell r="D115">
            <v>0</v>
          </cell>
          <cell r="E115">
            <v>0</v>
          </cell>
          <cell r="F115">
            <v>1749.15</v>
          </cell>
          <cell r="G115">
            <v>15509713.050000001</v>
          </cell>
          <cell r="H115">
            <v>0</v>
          </cell>
          <cell r="I115">
            <v>0</v>
          </cell>
          <cell r="J115">
            <v>1994.95</v>
          </cell>
          <cell r="K115">
            <v>17717150.949999999</v>
          </cell>
          <cell r="L115">
            <v>0</v>
          </cell>
          <cell r="M115">
            <v>0</v>
          </cell>
          <cell r="N115">
            <v>492.58</v>
          </cell>
          <cell r="O115">
            <v>4384947.16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1891.75</v>
          </cell>
          <cell r="AA115">
            <v>15635313.75</v>
          </cell>
          <cell r="AB115">
            <v>0</v>
          </cell>
          <cell r="AC115">
            <v>0</v>
          </cell>
          <cell r="AD115">
            <v>339.67</v>
          </cell>
          <cell r="AE115">
            <v>3072315.1500000004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865.91</v>
          </cell>
          <cell r="AM115">
            <v>7777603.6200000001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</row>
        <row r="116">
          <cell r="D116">
            <v>0</v>
          </cell>
          <cell r="E116">
            <v>0</v>
          </cell>
          <cell r="F116">
            <v>171647.99</v>
          </cell>
          <cell r="G116">
            <v>1522002727.3300002</v>
          </cell>
          <cell r="H116">
            <v>0</v>
          </cell>
          <cell r="I116">
            <v>0</v>
          </cell>
          <cell r="J116">
            <v>93353.87</v>
          </cell>
          <cell r="K116">
            <v>829075719.46999991</v>
          </cell>
          <cell r="L116">
            <v>0</v>
          </cell>
          <cell r="M116">
            <v>0</v>
          </cell>
          <cell r="N116">
            <v>341887.82</v>
          </cell>
          <cell r="O116">
            <v>3043485373.6399994</v>
          </cell>
          <cell r="P116">
            <v>0</v>
          </cell>
          <cell r="Q116">
            <v>0</v>
          </cell>
          <cell r="R116">
            <v>312576.42</v>
          </cell>
          <cell r="S116">
            <v>2711756731.71</v>
          </cell>
          <cell r="T116">
            <v>0</v>
          </cell>
          <cell r="U116">
            <v>0</v>
          </cell>
          <cell r="V116">
            <v>236423.41</v>
          </cell>
          <cell r="W116">
            <v>1971180180.875</v>
          </cell>
          <cell r="X116">
            <v>0</v>
          </cell>
          <cell r="Y116">
            <v>0</v>
          </cell>
          <cell r="Z116">
            <v>338077.12</v>
          </cell>
          <cell r="AA116">
            <v>2794207396.8000002</v>
          </cell>
          <cell r="AB116">
            <v>0</v>
          </cell>
          <cell r="AC116">
            <v>0</v>
          </cell>
          <cell r="AD116">
            <v>262557.08</v>
          </cell>
          <cell r="AE116">
            <v>2374828788.6000004</v>
          </cell>
          <cell r="AF116">
            <v>0</v>
          </cell>
          <cell r="AG116">
            <v>0</v>
          </cell>
          <cell r="AH116">
            <v>199742.82</v>
          </cell>
          <cell r="AI116">
            <v>1765327043.1600001</v>
          </cell>
          <cell r="AJ116">
            <v>0</v>
          </cell>
          <cell r="AK116">
            <v>0</v>
          </cell>
          <cell r="AL116">
            <v>260179.81</v>
          </cell>
          <cell r="AM116">
            <v>2336935053.4200001</v>
          </cell>
          <cell r="AN116">
            <v>0</v>
          </cell>
          <cell r="AO116">
            <v>0</v>
          </cell>
          <cell r="AP116">
            <v>203730.58</v>
          </cell>
          <cell r="AQ116">
            <v>1879923926.9499998</v>
          </cell>
          <cell r="AR116">
            <v>0</v>
          </cell>
          <cell r="AS116">
            <v>0</v>
          </cell>
          <cell r="AT116">
            <v>129188.34</v>
          </cell>
          <cell r="AU116">
            <v>1157785903.0799999</v>
          </cell>
          <cell r="AV116">
            <v>0</v>
          </cell>
          <cell r="AW116">
            <v>0</v>
          </cell>
          <cell r="AX116">
            <v>195932.44</v>
          </cell>
          <cell r="AY116">
            <v>1753595338</v>
          </cell>
        </row>
        <row r="117">
          <cell r="D117">
            <v>0</v>
          </cell>
          <cell r="E117">
            <v>0</v>
          </cell>
          <cell r="F117">
            <v>52046.13</v>
          </cell>
          <cell r="G117">
            <v>461493034.70999998</v>
          </cell>
          <cell r="H117">
            <v>0</v>
          </cell>
          <cell r="I117">
            <v>0</v>
          </cell>
          <cell r="J117">
            <v>51546.31</v>
          </cell>
          <cell r="K117">
            <v>457782779.10999995</v>
          </cell>
          <cell r="L117">
            <v>0</v>
          </cell>
          <cell r="M117">
            <v>0</v>
          </cell>
          <cell r="N117">
            <v>79104.77</v>
          </cell>
          <cell r="O117">
            <v>704190662.54000008</v>
          </cell>
          <cell r="P117">
            <v>0</v>
          </cell>
          <cell r="Q117">
            <v>0</v>
          </cell>
          <cell r="R117">
            <v>65467.92</v>
          </cell>
          <cell r="S117">
            <v>567966939.96000004</v>
          </cell>
          <cell r="T117">
            <v>0</v>
          </cell>
          <cell r="U117">
            <v>0</v>
          </cell>
          <cell r="V117">
            <v>115461.79</v>
          </cell>
          <cell r="W117">
            <v>962662674.125</v>
          </cell>
          <cell r="X117">
            <v>0</v>
          </cell>
          <cell r="Y117">
            <v>0</v>
          </cell>
          <cell r="Z117">
            <v>106860.8</v>
          </cell>
          <cell r="AA117">
            <v>883204512</v>
          </cell>
          <cell r="AB117">
            <v>0</v>
          </cell>
          <cell r="AC117">
            <v>0</v>
          </cell>
          <cell r="AD117">
            <v>72538.63</v>
          </cell>
          <cell r="AE117">
            <v>656111908.35000002</v>
          </cell>
          <cell r="AF117">
            <v>0</v>
          </cell>
          <cell r="AG117">
            <v>0</v>
          </cell>
          <cell r="AH117">
            <v>75057.740000000005</v>
          </cell>
          <cell r="AI117">
            <v>663360306.12</v>
          </cell>
          <cell r="AJ117">
            <v>0</v>
          </cell>
          <cell r="AK117">
            <v>0</v>
          </cell>
          <cell r="AL117">
            <v>64571.18</v>
          </cell>
          <cell r="AM117">
            <v>579978338.75999999</v>
          </cell>
          <cell r="AN117">
            <v>0</v>
          </cell>
          <cell r="AO117">
            <v>0</v>
          </cell>
          <cell r="AP117">
            <v>52951.59</v>
          </cell>
          <cell r="AQ117">
            <v>488610796.72499996</v>
          </cell>
          <cell r="AR117">
            <v>0</v>
          </cell>
          <cell r="AS117">
            <v>0</v>
          </cell>
          <cell r="AT117">
            <v>38309.61</v>
          </cell>
          <cell r="AU117">
            <v>343330724.81999999</v>
          </cell>
          <cell r="AV117">
            <v>0</v>
          </cell>
          <cell r="AW117">
            <v>0</v>
          </cell>
          <cell r="AX117">
            <v>61271.74</v>
          </cell>
          <cell r="AY117">
            <v>548382073</v>
          </cell>
        </row>
        <row r="118">
          <cell r="D118">
            <v>0</v>
          </cell>
          <cell r="E118">
            <v>0</v>
          </cell>
          <cell r="F118">
            <v>5694371.8300000001</v>
          </cell>
          <cell r="G118">
            <v>50491995016.610001</v>
          </cell>
          <cell r="H118">
            <v>0</v>
          </cell>
          <cell r="I118">
            <v>0</v>
          </cell>
          <cell r="J118">
            <v>7305247.7200000007</v>
          </cell>
          <cell r="K118">
            <v>64877905001.320007</v>
          </cell>
          <cell r="L118">
            <v>0</v>
          </cell>
          <cell r="M118">
            <v>0</v>
          </cell>
          <cell r="N118">
            <v>7778099.4399999995</v>
          </cell>
          <cell r="O118">
            <v>69240641214.87999</v>
          </cell>
          <cell r="P118">
            <v>0</v>
          </cell>
          <cell r="Q118">
            <v>0</v>
          </cell>
          <cell r="R118">
            <v>8269069.2700000005</v>
          </cell>
          <cell r="S118">
            <v>71738310451.88501</v>
          </cell>
          <cell r="T118">
            <v>48.36</v>
          </cell>
          <cell r="U118">
            <v>403201.5</v>
          </cell>
          <cell r="V118">
            <v>11000553.57</v>
          </cell>
          <cell r="W118">
            <v>91717115389.875</v>
          </cell>
          <cell r="X118">
            <v>0</v>
          </cell>
          <cell r="Y118">
            <v>0</v>
          </cell>
          <cell r="Z118">
            <v>8921232.8199999984</v>
          </cell>
          <cell r="AA118">
            <v>73733989257.299988</v>
          </cell>
          <cell r="AB118">
            <v>0</v>
          </cell>
          <cell r="AC118">
            <v>0</v>
          </cell>
          <cell r="AD118">
            <v>7925092.5800000001</v>
          </cell>
          <cell r="AE118">
            <v>71682462386.100006</v>
          </cell>
          <cell r="AF118">
            <v>0</v>
          </cell>
          <cell r="AG118">
            <v>0</v>
          </cell>
          <cell r="AH118">
            <v>6170898.7599999998</v>
          </cell>
          <cell r="AI118">
            <v>54538403240.879997</v>
          </cell>
          <cell r="AJ118">
            <v>0</v>
          </cell>
          <cell r="AK118">
            <v>0</v>
          </cell>
          <cell r="AL118">
            <v>5189398.03</v>
          </cell>
          <cell r="AM118">
            <v>46611173105.459991</v>
          </cell>
          <cell r="AN118">
            <v>0</v>
          </cell>
          <cell r="AO118">
            <v>0</v>
          </cell>
          <cell r="AP118">
            <v>6027645.2799999993</v>
          </cell>
          <cell r="AQ118">
            <v>55620096821.199997</v>
          </cell>
          <cell r="AR118">
            <v>0</v>
          </cell>
          <cell r="AS118">
            <v>0</v>
          </cell>
          <cell r="AT118">
            <v>7660509.9199999999</v>
          </cell>
          <cell r="AU118">
            <v>68653489903.040001</v>
          </cell>
          <cell r="AV118">
            <v>0</v>
          </cell>
          <cell r="AW118">
            <v>0</v>
          </cell>
          <cell r="AX118">
            <v>7714340.9300000006</v>
          </cell>
          <cell r="AY118">
            <v>69043351323.5</v>
          </cell>
        </row>
        <row r="119"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</row>
        <row r="121"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</row>
        <row r="123">
          <cell r="D123">
            <v>0</v>
          </cell>
          <cell r="E123">
            <v>0</v>
          </cell>
          <cell r="F123">
            <v>78817.13</v>
          </cell>
          <cell r="G123">
            <v>698871491.71000004</v>
          </cell>
          <cell r="H123">
            <v>0</v>
          </cell>
          <cell r="I123">
            <v>0</v>
          </cell>
          <cell r="J123">
            <v>64587.28</v>
          </cell>
          <cell r="K123">
            <v>573599633.67999995</v>
          </cell>
          <cell r="L123">
            <v>0</v>
          </cell>
          <cell r="M123">
            <v>0</v>
          </cell>
          <cell r="N123">
            <v>128677.99</v>
          </cell>
          <cell r="O123">
            <v>1145491466.98</v>
          </cell>
          <cell r="P123">
            <v>0</v>
          </cell>
          <cell r="Q123">
            <v>0</v>
          </cell>
          <cell r="R123">
            <v>48095.65</v>
          </cell>
          <cell r="S123">
            <v>417253811.57499993</v>
          </cell>
          <cell r="T123">
            <v>0</v>
          </cell>
          <cell r="U123">
            <v>0</v>
          </cell>
          <cell r="V123">
            <v>54123.62</v>
          </cell>
          <cell r="W123">
            <v>451255681.74999994</v>
          </cell>
          <cell r="X123">
            <v>0</v>
          </cell>
          <cell r="Y123">
            <v>0</v>
          </cell>
          <cell r="Z123">
            <v>153130.01</v>
          </cell>
          <cell r="AA123">
            <v>1265619532.6500001</v>
          </cell>
          <cell r="AB123">
            <v>0</v>
          </cell>
          <cell r="AC123">
            <v>0</v>
          </cell>
          <cell r="AD123">
            <v>480317.69</v>
          </cell>
          <cell r="AE123">
            <v>4344473506.0500002</v>
          </cell>
          <cell r="AF123">
            <v>0</v>
          </cell>
          <cell r="AG123">
            <v>0</v>
          </cell>
          <cell r="AH123">
            <v>167730.57999999999</v>
          </cell>
          <cell r="AI123">
            <v>1482402866.04</v>
          </cell>
          <cell r="AJ123">
            <v>0</v>
          </cell>
          <cell r="AK123">
            <v>0</v>
          </cell>
          <cell r="AL123">
            <v>187266.44</v>
          </cell>
          <cell r="AM123">
            <v>1682027164.0799999</v>
          </cell>
          <cell r="AN123">
            <v>0</v>
          </cell>
          <cell r="AO123">
            <v>0</v>
          </cell>
          <cell r="AP123">
            <v>135345.84</v>
          </cell>
          <cell r="AQ123">
            <v>1248903738.5999999</v>
          </cell>
          <cell r="AR123">
            <v>0</v>
          </cell>
          <cell r="AS123">
            <v>0</v>
          </cell>
          <cell r="AT123">
            <v>149581.12</v>
          </cell>
          <cell r="AU123">
            <v>1340545997.4400001</v>
          </cell>
          <cell r="AV123">
            <v>0</v>
          </cell>
          <cell r="AW123">
            <v>0</v>
          </cell>
          <cell r="AX123">
            <v>58326.42</v>
          </cell>
          <cell r="AY123">
            <v>522021459.00000006</v>
          </cell>
        </row>
        <row r="124"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</row>
        <row r="125">
          <cell r="D125">
            <v>0</v>
          </cell>
          <cell r="E125">
            <v>0</v>
          </cell>
          <cell r="F125">
            <v>78817.13</v>
          </cell>
          <cell r="G125">
            <v>698871491.71000004</v>
          </cell>
          <cell r="H125">
            <v>0</v>
          </cell>
          <cell r="I125">
            <v>0</v>
          </cell>
          <cell r="J125">
            <v>64587.28</v>
          </cell>
          <cell r="K125">
            <v>573599633.67999995</v>
          </cell>
          <cell r="L125">
            <v>0</v>
          </cell>
          <cell r="M125">
            <v>0</v>
          </cell>
          <cell r="N125">
            <v>128677.99</v>
          </cell>
          <cell r="O125">
            <v>1145491466.98</v>
          </cell>
          <cell r="P125">
            <v>0</v>
          </cell>
          <cell r="Q125">
            <v>0</v>
          </cell>
          <cell r="R125">
            <v>48095.65</v>
          </cell>
          <cell r="S125">
            <v>417253811.57499993</v>
          </cell>
          <cell r="T125">
            <v>0</v>
          </cell>
          <cell r="U125">
            <v>0</v>
          </cell>
          <cell r="V125">
            <v>54123.62</v>
          </cell>
          <cell r="W125">
            <v>451255681.74999994</v>
          </cell>
          <cell r="X125">
            <v>0</v>
          </cell>
          <cell r="Y125">
            <v>0</v>
          </cell>
          <cell r="Z125">
            <v>153130.01</v>
          </cell>
          <cell r="AA125">
            <v>1265619532.6500001</v>
          </cell>
          <cell r="AB125">
            <v>0</v>
          </cell>
          <cell r="AC125">
            <v>0</v>
          </cell>
          <cell r="AD125">
            <v>480317.69</v>
          </cell>
          <cell r="AE125">
            <v>4344473506.0500002</v>
          </cell>
          <cell r="AF125">
            <v>0</v>
          </cell>
          <cell r="AG125">
            <v>0</v>
          </cell>
          <cell r="AH125">
            <v>167730.57999999999</v>
          </cell>
          <cell r="AI125">
            <v>1482402866.04</v>
          </cell>
          <cell r="AJ125">
            <v>0</v>
          </cell>
          <cell r="AK125">
            <v>0</v>
          </cell>
          <cell r="AL125">
            <v>187266.44</v>
          </cell>
          <cell r="AM125">
            <v>1682027164.0799999</v>
          </cell>
          <cell r="AN125">
            <v>0</v>
          </cell>
          <cell r="AO125">
            <v>0</v>
          </cell>
          <cell r="AP125">
            <v>135345.84</v>
          </cell>
          <cell r="AQ125">
            <v>1248903738.5999999</v>
          </cell>
          <cell r="AR125">
            <v>0</v>
          </cell>
          <cell r="AS125">
            <v>0</v>
          </cell>
          <cell r="AT125">
            <v>149581.12</v>
          </cell>
          <cell r="AU125">
            <v>1340545997.4400001</v>
          </cell>
          <cell r="AV125">
            <v>0</v>
          </cell>
          <cell r="AW125">
            <v>0</v>
          </cell>
          <cell r="AX125">
            <v>58326.42</v>
          </cell>
          <cell r="AY125">
            <v>522021459.00000006</v>
          </cell>
        </row>
        <row r="126">
          <cell r="D126" t="str">
            <v xml:space="preserve"> </v>
          </cell>
          <cell r="H126" t="str">
            <v xml:space="preserve"> </v>
          </cell>
          <cell r="L126" t="str">
            <v xml:space="preserve"> </v>
          </cell>
          <cell r="P126" t="str">
            <v xml:space="preserve"> </v>
          </cell>
          <cell r="T126" t="str">
            <v xml:space="preserve"> </v>
          </cell>
          <cell r="X126" t="str">
            <v xml:space="preserve"> </v>
          </cell>
          <cell r="AF126" t="str">
            <v xml:space="preserve"> </v>
          </cell>
          <cell r="AJ126" t="str">
            <v xml:space="preserve"> </v>
          </cell>
          <cell r="AN126" t="str">
            <v xml:space="preserve"> </v>
          </cell>
          <cell r="AR126" t="str">
            <v xml:space="preserve"> </v>
          </cell>
          <cell r="AV126" t="str">
            <v xml:space="preserve"> </v>
          </cell>
        </row>
        <row r="127">
          <cell r="D127">
            <v>2459.73</v>
          </cell>
          <cell r="E127">
            <v>21810425.91</v>
          </cell>
          <cell r="F127">
            <v>116052555.33999999</v>
          </cell>
          <cell r="G127">
            <v>1029038008199.7799</v>
          </cell>
          <cell r="H127">
            <v>8057.99</v>
          </cell>
          <cell r="I127">
            <v>71563009.189999998</v>
          </cell>
          <cell r="J127">
            <v>120606405.13999997</v>
          </cell>
          <cell r="K127">
            <v>1071105484048.3401</v>
          </cell>
          <cell r="L127">
            <v>6527.36</v>
          </cell>
          <cell r="M127">
            <v>58106558.719999999</v>
          </cell>
          <cell r="N127">
            <v>130397876.86999997</v>
          </cell>
          <cell r="O127">
            <v>1160801899896.74</v>
          </cell>
          <cell r="P127">
            <v>6203.72</v>
          </cell>
          <cell r="Q127">
            <v>53820372.859999999</v>
          </cell>
          <cell r="R127">
            <v>145119989.24000004</v>
          </cell>
          <cell r="S127">
            <v>1258988466651.6201</v>
          </cell>
          <cell r="T127">
            <v>48.36</v>
          </cell>
          <cell r="U127">
            <v>403201.5</v>
          </cell>
          <cell r="V127">
            <v>149221547.46000001</v>
          </cell>
          <cell r="W127">
            <v>1244134651947.75</v>
          </cell>
          <cell r="X127">
            <v>3478.92</v>
          </cell>
          <cell r="Y127">
            <v>28753273.800000001</v>
          </cell>
          <cell r="Z127">
            <v>145521773.80999997</v>
          </cell>
          <cell r="AA127">
            <v>1202737460539.6501</v>
          </cell>
          <cell r="AB127">
            <v>6774.82</v>
          </cell>
          <cell r="AC127">
            <v>61278246.899999999</v>
          </cell>
          <cell r="AD127">
            <v>118341726.08000001</v>
          </cell>
          <cell r="AE127">
            <v>1070400912393.5999</v>
          </cell>
          <cell r="AF127">
            <v>6934.96</v>
          </cell>
          <cell r="AG127">
            <v>61291176.479999997</v>
          </cell>
          <cell r="AH127">
            <v>111064571.58</v>
          </cell>
          <cell r="AI127">
            <v>981588683624.04016</v>
          </cell>
          <cell r="AJ127">
            <v>5678.09</v>
          </cell>
          <cell r="AK127">
            <v>51000604.380000003</v>
          </cell>
          <cell r="AL127">
            <v>108680375.05000001</v>
          </cell>
          <cell r="AM127">
            <v>976167128699.09998</v>
          </cell>
          <cell r="AN127">
            <v>1800.73</v>
          </cell>
          <cell r="AO127">
            <v>16616236.074999999</v>
          </cell>
          <cell r="AP127">
            <v>111952923.05</v>
          </cell>
          <cell r="AQ127">
            <v>1033045597443.875</v>
          </cell>
          <cell r="AR127">
            <v>5963.49</v>
          </cell>
          <cell r="AS127">
            <v>53444797.379999995</v>
          </cell>
          <cell r="AT127">
            <v>121238658.27000001</v>
          </cell>
          <cell r="AU127">
            <v>1086540855415.7397</v>
          </cell>
          <cell r="AV127">
            <v>3047.97</v>
          </cell>
          <cell r="AW127">
            <v>27279331.5</v>
          </cell>
          <cell r="AX127">
            <v>121182230.38</v>
          </cell>
          <cell r="AY127">
            <v>1084580961901</v>
          </cell>
        </row>
        <row r="129">
          <cell r="D129">
            <v>116055015.06999999</v>
          </cell>
          <cell r="E129">
            <v>1029059818625.6899</v>
          </cell>
          <cell r="H129">
            <v>120614463.12999997</v>
          </cell>
          <cell r="I129">
            <v>1071177047057.53</v>
          </cell>
          <cell r="L129">
            <v>130404404.22999997</v>
          </cell>
          <cell r="M129">
            <v>1160860006455.46</v>
          </cell>
          <cell r="P129">
            <v>145126192.96000004</v>
          </cell>
          <cell r="Q129">
            <v>1259042287024.4802</v>
          </cell>
          <cell r="T129">
            <v>149221595.82000002</v>
          </cell>
          <cell r="U129">
            <v>1244135055149.25</v>
          </cell>
          <cell r="X129">
            <v>145525252.72999996</v>
          </cell>
          <cell r="Y129">
            <v>1202766213813.4502</v>
          </cell>
          <cell r="AB129">
            <v>118348500.90000001</v>
          </cell>
          <cell r="AC129">
            <v>1070462190640.4999</v>
          </cell>
          <cell r="AF129">
            <v>111071506.53999999</v>
          </cell>
          <cell r="AG129">
            <v>981649974800.52014</v>
          </cell>
          <cell r="AJ129">
            <v>108686053.14000002</v>
          </cell>
          <cell r="AK129">
            <v>976218129303.47998</v>
          </cell>
          <cell r="AN129">
            <v>111954723.78</v>
          </cell>
          <cell r="AO129">
            <v>1033062213679.95</v>
          </cell>
          <cell r="AR129">
            <v>121244621.76000001</v>
          </cell>
          <cell r="AS129">
            <v>1086594300213.1198</v>
          </cell>
          <cell r="AV129">
            <v>121185278.34999999</v>
          </cell>
          <cell r="AW129">
            <v>1084608241232.5</v>
          </cell>
        </row>
        <row r="131">
          <cell r="D131">
            <v>0</v>
          </cell>
          <cell r="E131">
            <v>0</v>
          </cell>
          <cell r="H131">
            <v>0</v>
          </cell>
          <cell r="I131">
            <v>0</v>
          </cell>
          <cell r="L131">
            <v>0</v>
          </cell>
          <cell r="M131">
            <v>0</v>
          </cell>
          <cell r="P131">
            <v>0</v>
          </cell>
          <cell r="Q131">
            <v>0</v>
          </cell>
          <cell r="T131">
            <v>0</v>
          </cell>
          <cell r="U131">
            <v>0</v>
          </cell>
          <cell r="X131">
            <v>0</v>
          </cell>
          <cell r="Y131">
            <v>0</v>
          </cell>
          <cell r="AB131">
            <v>0</v>
          </cell>
          <cell r="AC131">
            <v>0</v>
          </cell>
          <cell r="AF131">
            <v>0</v>
          </cell>
          <cell r="AG131">
            <v>0</v>
          </cell>
          <cell r="AJ131">
            <v>0</v>
          </cell>
          <cell r="AK131">
            <v>0</v>
          </cell>
          <cell r="AN131">
            <v>0</v>
          </cell>
          <cell r="AO131">
            <v>0</v>
          </cell>
          <cell r="AR131">
            <v>0</v>
          </cell>
          <cell r="AS131">
            <v>0</v>
          </cell>
          <cell r="AV131">
            <v>0</v>
          </cell>
          <cell r="AW131">
            <v>0</v>
          </cell>
        </row>
        <row r="133">
          <cell r="D133">
            <v>0</v>
          </cell>
          <cell r="E133">
            <v>0</v>
          </cell>
          <cell r="F133">
            <v>5772275.169999999</v>
          </cell>
          <cell r="G133">
            <v>51182763932.389992</v>
          </cell>
          <cell r="H133">
            <v>0</v>
          </cell>
          <cell r="I133">
            <v>0</v>
          </cell>
          <cell r="J133">
            <v>8933725.7500000019</v>
          </cell>
          <cell r="K133">
            <v>79340418385.75</v>
          </cell>
          <cell r="L133">
            <v>0</v>
          </cell>
          <cell r="M133">
            <v>0</v>
          </cell>
          <cell r="N133">
            <v>7164781.8200000031</v>
          </cell>
          <cell r="O133">
            <v>63780887761.64003</v>
          </cell>
          <cell r="P133">
            <v>0</v>
          </cell>
          <cell r="Q133">
            <v>0</v>
          </cell>
          <cell r="R133">
            <v>9535521.9100000001</v>
          </cell>
          <cell r="S133">
            <v>82725420330.205002</v>
          </cell>
          <cell r="T133">
            <v>48.36</v>
          </cell>
          <cell r="U133">
            <v>403201.5</v>
          </cell>
          <cell r="V133">
            <v>7369160.7100000009</v>
          </cell>
          <cell r="W133">
            <v>61440377419.625008</v>
          </cell>
          <cell r="X133">
            <v>0</v>
          </cell>
          <cell r="Y133">
            <v>0</v>
          </cell>
          <cell r="Z133">
            <v>6951143.3000000007</v>
          </cell>
          <cell r="AA133">
            <v>57451199374.500008</v>
          </cell>
          <cell r="AB133">
            <v>0</v>
          </cell>
          <cell r="AC133">
            <v>0</v>
          </cell>
          <cell r="AD133">
            <v>12543293.560000001</v>
          </cell>
          <cell r="AE133">
            <v>113454090250.20001</v>
          </cell>
          <cell r="AF133">
            <v>0</v>
          </cell>
          <cell r="AG133">
            <v>0</v>
          </cell>
          <cell r="AH133">
            <v>6164516.5600000005</v>
          </cell>
          <cell r="AI133">
            <v>54481997357.279999</v>
          </cell>
          <cell r="AJ133">
            <v>0</v>
          </cell>
          <cell r="AK133">
            <v>0</v>
          </cell>
          <cell r="AL133">
            <v>6159720.5800000001</v>
          </cell>
          <cell r="AM133">
            <v>55326610249.559998</v>
          </cell>
          <cell r="AN133">
            <v>0</v>
          </cell>
          <cell r="AO133">
            <v>0</v>
          </cell>
          <cell r="AP133">
            <v>7640129.0699999994</v>
          </cell>
          <cell r="AQ133">
            <v>70499290993.424988</v>
          </cell>
          <cell r="AR133">
            <v>0</v>
          </cell>
          <cell r="AS133">
            <v>0</v>
          </cell>
          <cell r="AT133">
            <v>8892557.9700000007</v>
          </cell>
          <cell r="AU133">
            <v>79695104527.139999</v>
          </cell>
          <cell r="AV133">
            <v>0</v>
          </cell>
          <cell r="AW133">
            <v>0</v>
          </cell>
          <cell r="AX133">
            <v>5060357.26</v>
          </cell>
          <cell r="AY133">
            <v>45290197477</v>
          </cell>
        </row>
        <row r="135"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48.36</v>
          </cell>
          <cell r="U135">
            <v>403201.5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4189132.83</v>
          </cell>
          <cell r="AI135">
            <v>37023555951.540001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</row>
        <row r="136">
          <cell r="D136">
            <v>0</v>
          </cell>
          <cell r="E136">
            <v>0</v>
          </cell>
          <cell r="F136">
            <v>4364188.3600000003</v>
          </cell>
          <cell r="G136">
            <v>38697258188.119995</v>
          </cell>
          <cell r="H136">
            <v>0</v>
          </cell>
          <cell r="I136">
            <v>0</v>
          </cell>
          <cell r="J136">
            <v>7868679.4100000011</v>
          </cell>
          <cell r="K136">
            <v>69881741840.210007</v>
          </cell>
          <cell r="L136">
            <v>0</v>
          </cell>
          <cell r="M136">
            <v>0</v>
          </cell>
          <cell r="N136">
            <v>6009069.3700000029</v>
          </cell>
          <cell r="O136">
            <v>53492735531.740028</v>
          </cell>
          <cell r="P136">
            <v>0</v>
          </cell>
          <cell r="Q136">
            <v>0</v>
          </cell>
          <cell r="R136">
            <v>7545676.6100000003</v>
          </cell>
          <cell r="S136">
            <v>65462517430.055</v>
          </cell>
          <cell r="T136">
            <v>0</v>
          </cell>
          <cell r="U136">
            <v>0</v>
          </cell>
          <cell r="V136">
            <v>5450434.4600000009</v>
          </cell>
          <cell r="W136">
            <v>45442997310.250008</v>
          </cell>
          <cell r="X136">
            <v>0</v>
          </cell>
          <cell r="Y136">
            <v>0</v>
          </cell>
          <cell r="Z136">
            <v>4613206.2</v>
          </cell>
          <cell r="AA136">
            <v>38128149243.000008</v>
          </cell>
          <cell r="AB136">
            <v>0</v>
          </cell>
          <cell r="AC136">
            <v>0</v>
          </cell>
          <cell r="AD136">
            <v>8038446.9400000004</v>
          </cell>
          <cell r="AE136">
            <v>72707752572.300003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4195237.28</v>
          </cell>
          <cell r="AM136">
            <v>37681621248.959999</v>
          </cell>
          <cell r="AN136">
            <v>0</v>
          </cell>
          <cell r="AO136">
            <v>0</v>
          </cell>
          <cell r="AP136">
            <v>5715008.8599999994</v>
          </cell>
          <cell r="AQ136">
            <v>52735244255.649994</v>
          </cell>
          <cell r="AR136">
            <v>0</v>
          </cell>
          <cell r="AS136">
            <v>0</v>
          </cell>
          <cell r="AT136">
            <v>7313007.1600000001</v>
          </cell>
          <cell r="AU136">
            <v>65539170167.919998</v>
          </cell>
          <cell r="AV136">
            <v>0</v>
          </cell>
          <cell r="AW136">
            <v>0</v>
          </cell>
          <cell r="AX136">
            <v>3845109.01</v>
          </cell>
          <cell r="AY136">
            <v>34413725639.5</v>
          </cell>
        </row>
        <row r="137">
          <cell r="D137">
            <v>0</v>
          </cell>
          <cell r="E137">
            <v>0</v>
          </cell>
          <cell r="F137">
            <v>338022.27</v>
          </cell>
          <cell r="G137">
            <v>2997243468.0900002</v>
          </cell>
          <cell r="H137">
            <v>0</v>
          </cell>
          <cell r="I137">
            <v>0</v>
          </cell>
          <cell r="J137">
            <v>3113.03</v>
          </cell>
          <cell r="K137">
            <v>27646819.430000003</v>
          </cell>
          <cell r="L137">
            <v>0</v>
          </cell>
          <cell r="M137">
            <v>0</v>
          </cell>
          <cell r="N137">
            <v>2175</v>
          </cell>
          <cell r="O137">
            <v>19361850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2288.6</v>
          </cell>
          <cell r="AA137">
            <v>18915279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</row>
        <row r="138"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</row>
        <row r="139">
          <cell r="D139">
            <v>0</v>
          </cell>
          <cell r="E139">
            <v>0</v>
          </cell>
          <cell r="F139">
            <v>1070064.54</v>
          </cell>
          <cell r="G139">
            <v>9488262276.1800003</v>
          </cell>
          <cell r="H139">
            <v>0</v>
          </cell>
          <cell r="I139">
            <v>0</v>
          </cell>
          <cell r="J139">
            <v>1061933.31</v>
          </cell>
          <cell r="K139">
            <v>9431029726.1100006</v>
          </cell>
          <cell r="L139">
            <v>0</v>
          </cell>
          <cell r="M139">
            <v>0</v>
          </cell>
          <cell r="N139">
            <v>1153537.45</v>
          </cell>
          <cell r="O139">
            <v>10268790379.9</v>
          </cell>
          <cell r="P139">
            <v>0</v>
          </cell>
          <cell r="Q139">
            <v>0</v>
          </cell>
          <cell r="R139">
            <v>1989845.3</v>
          </cell>
          <cell r="S139">
            <v>17262902900.150002</v>
          </cell>
          <cell r="T139">
            <v>0</v>
          </cell>
          <cell r="U139">
            <v>0</v>
          </cell>
          <cell r="V139">
            <v>1918726.25</v>
          </cell>
          <cell r="W139">
            <v>15997380109.375002</v>
          </cell>
          <cell r="X139">
            <v>0</v>
          </cell>
          <cell r="Y139">
            <v>0</v>
          </cell>
          <cell r="Z139">
            <v>2335648.5</v>
          </cell>
          <cell r="AA139">
            <v>19304134852.5</v>
          </cell>
          <cell r="AB139">
            <v>0</v>
          </cell>
          <cell r="AC139">
            <v>0</v>
          </cell>
          <cell r="AD139">
            <v>4504846.62</v>
          </cell>
          <cell r="AE139">
            <v>40746337677.900002</v>
          </cell>
          <cell r="AF139">
            <v>0</v>
          </cell>
          <cell r="AG139">
            <v>0</v>
          </cell>
          <cell r="AH139">
            <v>1975383.73</v>
          </cell>
          <cell r="AI139">
            <v>17458441405.740002</v>
          </cell>
          <cell r="AJ139">
            <v>0</v>
          </cell>
          <cell r="AK139">
            <v>0</v>
          </cell>
          <cell r="AL139">
            <v>1964483.3</v>
          </cell>
          <cell r="AM139">
            <v>17644989000.599995</v>
          </cell>
          <cell r="AN139">
            <v>0</v>
          </cell>
          <cell r="AO139">
            <v>0</v>
          </cell>
          <cell r="AP139">
            <v>1925120.21</v>
          </cell>
          <cell r="AQ139">
            <v>17764046737.774998</v>
          </cell>
          <cell r="AR139">
            <v>0</v>
          </cell>
          <cell r="AS139">
            <v>0</v>
          </cell>
          <cell r="AT139">
            <v>1579550.81</v>
          </cell>
          <cell r="AU139">
            <v>14155934359.220001</v>
          </cell>
          <cell r="AV139">
            <v>0</v>
          </cell>
          <cell r="AW139">
            <v>0</v>
          </cell>
          <cell r="AX139">
            <v>1215248.25</v>
          </cell>
          <cell r="AY139">
            <v>10876471837.5</v>
          </cell>
        </row>
        <row r="141">
          <cell r="D141">
            <v>0</v>
          </cell>
          <cell r="E141">
            <v>0</v>
          </cell>
          <cell r="F141">
            <v>51608.09</v>
          </cell>
          <cell r="G141">
            <v>457608934.02999997</v>
          </cell>
          <cell r="H141">
            <v>0</v>
          </cell>
          <cell r="I141">
            <v>0</v>
          </cell>
          <cell r="J141">
            <v>48594.77</v>
          </cell>
          <cell r="K141">
            <v>431570152.36999995</v>
          </cell>
          <cell r="L141">
            <v>0</v>
          </cell>
          <cell r="M141">
            <v>0</v>
          </cell>
          <cell r="N141">
            <v>49843.45</v>
          </cell>
          <cell r="O141">
            <v>443706391.89999998</v>
          </cell>
          <cell r="P141">
            <v>0</v>
          </cell>
          <cell r="Q141">
            <v>0</v>
          </cell>
          <cell r="R141">
            <v>56068.49</v>
          </cell>
          <cell r="S141">
            <v>486422184.995</v>
          </cell>
          <cell r="T141">
            <v>0</v>
          </cell>
          <cell r="U141">
            <v>0</v>
          </cell>
          <cell r="V141">
            <v>55951.86</v>
          </cell>
          <cell r="W141">
            <v>466498632.75</v>
          </cell>
          <cell r="X141">
            <v>0</v>
          </cell>
          <cell r="Y141">
            <v>0</v>
          </cell>
          <cell r="Z141">
            <v>57927.82</v>
          </cell>
          <cell r="AA141">
            <v>478773432.30000001</v>
          </cell>
          <cell r="AB141">
            <v>0</v>
          </cell>
          <cell r="AC141">
            <v>0</v>
          </cell>
          <cell r="AD141">
            <v>44206.82</v>
          </cell>
          <cell r="AE141">
            <v>399850686.89999998</v>
          </cell>
          <cell r="AF141">
            <v>0</v>
          </cell>
          <cell r="AG141">
            <v>0</v>
          </cell>
          <cell r="AH141">
            <v>52240.35</v>
          </cell>
          <cell r="AI141">
            <v>461700213.30000001</v>
          </cell>
          <cell r="AJ141">
            <v>0</v>
          </cell>
          <cell r="AK141">
            <v>0</v>
          </cell>
          <cell r="AL141">
            <v>49949.84</v>
          </cell>
          <cell r="AM141">
            <v>448649462.88</v>
          </cell>
          <cell r="AN141">
            <v>0</v>
          </cell>
          <cell r="AO141">
            <v>0</v>
          </cell>
          <cell r="AP141">
            <v>48870.07</v>
          </cell>
          <cell r="AQ141">
            <v>450948570.92500001</v>
          </cell>
          <cell r="AR141">
            <v>0</v>
          </cell>
          <cell r="AS141">
            <v>0</v>
          </cell>
          <cell r="AT141">
            <v>48849.98</v>
          </cell>
          <cell r="AU141">
            <v>437793520.76000005</v>
          </cell>
          <cell r="AV141">
            <v>0</v>
          </cell>
          <cell r="AW141">
            <v>0</v>
          </cell>
          <cell r="AX141">
            <v>127451.04</v>
          </cell>
          <cell r="AY141">
            <v>1140686808</v>
          </cell>
        </row>
        <row r="143"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</row>
        <row r="144">
          <cell r="D144">
            <v>0</v>
          </cell>
          <cell r="E144">
            <v>0</v>
          </cell>
          <cell r="F144">
            <v>51608.09</v>
          </cell>
          <cell r="G144">
            <v>457608934.02999997</v>
          </cell>
          <cell r="H144">
            <v>0</v>
          </cell>
          <cell r="I144">
            <v>0</v>
          </cell>
          <cell r="J144">
            <v>48594.77</v>
          </cell>
          <cell r="K144">
            <v>431570152.36999995</v>
          </cell>
          <cell r="L144">
            <v>0</v>
          </cell>
          <cell r="M144">
            <v>0</v>
          </cell>
          <cell r="N144">
            <v>49843.45</v>
          </cell>
          <cell r="O144">
            <v>443706391.89999998</v>
          </cell>
          <cell r="P144">
            <v>0</v>
          </cell>
          <cell r="Q144">
            <v>0</v>
          </cell>
          <cell r="R144">
            <v>56068.49</v>
          </cell>
          <cell r="S144">
            <v>486422184.995</v>
          </cell>
          <cell r="T144">
            <v>0</v>
          </cell>
          <cell r="U144">
            <v>0</v>
          </cell>
          <cell r="V144">
            <v>55951.86</v>
          </cell>
          <cell r="W144">
            <v>466498632.75</v>
          </cell>
          <cell r="X144">
            <v>0</v>
          </cell>
          <cell r="Y144">
            <v>0</v>
          </cell>
          <cell r="Z144">
            <v>57927.82</v>
          </cell>
          <cell r="AA144">
            <v>478773432.30000001</v>
          </cell>
          <cell r="AB144">
            <v>0</v>
          </cell>
          <cell r="AC144">
            <v>0</v>
          </cell>
          <cell r="AD144">
            <v>44206.82</v>
          </cell>
          <cell r="AE144">
            <v>399850686.89999998</v>
          </cell>
          <cell r="AF144">
            <v>0</v>
          </cell>
          <cell r="AG144">
            <v>0</v>
          </cell>
          <cell r="AH144">
            <v>52240.35</v>
          </cell>
          <cell r="AI144">
            <v>461700213.30000001</v>
          </cell>
          <cell r="AJ144">
            <v>0</v>
          </cell>
          <cell r="AK144">
            <v>0</v>
          </cell>
          <cell r="AL144">
            <v>49949.84</v>
          </cell>
          <cell r="AM144">
            <v>448649462.88</v>
          </cell>
          <cell r="AN144">
            <v>0</v>
          </cell>
          <cell r="AO144">
            <v>0</v>
          </cell>
          <cell r="AP144">
            <v>48870.07</v>
          </cell>
          <cell r="AQ144">
            <v>450948570.92500001</v>
          </cell>
          <cell r="AR144">
            <v>0</v>
          </cell>
          <cell r="AS144">
            <v>0</v>
          </cell>
          <cell r="AT144">
            <v>48849.98</v>
          </cell>
          <cell r="AU144">
            <v>437793520.76000005</v>
          </cell>
          <cell r="AV144">
            <v>0</v>
          </cell>
          <cell r="AW144">
            <v>0</v>
          </cell>
          <cell r="AX144">
            <v>127451.04</v>
          </cell>
          <cell r="AY144">
            <v>1140686808</v>
          </cell>
        </row>
        <row r="145">
          <cell r="F145" t="str">
            <v xml:space="preserve"> </v>
          </cell>
          <cell r="J145" t="str">
            <v xml:space="preserve"> </v>
          </cell>
          <cell r="N145" t="str">
            <v xml:space="preserve"> </v>
          </cell>
          <cell r="R145" t="str">
            <v xml:space="preserve"> </v>
          </cell>
          <cell r="V145" t="str">
            <v xml:space="preserve"> </v>
          </cell>
          <cell r="Z145" t="str">
            <v xml:space="preserve"> </v>
          </cell>
          <cell r="AH145" t="str">
            <v xml:space="preserve"> </v>
          </cell>
          <cell r="AL145" t="str">
            <v xml:space="preserve"> </v>
          </cell>
          <cell r="AP145" t="str">
            <v xml:space="preserve"> </v>
          </cell>
          <cell r="AT145" t="str">
            <v xml:space="preserve"> </v>
          </cell>
          <cell r="AX145" t="str">
            <v xml:space="preserve"> </v>
          </cell>
        </row>
        <row r="146">
          <cell r="D146">
            <v>0</v>
          </cell>
          <cell r="E146">
            <v>0</v>
          </cell>
          <cell r="F146">
            <v>45556040.470000006</v>
          </cell>
          <cell r="G146">
            <v>403945410847.49005</v>
          </cell>
          <cell r="H146">
            <v>0</v>
          </cell>
          <cell r="I146">
            <v>0</v>
          </cell>
          <cell r="J146">
            <v>45168636.050000004</v>
          </cell>
          <cell r="K146">
            <v>401142656760.05005</v>
          </cell>
          <cell r="L146">
            <v>0</v>
          </cell>
          <cell r="M146">
            <v>0</v>
          </cell>
          <cell r="N146">
            <v>56087104.299999997</v>
          </cell>
          <cell r="O146">
            <v>499287402478.59998</v>
          </cell>
          <cell r="P146">
            <v>0</v>
          </cell>
          <cell r="Q146">
            <v>0</v>
          </cell>
          <cell r="R146">
            <v>67309986.739999995</v>
          </cell>
          <cell r="S146">
            <v>583947789962.87</v>
          </cell>
          <cell r="T146">
            <v>0</v>
          </cell>
          <cell r="U146">
            <v>0</v>
          </cell>
          <cell r="V146">
            <v>68204806.959999993</v>
          </cell>
          <cell r="W146">
            <v>568657578029</v>
          </cell>
          <cell r="X146">
            <v>0</v>
          </cell>
          <cell r="Y146">
            <v>0</v>
          </cell>
          <cell r="Z146">
            <v>69307871.549999997</v>
          </cell>
          <cell r="AA146">
            <v>572829558360.75</v>
          </cell>
          <cell r="AB146">
            <v>0</v>
          </cell>
          <cell r="AC146">
            <v>0</v>
          </cell>
          <cell r="AD146">
            <v>62668760.149999999</v>
          </cell>
          <cell r="AE146">
            <v>566838935556.75</v>
          </cell>
          <cell r="AF146">
            <v>0</v>
          </cell>
          <cell r="AG146">
            <v>0</v>
          </cell>
          <cell r="AH146">
            <v>40702986.200000003</v>
          </cell>
          <cell r="AI146">
            <v>359732992035.59998</v>
          </cell>
          <cell r="AJ146">
            <v>0</v>
          </cell>
          <cell r="AK146">
            <v>0</v>
          </cell>
          <cell r="AL146">
            <v>39901356.740000002</v>
          </cell>
          <cell r="AM146">
            <v>358393986238.68005</v>
          </cell>
          <cell r="AN146">
            <v>0</v>
          </cell>
          <cell r="AO146">
            <v>0</v>
          </cell>
          <cell r="AP146">
            <v>40335672.440000005</v>
          </cell>
          <cell r="AQ146">
            <v>372197417440.10004</v>
          </cell>
          <cell r="AR146">
            <v>0</v>
          </cell>
          <cell r="AS146">
            <v>0</v>
          </cell>
          <cell r="AT146">
            <v>45875588.719999999</v>
          </cell>
          <cell r="AU146">
            <v>411137026108.64001</v>
          </cell>
          <cell r="AV146">
            <v>0</v>
          </cell>
          <cell r="AW146">
            <v>0</v>
          </cell>
          <cell r="AX146">
            <v>48959851.280000001</v>
          </cell>
          <cell r="AY146">
            <v>438190668956</v>
          </cell>
        </row>
        <row r="147">
          <cell r="F147" t="str">
            <v xml:space="preserve"> </v>
          </cell>
          <cell r="J147" t="str">
            <v xml:space="preserve"> </v>
          </cell>
          <cell r="N147" t="str">
            <v xml:space="preserve"> </v>
          </cell>
          <cell r="R147" t="str">
            <v xml:space="preserve"> </v>
          </cell>
          <cell r="V147" t="str">
            <v xml:space="preserve"> </v>
          </cell>
          <cell r="Z147" t="str">
            <v xml:space="preserve"> </v>
          </cell>
          <cell r="AH147" t="str">
            <v xml:space="preserve"> </v>
          </cell>
          <cell r="AL147" t="str">
            <v xml:space="preserve"> </v>
          </cell>
          <cell r="AP147" t="str">
            <v xml:space="preserve"> </v>
          </cell>
          <cell r="AT147" t="str">
            <v xml:space="preserve"> </v>
          </cell>
          <cell r="AX147" t="str">
            <v xml:space="preserve"> </v>
          </cell>
        </row>
        <row r="148"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</row>
        <row r="150">
          <cell r="D150">
            <v>0</v>
          </cell>
          <cell r="E150">
            <v>0</v>
          </cell>
          <cell r="F150">
            <v>3299000</v>
          </cell>
          <cell r="G150">
            <v>29252233000</v>
          </cell>
          <cell r="H150">
            <v>0</v>
          </cell>
          <cell r="I150">
            <v>0</v>
          </cell>
          <cell r="J150">
            <v>5152800</v>
          </cell>
          <cell r="K150">
            <v>45762016800</v>
          </cell>
          <cell r="L150">
            <v>0</v>
          </cell>
          <cell r="M150">
            <v>0</v>
          </cell>
          <cell r="N150">
            <v>5155800</v>
          </cell>
          <cell r="O150">
            <v>45896931600</v>
          </cell>
          <cell r="P150">
            <v>0</v>
          </cell>
          <cell r="Q150">
            <v>0</v>
          </cell>
          <cell r="R150">
            <v>5193600</v>
          </cell>
          <cell r="S150">
            <v>45057076800</v>
          </cell>
          <cell r="T150">
            <v>0</v>
          </cell>
          <cell r="U150">
            <v>0</v>
          </cell>
          <cell r="V150">
            <v>5282200</v>
          </cell>
          <cell r="W150">
            <v>44040342500</v>
          </cell>
          <cell r="X150">
            <v>0</v>
          </cell>
          <cell r="Y150">
            <v>0</v>
          </cell>
          <cell r="Z150">
            <v>7116860</v>
          </cell>
          <cell r="AA150">
            <v>58820847900</v>
          </cell>
          <cell r="AB150">
            <v>0</v>
          </cell>
          <cell r="AC150">
            <v>0</v>
          </cell>
          <cell r="AD150">
            <v>926965</v>
          </cell>
          <cell r="AE150">
            <v>8384398425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4218800</v>
          </cell>
          <cell r="AY150">
            <v>37758260000</v>
          </cell>
        </row>
        <row r="151"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</row>
        <row r="152">
          <cell r="D152">
            <v>0</v>
          </cell>
          <cell r="E152">
            <v>0</v>
          </cell>
          <cell r="F152">
            <v>28000000</v>
          </cell>
          <cell r="G152">
            <v>248276000000</v>
          </cell>
          <cell r="H152">
            <v>0</v>
          </cell>
          <cell r="I152">
            <v>0</v>
          </cell>
          <cell r="J152">
            <v>28000000</v>
          </cell>
          <cell r="K152">
            <v>248668000000</v>
          </cell>
          <cell r="L152">
            <v>0</v>
          </cell>
          <cell r="M152">
            <v>0</v>
          </cell>
          <cell r="N152">
            <v>34000000</v>
          </cell>
          <cell r="O152">
            <v>302668000000</v>
          </cell>
          <cell r="P152">
            <v>0</v>
          </cell>
          <cell r="Q152">
            <v>0</v>
          </cell>
          <cell r="R152">
            <v>44000000</v>
          </cell>
          <cell r="S152">
            <v>381722000000</v>
          </cell>
          <cell r="T152">
            <v>0</v>
          </cell>
          <cell r="U152">
            <v>0</v>
          </cell>
          <cell r="V152">
            <v>44000000</v>
          </cell>
          <cell r="W152">
            <v>366850000000</v>
          </cell>
          <cell r="X152">
            <v>0</v>
          </cell>
          <cell r="Y152">
            <v>0</v>
          </cell>
          <cell r="Z152">
            <v>44000000</v>
          </cell>
          <cell r="AA152">
            <v>363660000000</v>
          </cell>
          <cell r="AB152">
            <v>0</v>
          </cell>
          <cell r="AC152">
            <v>0</v>
          </cell>
          <cell r="AD152">
            <v>45000000</v>
          </cell>
          <cell r="AE152">
            <v>407025000000</v>
          </cell>
          <cell r="AF152">
            <v>0</v>
          </cell>
          <cell r="AG152">
            <v>0</v>
          </cell>
          <cell r="AH152">
            <v>22000000</v>
          </cell>
          <cell r="AI152">
            <v>194436000000</v>
          </cell>
          <cell r="AJ152">
            <v>0</v>
          </cell>
          <cell r="AK152">
            <v>0</v>
          </cell>
          <cell r="AL152">
            <v>22000000</v>
          </cell>
          <cell r="AM152">
            <v>197604000000</v>
          </cell>
          <cell r="AN152">
            <v>0</v>
          </cell>
          <cell r="AO152">
            <v>0</v>
          </cell>
          <cell r="AP152">
            <v>22000000</v>
          </cell>
          <cell r="AQ152">
            <v>203005000000</v>
          </cell>
          <cell r="AR152">
            <v>0</v>
          </cell>
          <cell r="AS152">
            <v>0</v>
          </cell>
          <cell r="AT152">
            <v>28000000</v>
          </cell>
          <cell r="AU152">
            <v>250936000000</v>
          </cell>
          <cell r="AV152">
            <v>0</v>
          </cell>
          <cell r="AW152">
            <v>0</v>
          </cell>
          <cell r="AX152">
            <v>28000000</v>
          </cell>
          <cell r="AY152">
            <v>250600000000</v>
          </cell>
        </row>
        <row r="153"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</row>
        <row r="154">
          <cell r="D154">
            <v>0</v>
          </cell>
          <cell r="E154">
            <v>0</v>
          </cell>
          <cell r="F154">
            <v>14257040.470000004</v>
          </cell>
          <cell r="G154">
            <v>126417177847.49004</v>
          </cell>
          <cell r="H154">
            <v>0</v>
          </cell>
          <cell r="I154">
            <v>0</v>
          </cell>
          <cell r="J154">
            <v>12015836.050000003</v>
          </cell>
          <cell r="K154">
            <v>106712639960.05002</v>
          </cell>
          <cell r="L154">
            <v>0</v>
          </cell>
          <cell r="M154">
            <v>0</v>
          </cell>
          <cell r="N154">
            <v>16931304.299999997</v>
          </cell>
          <cell r="O154">
            <v>150722470878.59998</v>
          </cell>
          <cell r="P154">
            <v>0</v>
          </cell>
          <cell r="Q154">
            <v>0</v>
          </cell>
          <cell r="R154">
            <v>18116386.739999995</v>
          </cell>
          <cell r="S154">
            <v>157168713162.86996</v>
          </cell>
          <cell r="T154">
            <v>0</v>
          </cell>
          <cell r="U154">
            <v>0</v>
          </cell>
          <cell r="V154">
            <v>18922606.959999993</v>
          </cell>
          <cell r="W154">
            <v>157767235528.99994</v>
          </cell>
          <cell r="X154">
            <v>0</v>
          </cell>
          <cell r="Y154">
            <v>0</v>
          </cell>
          <cell r="Z154">
            <v>18191011.549999993</v>
          </cell>
          <cell r="AA154">
            <v>150348710460.74994</v>
          </cell>
          <cell r="AB154">
            <v>0</v>
          </cell>
          <cell r="AC154">
            <v>0</v>
          </cell>
          <cell r="AD154">
            <v>16741795.15</v>
          </cell>
          <cell r="AE154">
            <v>151429537131.75</v>
          </cell>
          <cell r="AF154">
            <v>0</v>
          </cell>
          <cell r="AG154">
            <v>0</v>
          </cell>
          <cell r="AH154">
            <v>18702986.199999999</v>
          </cell>
          <cell r="AI154">
            <v>165296992035.60001</v>
          </cell>
          <cell r="AJ154">
            <v>0</v>
          </cell>
          <cell r="AK154">
            <v>0</v>
          </cell>
          <cell r="AL154">
            <v>17901356.740000002</v>
          </cell>
          <cell r="AM154">
            <v>160789986238.68002</v>
          </cell>
          <cell r="AN154">
            <v>0</v>
          </cell>
          <cell r="AO154">
            <v>0</v>
          </cell>
          <cell r="AP154">
            <v>18335672.440000005</v>
          </cell>
          <cell r="AQ154">
            <v>169192417440.10004</v>
          </cell>
          <cell r="AR154">
            <v>0</v>
          </cell>
          <cell r="AS154">
            <v>0</v>
          </cell>
          <cell r="AT154">
            <v>17875588.720000003</v>
          </cell>
          <cell r="AU154">
            <v>160201026108.64001</v>
          </cell>
          <cell r="AV154">
            <v>0</v>
          </cell>
          <cell r="AW154">
            <v>0</v>
          </cell>
          <cell r="AX154">
            <v>16741051.280000003</v>
          </cell>
          <cell r="AY154">
            <v>149832408956.00003</v>
          </cell>
        </row>
        <row r="155"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</row>
        <row r="156"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</row>
        <row r="157"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</row>
        <row r="158"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</row>
        <row r="159"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</row>
        <row r="162">
          <cell r="D162">
            <v>0</v>
          </cell>
          <cell r="E162">
            <v>0</v>
          </cell>
          <cell r="F162">
            <v>262598.33</v>
          </cell>
          <cell r="G162">
            <v>2328459392.1099997</v>
          </cell>
          <cell r="H162">
            <v>0</v>
          </cell>
          <cell r="I162">
            <v>0</v>
          </cell>
          <cell r="J162">
            <v>274834.48</v>
          </cell>
          <cell r="K162">
            <v>2440805016.8800001</v>
          </cell>
          <cell r="L162">
            <v>0</v>
          </cell>
          <cell r="M162">
            <v>0</v>
          </cell>
          <cell r="N162">
            <v>357972.86</v>
          </cell>
          <cell r="O162">
            <v>3186674399.7199998</v>
          </cell>
          <cell r="P162">
            <v>0</v>
          </cell>
          <cell r="Q162">
            <v>0</v>
          </cell>
          <cell r="R162">
            <v>455025.59</v>
          </cell>
          <cell r="S162">
            <v>3947574506.0449996</v>
          </cell>
          <cell r="T162">
            <v>0</v>
          </cell>
          <cell r="U162">
            <v>0</v>
          </cell>
          <cell r="V162">
            <v>553072.87</v>
          </cell>
          <cell r="W162">
            <v>4611245053.625</v>
          </cell>
          <cell r="X162">
            <v>0</v>
          </cell>
          <cell r="Y162">
            <v>0</v>
          </cell>
          <cell r="Z162">
            <v>253467.78</v>
          </cell>
          <cell r="AA162">
            <v>2094911201.6999998</v>
          </cell>
          <cell r="AB162">
            <v>0</v>
          </cell>
          <cell r="AC162">
            <v>0</v>
          </cell>
          <cell r="AD162">
            <v>4144971.5400000005</v>
          </cell>
          <cell r="AE162">
            <v>37491267579.300003</v>
          </cell>
          <cell r="AF162">
            <v>0</v>
          </cell>
          <cell r="AG162">
            <v>0</v>
          </cell>
          <cell r="AH162">
            <v>218404.63</v>
          </cell>
          <cell r="AI162">
            <v>1930260119.9399998</v>
          </cell>
          <cell r="AJ162">
            <v>0</v>
          </cell>
          <cell r="AK162">
            <v>0</v>
          </cell>
          <cell r="AL162">
            <v>301632.07</v>
          </cell>
          <cell r="AM162">
            <v>2709259252.7400002</v>
          </cell>
          <cell r="AN162">
            <v>0</v>
          </cell>
          <cell r="AO162">
            <v>0</v>
          </cell>
          <cell r="AP162">
            <v>390120.24</v>
          </cell>
          <cell r="AQ162">
            <v>3599834514.6000004</v>
          </cell>
          <cell r="AR162">
            <v>0</v>
          </cell>
          <cell r="AS162">
            <v>0</v>
          </cell>
          <cell r="AT162">
            <v>481268.6</v>
          </cell>
          <cell r="AU162">
            <v>4313129193.1999998</v>
          </cell>
          <cell r="AV162">
            <v>0</v>
          </cell>
          <cell r="AW162">
            <v>0</v>
          </cell>
          <cell r="AX162">
            <v>161962.01</v>
          </cell>
          <cell r="AY162">
            <v>1449559989.5</v>
          </cell>
        </row>
        <row r="163"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</row>
        <row r="164"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</row>
        <row r="165"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</row>
        <row r="166">
          <cell r="D166">
            <v>0</v>
          </cell>
          <cell r="E166">
            <v>0</v>
          </cell>
          <cell r="F166">
            <v>170134.89</v>
          </cell>
          <cell r="G166">
            <v>1508586069.6299999</v>
          </cell>
          <cell r="H166">
            <v>0</v>
          </cell>
          <cell r="I166">
            <v>0</v>
          </cell>
          <cell r="J166">
            <v>224770.66</v>
          </cell>
          <cell r="K166">
            <v>1996188231.46</v>
          </cell>
          <cell r="L166">
            <v>0</v>
          </cell>
          <cell r="M166">
            <v>0</v>
          </cell>
          <cell r="N166">
            <v>300144.12</v>
          </cell>
          <cell r="O166">
            <v>2671882956.2399998</v>
          </cell>
          <cell r="P166">
            <v>0</v>
          </cell>
          <cell r="Q166">
            <v>0</v>
          </cell>
          <cell r="R166">
            <v>386983.01</v>
          </cell>
          <cell r="S166">
            <v>3357271103.2550001</v>
          </cell>
          <cell r="T166">
            <v>0</v>
          </cell>
          <cell r="U166">
            <v>0</v>
          </cell>
          <cell r="V166">
            <v>472955.89</v>
          </cell>
          <cell r="W166">
            <v>3943269732.875</v>
          </cell>
          <cell r="X166">
            <v>0</v>
          </cell>
          <cell r="Y166">
            <v>0</v>
          </cell>
          <cell r="Z166">
            <v>165147.16</v>
          </cell>
          <cell r="AA166">
            <v>1364941277.3999999</v>
          </cell>
          <cell r="AB166">
            <v>0</v>
          </cell>
          <cell r="AC166">
            <v>0</v>
          </cell>
          <cell r="AD166">
            <v>3428989.2</v>
          </cell>
          <cell r="AE166">
            <v>31015207314</v>
          </cell>
          <cell r="AF166">
            <v>0</v>
          </cell>
          <cell r="AG166">
            <v>0</v>
          </cell>
          <cell r="AH166">
            <v>215276.11</v>
          </cell>
          <cell r="AI166">
            <v>1902610260.1799998</v>
          </cell>
          <cell r="AJ166">
            <v>0</v>
          </cell>
          <cell r="AK166">
            <v>0</v>
          </cell>
          <cell r="AL166">
            <v>292680.28000000003</v>
          </cell>
          <cell r="AM166">
            <v>2628854274.96</v>
          </cell>
          <cell r="AN166">
            <v>0</v>
          </cell>
          <cell r="AO166">
            <v>0</v>
          </cell>
          <cell r="AP166">
            <v>372664.58</v>
          </cell>
          <cell r="AQ166">
            <v>3438762411.9500003</v>
          </cell>
          <cell r="AR166">
            <v>0</v>
          </cell>
          <cell r="AS166">
            <v>0</v>
          </cell>
          <cell r="AT166">
            <v>455135.42</v>
          </cell>
          <cell r="AU166">
            <v>4078923634.04</v>
          </cell>
          <cell r="AV166">
            <v>0</v>
          </cell>
          <cell r="AW166">
            <v>0</v>
          </cell>
          <cell r="AX166">
            <v>77401.53</v>
          </cell>
          <cell r="AY166">
            <v>692743693.5</v>
          </cell>
        </row>
        <row r="167">
          <cell r="D167">
            <v>0</v>
          </cell>
          <cell r="E167">
            <v>0</v>
          </cell>
          <cell r="F167">
            <v>434</v>
          </cell>
          <cell r="G167">
            <v>3848278</v>
          </cell>
          <cell r="H167">
            <v>0</v>
          </cell>
          <cell r="I167">
            <v>0</v>
          </cell>
          <cell r="J167">
            <v>826</v>
          </cell>
          <cell r="K167">
            <v>7335706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419.98</v>
          </cell>
          <cell r="S167">
            <v>3643536.49</v>
          </cell>
          <cell r="T167">
            <v>0</v>
          </cell>
          <cell r="U167">
            <v>0</v>
          </cell>
          <cell r="V167">
            <v>853.98</v>
          </cell>
          <cell r="W167">
            <v>7120058.25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660723.12</v>
          </cell>
          <cell r="AE167">
            <v>5976240620.3999996</v>
          </cell>
          <cell r="AF167">
            <v>0</v>
          </cell>
          <cell r="AG167">
            <v>0</v>
          </cell>
          <cell r="AH167">
            <v>1301.8800000000001</v>
          </cell>
          <cell r="AI167">
            <v>11506015.440000001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650.96</v>
          </cell>
          <cell r="AQ167">
            <v>6006733.4000000004</v>
          </cell>
          <cell r="AR167">
            <v>0</v>
          </cell>
          <cell r="AS167">
            <v>0</v>
          </cell>
          <cell r="AT167">
            <v>1147.96</v>
          </cell>
          <cell r="AU167">
            <v>10288017.52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</row>
        <row r="168"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</row>
        <row r="169">
          <cell r="D169">
            <v>0</v>
          </cell>
          <cell r="E169">
            <v>0</v>
          </cell>
          <cell r="F169">
            <v>42189.71</v>
          </cell>
          <cell r="G169">
            <v>374096158.56999999</v>
          </cell>
          <cell r="H169">
            <v>0</v>
          </cell>
          <cell r="I169">
            <v>0</v>
          </cell>
          <cell r="J169">
            <v>769.6</v>
          </cell>
          <cell r="K169">
            <v>6834817.6000000006</v>
          </cell>
          <cell r="L169">
            <v>0</v>
          </cell>
          <cell r="M169">
            <v>0</v>
          </cell>
          <cell r="N169">
            <v>7759.01</v>
          </cell>
          <cell r="O169">
            <v>69070707.019999996</v>
          </cell>
          <cell r="P169">
            <v>0</v>
          </cell>
          <cell r="Q169">
            <v>0</v>
          </cell>
          <cell r="R169">
            <v>14697.2</v>
          </cell>
          <cell r="S169">
            <v>127505558.59999999</v>
          </cell>
          <cell r="T169">
            <v>0</v>
          </cell>
          <cell r="U169">
            <v>0</v>
          </cell>
          <cell r="V169">
            <v>23345.01</v>
          </cell>
          <cell r="W169">
            <v>194639020.875</v>
          </cell>
          <cell r="X169">
            <v>0</v>
          </cell>
          <cell r="Y169">
            <v>0</v>
          </cell>
          <cell r="Z169">
            <v>29572.27</v>
          </cell>
          <cell r="AA169">
            <v>244414811.55000001</v>
          </cell>
          <cell r="AB169">
            <v>0</v>
          </cell>
          <cell r="AC169">
            <v>0</v>
          </cell>
          <cell r="AD169">
            <v>55259.22</v>
          </cell>
          <cell r="AE169">
            <v>499819644.90000004</v>
          </cell>
          <cell r="AF169">
            <v>0</v>
          </cell>
          <cell r="AG169">
            <v>0</v>
          </cell>
          <cell r="AH169">
            <v>1826.64</v>
          </cell>
          <cell r="AI169">
            <v>16143844.32</v>
          </cell>
          <cell r="AJ169">
            <v>0</v>
          </cell>
          <cell r="AK169">
            <v>0</v>
          </cell>
          <cell r="AL169">
            <v>8951.7900000000009</v>
          </cell>
          <cell r="AM169">
            <v>80404977.780000001</v>
          </cell>
          <cell r="AN169">
            <v>0</v>
          </cell>
          <cell r="AO169">
            <v>0</v>
          </cell>
          <cell r="AP169">
            <v>16804.7</v>
          </cell>
          <cell r="AQ169">
            <v>155065369.25</v>
          </cell>
          <cell r="AR169">
            <v>0</v>
          </cell>
          <cell r="AS169">
            <v>0</v>
          </cell>
          <cell r="AT169">
            <v>24985.22</v>
          </cell>
          <cell r="AU169">
            <v>223917541.64000002</v>
          </cell>
          <cell r="AV169">
            <v>0</v>
          </cell>
          <cell r="AW169">
            <v>0</v>
          </cell>
          <cell r="AX169">
            <v>33396.269999999997</v>
          </cell>
          <cell r="AY169">
            <v>298896616.5</v>
          </cell>
        </row>
        <row r="170">
          <cell r="D170">
            <v>0</v>
          </cell>
          <cell r="E170">
            <v>0</v>
          </cell>
          <cell r="F170">
            <v>49839.73</v>
          </cell>
          <cell r="G170">
            <v>441928885.91000003</v>
          </cell>
          <cell r="H170">
            <v>0</v>
          </cell>
          <cell r="I170">
            <v>0</v>
          </cell>
          <cell r="J170">
            <v>48468.22</v>
          </cell>
          <cell r="K170">
            <v>430446261.81999999</v>
          </cell>
          <cell r="L170">
            <v>0</v>
          </cell>
          <cell r="M170">
            <v>0</v>
          </cell>
          <cell r="N170">
            <v>50069.73</v>
          </cell>
          <cell r="O170">
            <v>445720736.45999998</v>
          </cell>
          <cell r="P170">
            <v>0</v>
          </cell>
          <cell r="Q170">
            <v>0</v>
          </cell>
          <cell r="R170">
            <v>52925.4</v>
          </cell>
          <cell r="S170">
            <v>459154307.69999993</v>
          </cell>
          <cell r="T170">
            <v>0</v>
          </cell>
          <cell r="U170">
            <v>0</v>
          </cell>
          <cell r="V170">
            <v>55917.99</v>
          </cell>
          <cell r="W170">
            <v>466216241.625</v>
          </cell>
          <cell r="X170">
            <v>0</v>
          </cell>
          <cell r="Y170">
            <v>0</v>
          </cell>
          <cell r="Z170">
            <v>58748.35</v>
          </cell>
          <cell r="AA170">
            <v>485555112.75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51164.21</v>
          </cell>
          <cell r="AY170">
            <v>457919679.5</v>
          </cell>
        </row>
        <row r="172">
          <cell r="D172">
            <v>2459.73</v>
          </cell>
          <cell r="E172">
            <v>21810425.91</v>
          </cell>
          <cell r="F172">
            <v>6090778.5499999989</v>
          </cell>
          <cell r="G172">
            <v>54006933402.849991</v>
          </cell>
          <cell r="H172">
            <v>8057.99</v>
          </cell>
          <cell r="I172">
            <v>71563009.189999998</v>
          </cell>
          <cell r="J172">
            <v>7420847.4400000004</v>
          </cell>
          <cell r="K172">
            <v>65904546114.640007</v>
          </cell>
          <cell r="L172">
            <v>6527.36</v>
          </cell>
          <cell r="M172">
            <v>58106558.719999999</v>
          </cell>
          <cell r="N172">
            <v>7902933.4800000004</v>
          </cell>
          <cell r="O172">
            <v>70351913838.959991</v>
          </cell>
          <cell r="P172">
            <v>6203.72</v>
          </cell>
          <cell r="Q172">
            <v>53820372.859999999</v>
          </cell>
          <cell r="R172">
            <v>8488772.709999999</v>
          </cell>
          <cell r="S172">
            <v>73644347645.604996</v>
          </cell>
          <cell r="T172">
            <v>0</v>
          </cell>
          <cell r="U172">
            <v>0</v>
          </cell>
          <cell r="V172">
            <v>11404861.120000001</v>
          </cell>
          <cell r="W172">
            <v>95088029588.000015</v>
          </cell>
          <cell r="X172">
            <v>3478.92</v>
          </cell>
          <cell r="Y172">
            <v>28753273.800000001</v>
          </cell>
          <cell r="Z172">
            <v>9348434.3900000006</v>
          </cell>
          <cell r="AA172">
            <v>77264810233.350006</v>
          </cell>
          <cell r="AB172">
            <v>6774.82</v>
          </cell>
          <cell r="AC172">
            <v>61278246.899999999</v>
          </cell>
          <cell r="AD172">
            <v>8091234.8499999996</v>
          </cell>
          <cell r="AE172">
            <v>73185219218.25</v>
          </cell>
          <cell r="AF172">
            <v>6934.96</v>
          </cell>
          <cell r="AG172">
            <v>61291176.479999997</v>
          </cell>
          <cell r="AH172">
            <v>6673330.5</v>
          </cell>
          <cell r="AI172">
            <v>58978894959</v>
          </cell>
          <cell r="AJ172">
            <v>5678.09</v>
          </cell>
          <cell r="AK172">
            <v>51000604.380000003</v>
          </cell>
          <cell r="AL172">
            <v>5699837.6000000006</v>
          </cell>
          <cell r="AM172">
            <v>51195941323.200005</v>
          </cell>
          <cell r="AN172">
            <v>1800.73</v>
          </cell>
          <cell r="AO172">
            <v>16616236.074999999</v>
          </cell>
          <cell r="AP172">
            <v>6557805.2300000014</v>
          </cell>
          <cell r="AQ172">
            <v>60512147759.825005</v>
          </cell>
          <cell r="AR172">
            <v>5963.49</v>
          </cell>
          <cell r="AS172">
            <v>53444797.379999995</v>
          </cell>
          <cell r="AT172">
            <v>8133407.5900000008</v>
          </cell>
          <cell r="AU172">
            <v>72891598821.580002</v>
          </cell>
          <cell r="AV172">
            <v>3047.97</v>
          </cell>
          <cell r="AW172">
            <v>27279331.5</v>
          </cell>
          <cell r="AX172">
            <v>8052963.1000000006</v>
          </cell>
          <cell r="AY172">
            <v>72074019745</v>
          </cell>
        </row>
        <row r="174">
          <cell r="D174">
            <v>2459.73</v>
          </cell>
          <cell r="E174">
            <v>21810425.91</v>
          </cell>
          <cell r="F174">
            <v>5886914.3199999994</v>
          </cell>
          <cell r="G174">
            <v>52199269275.439995</v>
          </cell>
          <cell r="H174">
            <v>8057.99</v>
          </cell>
          <cell r="I174">
            <v>71563009.189999998</v>
          </cell>
          <cell r="J174">
            <v>7288625.6900000004</v>
          </cell>
          <cell r="K174">
            <v>64730284752.890007</v>
          </cell>
          <cell r="L174">
            <v>6527.36</v>
          </cell>
          <cell r="M174">
            <v>58106558.719999999</v>
          </cell>
          <cell r="N174">
            <v>7786103.2400000002</v>
          </cell>
          <cell r="O174">
            <v>69311891042.479996</v>
          </cell>
          <cell r="P174">
            <v>6203.72</v>
          </cell>
          <cell r="Q174">
            <v>53820372.859999999</v>
          </cell>
          <cell r="R174">
            <v>8294030.9399999995</v>
          </cell>
          <cell r="S174">
            <v>71954865419.970001</v>
          </cell>
          <cell r="T174">
            <v>0</v>
          </cell>
          <cell r="U174">
            <v>0</v>
          </cell>
          <cell r="V174">
            <v>11123127.530000001</v>
          </cell>
          <cell r="W174">
            <v>92739075781.375015</v>
          </cell>
          <cell r="X174">
            <v>3478.92</v>
          </cell>
          <cell r="Y174">
            <v>28753273.800000001</v>
          </cell>
          <cell r="Z174">
            <v>8976380.2800000012</v>
          </cell>
          <cell r="AA174">
            <v>74189783014.200012</v>
          </cell>
          <cell r="AB174">
            <v>6774.82</v>
          </cell>
          <cell r="AC174">
            <v>61278246.899999999</v>
          </cell>
          <cell r="AD174">
            <v>7874849.6499999994</v>
          </cell>
          <cell r="AE174">
            <v>71228015084.25</v>
          </cell>
          <cell r="AF174">
            <v>6934.96</v>
          </cell>
          <cell r="AG174">
            <v>61291176.479999997</v>
          </cell>
          <cell r="AH174">
            <v>6253236.29</v>
          </cell>
          <cell r="AI174">
            <v>55266102331.019997</v>
          </cell>
          <cell r="AJ174">
            <v>5678.09</v>
          </cell>
          <cell r="AK174">
            <v>51000604.380000003</v>
          </cell>
          <cell r="AL174">
            <v>5275573.57</v>
          </cell>
          <cell r="AM174">
            <v>47385201805.740005</v>
          </cell>
          <cell r="AN174">
            <v>1800.73</v>
          </cell>
          <cell r="AO174">
            <v>16616236.074999999</v>
          </cell>
          <cell r="AP174">
            <v>6093737.290000001</v>
          </cell>
          <cell r="AQ174">
            <v>56229960843.475006</v>
          </cell>
          <cell r="AR174">
            <v>5963.49</v>
          </cell>
          <cell r="AS174">
            <v>53444797.379999995</v>
          </cell>
          <cell r="AT174">
            <v>7725975.080000001</v>
          </cell>
          <cell r="AU174">
            <v>69240188666.960007</v>
          </cell>
          <cell r="AV174">
            <v>3047.97</v>
          </cell>
          <cell r="AW174">
            <v>27279331.5</v>
          </cell>
          <cell r="AX174">
            <v>7898602.4500000002</v>
          </cell>
          <cell r="AY174">
            <v>70692491927.5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</row>
        <row r="176"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</row>
        <row r="177">
          <cell r="D177">
            <v>0</v>
          </cell>
          <cell r="E177">
            <v>0</v>
          </cell>
          <cell r="F177">
            <v>203864.23</v>
          </cell>
          <cell r="G177">
            <v>1807664127.4099998</v>
          </cell>
          <cell r="H177">
            <v>0</v>
          </cell>
          <cell r="I177">
            <v>0</v>
          </cell>
          <cell r="J177">
            <v>132221.75</v>
          </cell>
          <cell r="K177">
            <v>1174261361.75</v>
          </cell>
          <cell r="L177">
            <v>0</v>
          </cell>
          <cell r="M177">
            <v>0</v>
          </cell>
          <cell r="N177">
            <v>116830.24</v>
          </cell>
          <cell r="O177">
            <v>1040022796.48</v>
          </cell>
          <cell r="P177">
            <v>0</v>
          </cell>
          <cell r="Q177">
            <v>0</v>
          </cell>
          <cell r="R177">
            <v>194741.77</v>
          </cell>
          <cell r="S177">
            <v>1689482225.635</v>
          </cell>
          <cell r="T177">
            <v>0</v>
          </cell>
          <cell r="U177">
            <v>0</v>
          </cell>
          <cell r="V177">
            <v>281733.59000000003</v>
          </cell>
          <cell r="W177">
            <v>2348953806.6249995</v>
          </cell>
          <cell r="X177">
            <v>0</v>
          </cell>
          <cell r="Y177">
            <v>0</v>
          </cell>
          <cell r="Z177">
            <v>372054.11</v>
          </cell>
          <cell r="AA177">
            <v>3075027219.1500001</v>
          </cell>
          <cell r="AB177">
            <v>0</v>
          </cell>
          <cell r="AC177">
            <v>0</v>
          </cell>
          <cell r="AD177">
            <v>216385.2</v>
          </cell>
          <cell r="AE177">
            <v>1957204134</v>
          </cell>
          <cell r="AF177">
            <v>0</v>
          </cell>
          <cell r="AG177">
            <v>0</v>
          </cell>
          <cell r="AH177">
            <v>420094.21</v>
          </cell>
          <cell r="AI177">
            <v>3712792627.98</v>
          </cell>
          <cell r="AJ177">
            <v>0</v>
          </cell>
          <cell r="AK177">
            <v>0</v>
          </cell>
          <cell r="AL177">
            <v>424264.03</v>
          </cell>
          <cell r="AM177">
            <v>3810739517.46</v>
          </cell>
          <cell r="AN177">
            <v>0</v>
          </cell>
          <cell r="AO177">
            <v>0</v>
          </cell>
          <cell r="AP177">
            <v>464067.94</v>
          </cell>
          <cell r="AQ177">
            <v>4282186916.3499999</v>
          </cell>
          <cell r="AR177">
            <v>0</v>
          </cell>
          <cell r="AS177">
            <v>0</v>
          </cell>
          <cell r="AT177">
            <v>407432.51</v>
          </cell>
          <cell r="AU177">
            <v>3651410154.6199999</v>
          </cell>
          <cell r="AV177">
            <v>0</v>
          </cell>
          <cell r="AW177">
            <v>0</v>
          </cell>
          <cell r="AX177">
            <v>154360.65</v>
          </cell>
          <cell r="AY177">
            <v>1381527817.5</v>
          </cell>
        </row>
        <row r="180">
          <cell r="D180">
            <v>0</v>
          </cell>
          <cell r="E180">
            <v>0</v>
          </cell>
          <cell r="F180">
            <v>49000003.299999997</v>
          </cell>
          <cell r="G180">
            <v>434483029261.09998</v>
          </cell>
          <cell r="H180">
            <v>0</v>
          </cell>
          <cell r="I180">
            <v>0</v>
          </cell>
          <cell r="J180">
            <v>49000003.149999999</v>
          </cell>
          <cell r="K180">
            <v>435169027975.14996</v>
          </cell>
          <cell r="L180">
            <v>0</v>
          </cell>
          <cell r="M180">
            <v>0</v>
          </cell>
          <cell r="N180">
            <v>49000003.159999996</v>
          </cell>
          <cell r="O180">
            <v>436198028130.31995</v>
          </cell>
          <cell r="P180">
            <v>0</v>
          </cell>
          <cell r="Q180">
            <v>0</v>
          </cell>
          <cell r="R180">
            <v>49000003.189999998</v>
          </cell>
          <cell r="S180">
            <v>425099527674.84497</v>
          </cell>
          <cell r="T180">
            <v>0</v>
          </cell>
          <cell r="U180">
            <v>0</v>
          </cell>
          <cell r="V180">
            <v>49000003.280000001</v>
          </cell>
          <cell r="W180">
            <v>408537527347</v>
          </cell>
          <cell r="X180">
            <v>0</v>
          </cell>
          <cell r="Y180">
            <v>0</v>
          </cell>
          <cell r="Z180">
            <v>49000003.299999997</v>
          </cell>
          <cell r="AA180">
            <v>404985027274.5</v>
          </cell>
          <cell r="AB180">
            <v>0</v>
          </cell>
          <cell r="AC180">
            <v>0</v>
          </cell>
          <cell r="AD180">
            <v>27000002.850000001</v>
          </cell>
          <cell r="AE180">
            <v>244215025778.25</v>
          </cell>
          <cell r="AF180">
            <v>0</v>
          </cell>
          <cell r="AG180">
            <v>0</v>
          </cell>
          <cell r="AH180">
            <v>49000003.100000001</v>
          </cell>
          <cell r="AI180">
            <v>433062027397.79999</v>
          </cell>
          <cell r="AJ180">
            <v>0</v>
          </cell>
          <cell r="AK180">
            <v>0</v>
          </cell>
          <cell r="AL180">
            <v>49000003.140000001</v>
          </cell>
          <cell r="AM180">
            <v>440118028203.47998</v>
          </cell>
          <cell r="AN180">
            <v>0</v>
          </cell>
          <cell r="AO180">
            <v>0</v>
          </cell>
          <cell r="AP180">
            <v>49000003.119999997</v>
          </cell>
          <cell r="AQ180">
            <v>452147528789.79999</v>
          </cell>
          <cell r="AR180">
            <v>0</v>
          </cell>
          <cell r="AS180">
            <v>0</v>
          </cell>
          <cell r="AT180">
            <v>49000003.109999999</v>
          </cell>
          <cell r="AU180">
            <v>439138027871.82001</v>
          </cell>
          <cell r="AV180">
            <v>0</v>
          </cell>
          <cell r="AW180">
            <v>0</v>
          </cell>
          <cell r="AX180">
            <v>49000003.219999999</v>
          </cell>
          <cell r="AY180">
            <v>438550028819</v>
          </cell>
        </row>
        <row r="182">
          <cell r="D182">
            <v>0</v>
          </cell>
          <cell r="E182">
            <v>0</v>
          </cell>
          <cell r="F182">
            <v>49000003.299999997</v>
          </cell>
          <cell r="G182">
            <v>434483029261.09998</v>
          </cell>
          <cell r="H182">
            <v>0</v>
          </cell>
          <cell r="I182">
            <v>0</v>
          </cell>
          <cell r="J182">
            <v>49000003.149999999</v>
          </cell>
          <cell r="K182">
            <v>435169027975.14996</v>
          </cell>
          <cell r="L182">
            <v>0</v>
          </cell>
          <cell r="M182">
            <v>0</v>
          </cell>
          <cell r="N182">
            <v>49000003.159999996</v>
          </cell>
          <cell r="O182">
            <v>436198028130.31995</v>
          </cell>
          <cell r="P182">
            <v>0</v>
          </cell>
          <cell r="Q182">
            <v>0</v>
          </cell>
          <cell r="R182">
            <v>49000003.189999998</v>
          </cell>
          <cell r="S182">
            <v>425099527674.84497</v>
          </cell>
          <cell r="T182">
            <v>0</v>
          </cell>
          <cell r="U182">
            <v>0</v>
          </cell>
          <cell r="V182">
            <v>49000003.280000001</v>
          </cell>
          <cell r="W182">
            <v>408537527347</v>
          </cell>
          <cell r="X182">
            <v>0</v>
          </cell>
          <cell r="Y182">
            <v>0</v>
          </cell>
          <cell r="Z182">
            <v>49000003.299999997</v>
          </cell>
          <cell r="AA182">
            <v>404985027274.5</v>
          </cell>
          <cell r="AB182">
            <v>0</v>
          </cell>
          <cell r="AC182">
            <v>0</v>
          </cell>
          <cell r="AD182">
            <v>27000002.850000001</v>
          </cell>
          <cell r="AE182">
            <v>244215025778.25</v>
          </cell>
          <cell r="AF182">
            <v>0</v>
          </cell>
          <cell r="AG182">
            <v>0</v>
          </cell>
          <cell r="AH182">
            <v>49000003.100000001</v>
          </cell>
          <cell r="AI182">
            <v>433062027397.79999</v>
          </cell>
          <cell r="AJ182">
            <v>0</v>
          </cell>
          <cell r="AK182">
            <v>0</v>
          </cell>
          <cell r="AL182">
            <v>49000003.140000001</v>
          </cell>
          <cell r="AM182">
            <v>440118028203.47998</v>
          </cell>
          <cell r="AN182">
            <v>0</v>
          </cell>
          <cell r="AO182">
            <v>0</v>
          </cell>
          <cell r="AP182">
            <v>49000003.119999997</v>
          </cell>
          <cell r="AQ182">
            <v>452147528789.79999</v>
          </cell>
          <cell r="AR182">
            <v>0</v>
          </cell>
          <cell r="AS182">
            <v>0</v>
          </cell>
          <cell r="AT182">
            <v>49000003.109999999</v>
          </cell>
          <cell r="AU182">
            <v>439138027871.82001</v>
          </cell>
          <cell r="AV182">
            <v>0</v>
          </cell>
          <cell r="AW182">
            <v>0</v>
          </cell>
          <cell r="AX182">
            <v>49000003.219999999</v>
          </cell>
          <cell r="AY182">
            <v>438550028819</v>
          </cell>
        </row>
        <row r="184">
          <cell r="D184">
            <v>0</v>
          </cell>
          <cell r="E184">
            <v>0</v>
          </cell>
          <cell r="F184">
            <v>6801409.5800000001</v>
          </cell>
          <cell r="G184">
            <v>60308098745.860001</v>
          </cell>
          <cell r="H184">
            <v>0</v>
          </cell>
          <cell r="I184">
            <v>0</v>
          </cell>
          <cell r="J184">
            <v>6801409.5800000001</v>
          </cell>
          <cell r="K184">
            <v>60403318479.980003</v>
          </cell>
          <cell r="L184">
            <v>0</v>
          </cell>
          <cell r="M184">
            <v>0</v>
          </cell>
          <cell r="N184">
            <v>6801409.5800000001</v>
          </cell>
          <cell r="O184">
            <v>60546148081.160004</v>
          </cell>
          <cell r="P184">
            <v>0</v>
          </cell>
          <cell r="Q184">
            <v>0</v>
          </cell>
          <cell r="R184">
            <v>6801409.5800000001</v>
          </cell>
          <cell r="S184">
            <v>59005628811.290001</v>
          </cell>
          <cell r="T184">
            <v>0</v>
          </cell>
          <cell r="U184">
            <v>0</v>
          </cell>
          <cell r="V184">
            <v>6801409.5800000001</v>
          </cell>
          <cell r="W184">
            <v>56706752373.25</v>
          </cell>
          <cell r="X184">
            <v>0</v>
          </cell>
          <cell r="Y184">
            <v>0</v>
          </cell>
          <cell r="Z184">
            <v>6801409.5800000001</v>
          </cell>
          <cell r="AA184">
            <v>56213650178.699997</v>
          </cell>
          <cell r="AB184">
            <v>0</v>
          </cell>
          <cell r="AC184">
            <v>0</v>
          </cell>
          <cell r="AD184">
            <v>1178302.6200000001</v>
          </cell>
          <cell r="AE184">
            <v>10657747197.900002</v>
          </cell>
          <cell r="AF184">
            <v>0</v>
          </cell>
          <cell r="AG184">
            <v>0</v>
          </cell>
          <cell r="AH184">
            <v>3659695.77</v>
          </cell>
          <cell r="AI184">
            <v>32344391215.259998</v>
          </cell>
          <cell r="AJ184">
            <v>0</v>
          </cell>
          <cell r="AK184">
            <v>0</v>
          </cell>
          <cell r="AL184">
            <v>3659695.77</v>
          </cell>
          <cell r="AM184">
            <v>32871387406.139999</v>
          </cell>
          <cell r="AN184">
            <v>0</v>
          </cell>
          <cell r="AO184">
            <v>0</v>
          </cell>
          <cell r="AP184">
            <v>3659695.77</v>
          </cell>
          <cell r="AQ184">
            <v>33769842717.674999</v>
          </cell>
          <cell r="AR184">
            <v>0</v>
          </cell>
          <cell r="AS184">
            <v>0</v>
          </cell>
          <cell r="AT184">
            <v>3659695.77</v>
          </cell>
          <cell r="AU184">
            <v>32798193490.740002</v>
          </cell>
          <cell r="AV184">
            <v>0</v>
          </cell>
          <cell r="AW184">
            <v>0</v>
          </cell>
          <cell r="AX184">
            <v>3659695.77</v>
          </cell>
          <cell r="AY184">
            <v>32754277141.5</v>
          </cell>
        </row>
        <row r="186">
          <cell r="D186">
            <v>0</v>
          </cell>
          <cell r="E186">
            <v>0</v>
          </cell>
          <cell r="F186">
            <v>6801409.5800000001</v>
          </cell>
          <cell r="G186">
            <v>60308098745.860001</v>
          </cell>
          <cell r="H186">
            <v>0</v>
          </cell>
          <cell r="I186">
            <v>0</v>
          </cell>
          <cell r="J186">
            <v>6801409.5800000001</v>
          </cell>
          <cell r="K186">
            <v>60403318479.980003</v>
          </cell>
          <cell r="L186">
            <v>0</v>
          </cell>
          <cell r="M186">
            <v>0</v>
          </cell>
          <cell r="N186">
            <v>6801409.5800000001</v>
          </cell>
          <cell r="O186">
            <v>60546148081.160004</v>
          </cell>
          <cell r="P186">
            <v>0</v>
          </cell>
          <cell r="Q186">
            <v>0</v>
          </cell>
          <cell r="R186">
            <v>6801409.5800000001</v>
          </cell>
          <cell r="S186">
            <v>59005628811.290001</v>
          </cell>
          <cell r="T186">
            <v>0</v>
          </cell>
          <cell r="U186">
            <v>0</v>
          </cell>
          <cell r="V186">
            <v>6801409.5800000001</v>
          </cell>
          <cell r="W186">
            <v>56706752373.25</v>
          </cell>
          <cell r="X186">
            <v>0</v>
          </cell>
          <cell r="Y186">
            <v>0</v>
          </cell>
          <cell r="Z186">
            <v>6801409.5800000001</v>
          </cell>
          <cell r="AA186">
            <v>56213650178.699997</v>
          </cell>
          <cell r="AB186">
            <v>0</v>
          </cell>
          <cell r="AC186">
            <v>0</v>
          </cell>
          <cell r="AD186">
            <v>1178302.6200000001</v>
          </cell>
          <cell r="AE186">
            <v>10657747197.900002</v>
          </cell>
          <cell r="AF186">
            <v>0</v>
          </cell>
          <cell r="AG186">
            <v>0</v>
          </cell>
          <cell r="AH186">
            <v>3659695.77</v>
          </cell>
          <cell r="AI186">
            <v>32344391215.259998</v>
          </cell>
          <cell r="AJ186">
            <v>0</v>
          </cell>
          <cell r="AK186">
            <v>0</v>
          </cell>
          <cell r="AL186">
            <v>3659695.77</v>
          </cell>
          <cell r="AM186">
            <v>32871387406.139999</v>
          </cell>
          <cell r="AN186">
            <v>0</v>
          </cell>
          <cell r="AO186">
            <v>0</v>
          </cell>
          <cell r="AP186">
            <v>3659695.77</v>
          </cell>
          <cell r="AQ186">
            <v>33769842717.674999</v>
          </cell>
          <cell r="AR186">
            <v>0</v>
          </cell>
          <cell r="AS186">
            <v>0</v>
          </cell>
          <cell r="AT186">
            <v>3659695.77</v>
          </cell>
          <cell r="AU186">
            <v>32798193490.740002</v>
          </cell>
          <cell r="AV186">
            <v>0</v>
          </cell>
          <cell r="AW186">
            <v>0</v>
          </cell>
          <cell r="AX186">
            <v>3659695.77</v>
          </cell>
          <cell r="AY186">
            <v>32754277141.5</v>
          </cell>
        </row>
        <row r="188">
          <cell r="D188">
            <v>0</v>
          </cell>
          <cell r="E188">
            <v>0</v>
          </cell>
          <cell r="F188">
            <v>150315.89000000001</v>
          </cell>
          <cell r="G188">
            <v>1332850996.6300004</v>
          </cell>
          <cell r="H188">
            <v>0</v>
          </cell>
          <cell r="I188">
            <v>0</v>
          </cell>
          <cell r="J188">
            <v>269225.48</v>
          </cell>
          <cell r="K188">
            <v>2390991487.8800011</v>
          </cell>
          <cell r="L188">
            <v>0</v>
          </cell>
          <cell r="M188">
            <v>0</v>
          </cell>
          <cell r="N188">
            <v>422450.36</v>
          </cell>
          <cell r="O188">
            <v>3760653104.7199965</v>
          </cell>
          <cell r="P188">
            <v>0</v>
          </cell>
          <cell r="Q188">
            <v>0</v>
          </cell>
          <cell r="R188">
            <v>578375.47</v>
          </cell>
          <cell r="S188">
            <v>5017696389.9849968</v>
          </cell>
          <cell r="T188">
            <v>0</v>
          </cell>
          <cell r="U188">
            <v>0</v>
          </cell>
          <cell r="V188">
            <v>734910.39999999909</v>
          </cell>
          <cell r="W188">
            <v>6127315459.9999924</v>
          </cell>
          <cell r="X188">
            <v>0</v>
          </cell>
          <cell r="Y188">
            <v>0</v>
          </cell>
          <cell r="Z188">
            <v>979081.01</v>
          </cell>
          <cell r="AA188">
            <v>8092104547.6500034</v>
          </cell>
          <cell r="AB188">
            <v>0</v>
          </cell>
          <cell r="AC188">
            <v>0</v>
          </cell>
          <cell r="AD188">
            <v>1333001.0900000001</v>
          </cell>
          <cell r="AE188">
            <v>12056994859.050001</v>
          </cell>
          <cell r="AF188">
            <v>0</v>
          </cell>
          <cell r="AG188">
            <v>0</v>
          </cell>
          <cell r="AH188">
            <v>1197994.05</v>
          </cell>
          <cell r="AI188">
            <v>10587871413.9</v>
          </cell>
          <cell r="AJ188">
            <v>0</v>
          </cell>
          <cell r="AK188">
            <v>0</v>
          </cell>
          <cell r="AL188">
            <v>2735353.15</v>
          </cell>
          <cell r="AM188">
            <v>24568941993.299999</v>
          </cell>
          <cell r="AN188">
            <v>0</v>
          </cell>
          <cell r="AO188">
            <v>0</v>
          </cell>
          <cell r="AP188">
            <v>3015933.87</v>
          </cell>
          <cell r="AQ188">
            <v>27829529785.425014</v>
          </cell>
          <cell r="AR188">
            <v>0</v>
          </cell>
          <cell r="AS188">
            <v>0</v>
          </cell>
          <cell r="AT188">
            <v>3148109.81</v>
          </cell>
          <cell r="AU188">
            <v>28213360117.220024</v>
          </cell>
          <cell r="AV188">
            <v>0</v>
          </cell>
          <cell r="AW188">
            <v>0</v>
          </cell>
          <cell r="AX188">
            <v>3141713.81</v>
          </cell>
          <cell r="AY188">
            <v>28118338599.500011</v>
          </cell>
        </row>
        <row r="190">
          <cell r="D190" t="str">
            <v xml:space="preserve"> </v>
          </cell>
          <cell r="E190">
            <v>0</v>
          </cell>
          <cell r="F190">
            <v>150315.89000000001</v>
          </cell>
          <cell r="G190">
            <v>1332850996.6300004</v>
          </cell>
          <cell r="H190" t="str">
            <v xml:space="preserve"> </v>
          </cell>
          <cell r="I190">
            <v>0</v>
          </cell>
          <cell r="J190">
            <v>269225.48</v>
          </cell>
          <cell r="K190">
            <v>2390991487.8800011</v>
          </cell>
          <cell r="L190" t="str">
            <v xml:space="preserve"> </v>
          </cell>
          <cell r="M190">
            <v>0</v>
          </cell>
          <cell r="N190">
            <v>422450.36</v>
          </cell>
          <cell r="O190">
            <v>3760653104.7199965</v>
          </cell>
          <cell r="P190" t="str">
            <v xml:space="preserve"> </v>
          </cell>
          <cell r="Q190">
            <v>0</v>
          </cell>
          <cell r="R190">
            <v>578375.47</v>
          </cell>
          <cell r="S190">
            <v>5017696389.9849968</v>
          </cell>
          <cell r="T190" t="str">
            <v xml:space="preserve"> </v>
          </cell>
          <cell r="U190">
            <v>0</v>
          </cell>
          <cell r="V190">
            <v>734910.39999999909</v>
          </cell>
          <cell r="W190">
            <v>6127315459.9999924</v>
          </cell>
          <cell r="X190" t="str">
            <v xml:space="preserve"> </v>
          </cell>
          <cell r="Y190">
            <v>0</v>
          </cell>
          <cell r="Z190">
            <v>979081.01</v>
          </cell>
          <cell r="AA190">
            <v>8092104547.6500034</v>
          </cell>
          <cell r="AB190">
            <v>0</v>
          </cell>
          <cell r="AC190">
            <v>0</v>
          </cell>
          <cell r="AD190">
            <v>1333001.0900000001</v>
          </cell>
          <cell r="AE190">
            <v>12056994859.050001</v>
          </cell>
          <cell r="AF190">
            <v>0</v>
          </cell>
          <cell r="AG190">
            <v>0</v>
          </cell>
          <cell r="AH190">
            <v>1197994.05</v>
          </cell>
          <cell r="AI190">
            <v>10587871413.9</v>
          </cell>
          <cell r="AJ190" t="str">
            <v xml:space="preserve"> </v>
          </cell>
          <cell r="AK190">
            <v>0</v>
          </cell>
          <cell r="AL190">
            <v>2735353.15</v>
          </cell>
          <cell r="AM190">
            <v>24568941993.299999</v>
          </cell>
          <cell r="AN190" t="str">
            <v xml:space="preserve"> </v>
          </cell>
          <cell r="AO190">
            <v>0</v>
          </cell>
          <cell r="AP190">
            <v>3015933.87</v>
          </cell>
          <cell r="AQ190">
            <v>27829529785.425014</v>
          </cell>
          <cell r="AR190" t="str">
            <v xml:space="preserve"> </v>
          </cell>
          <cell r="AS190">
            <v>0</v>
          </cell>
          <cell r="AT190">
            <v>3148109.81</v>
          </cell>
          <cell r="AU190">
            <v>28213360117.220024</v>
          </cell>
          <cell r="AV190" t="str">
            <v xml:space="preserve"> </v>
          </cell>
          <cell r="AW190">
            <v>0</v>
          </cell>
          <cell r="AX190">
            <v>3141713.81</v>
          </cell>
          <cell r="AY190">
            <v>28118338599.500011</v>
          </cell>
        </row>
        <row r="192">
          <cell r="D192">
            <v>0</v>
          </cell>
          <cell r="E192">
            <v>0</v>
          </cell>
          <cell r="F192">
            <v>2103999.87</v>
          </cell>
          <cell r="G192">
            <v>18656166847.290001</v>
          </cell>
          <cell r="H192">
            <v>0</v>
          </cell>
          <cell r="I192">
            <v>0</v>
          </cell>
          <cell r="J192">
            <v>2477025.7999999998</v>
          </cell>
          <cell r="K192">
            <v>21998466129.800003</v>
          </cell>
          <cell r="L192">
            <v>0</v>
          </cell>
          <cell r="M192">
            <v>0</v>
          </cell>
          <cell r="N192">
            <v>2363476.9300000002</v>
          </cell>
          <cell r="O192">
            <v>21039671630.860001</v>
          </cell>
          <cell r="P192">
            <v>0</v>
          </cell>
          <cell r="Q192">
            <v>0</v>
          </cell>
          <cell r="R192">
            <v>2203658.92</v>
          </cell>
          <cell r="S192">
            <v>19117842960.459999</v>
          </cell>
          <cell r="T192">
            <v>0</v>
          </cell>
          <cell r="U192">
            <v>0</v>
          </cell>
          <cell r="V192">
            <v>4547396.75</v>
          </cell>
          <cell r="W192">
            <v>37913920403.125</v>
          </cell>
          <cell r="X192">
            <v>0</v>
          </cell>
          <cell r="Y192">
            <v>0</v>
          </cell>
          <cell r="Z192">
            <v>2401885.0699999998</v>
          </cell>
          <cell r="AA192">
            <v>19851580103.549999</v>
          </cell>
          <cell r="AB192">
            <v>0</v>
          </cell>
          <cell r="AC192">
            <v>0</v>
          </cell>
          <cell r="AD192">
            <v>1275421.98</v>
          </cell>
          <cell r="AE192">
            <v>11536191809.099998</v>
          </cell>
          <cell r="AF192">
            <v>0</v>
          </cell>
          <cell r="AG192">
            <v>0</v>
          </cell>
          <cell r="AH192">
            <v>1836304.0699999998</v>
          </cell>
          <cell r="AI192">
            <v>16229255370.66</v>
          </cell>
          <cell r="AJ192">
            <v>0</v>
          </cell>
          <cell r="AK192">
            <v>0</v>
          </cell>
          <cell r="AL192">
            <v>1053082.21</v>
          </cell>
          <cell r="AM192">
            <v>9458784410.2199993</v>
          </cell>
          <cell r="AN192">
            <v>0</v>
          </cell>
          <cell r="AO192">
            <v>0</v>
          </cell>
          <cell r="AP192">
            <v>1110676.21</v>
          </cell>
          <cell r="AQ192">
            <v>10248764727.775002</v>
          </cell>
          <cell r="AR192">
            <v>0</v>
          </cell>
          <cell r="AS192">
            <v>0</v>
          </cell>
          <cell r="AT192">
            <v>1677080.22</v>
          </cell>
          <cell r="AU192">
            <v>15029992931.639999</v>
          </cell>
          <cell r="AV192">
            <v>0</v>
          </cell>
          <cell r="AW192">
            <v>0</v>
          </cell>
          <cell r="AX192">
            <v>1924007.83</v>
          </cell>
          <cell r="AY192">
            <v>17219870078.5</v>
          </cell>
        </row>
        <row r="194">
          <cell r="D194">
            <v>0</v>
          </cell>
          <cell r="E194">
            <v>0</v>
          </cell>
          <cell r="F194">
            <v>267793.26</v>
          </cell>
          <cell r="G194">
            <v>2374522836.4200001</v>
          </cell>
          <cell r="H194">
            <v>0</v>
          </cell>
          <cell r="I194">
            <v>0</v>
          </cell>
          <cell r="J194">
            <v>314532.5</v>
          </cell>
          <cell r="K194">
            <v>2793363132.5</v>
          </cell>
          <cell r="L194">
            <v>0</v>
          </cell>
          <cell r="M194">
            <v>0</v>
          </cell>
          <cell r="N194">
            <v>327734.46999999997</v>
          </cell>
          <cell r="O194">
            <v>2917492251.9399996</v>
          </cell>
          <cell r="P194">
            <v>0</v>
          </cell>
          <cell r="Q194">
            <v>0</v>
          </cell>
          <cell r="R194">
            <v>299680.65000000002</v>
          </cell>
          <cell r="S194">
            <v>2599879479.0750003</v>
          </cell>
          <cell r="T194">
            <v>0</v>
          </cell>
          <cell r="U194">
            <v>0</v>
          </cell>
          <cell r="V194">
            <v>449448.17</v>
          </cell>
          <cell r="W194">
            <v>3747274117.3750005</v>
          </cell>
          <cell r="X194">
            <v>0</v>
          </cell>
          <cell r="Y194">
            <v>0</v>
          </cell>
          <cell r="Z194">
            <v>441755.39</v>
          </cell>
          <cell r="AA194">
            <v>3651108298.3499999</v>
          </cell>
          <cell r="AB194">
            <v>0</v>
          </cell>
          <cell r="AC194">
            <v>0</v>
          </cell>
          <cell r="AD194">
            <v>364808.29</v>
          </cell>
          <cell r="AE194">
            <v>3299690983.0499997</v>
          </cell>
          <cell r="AF194">
            <v>0</v>
          </cell>
          <cell r="AG194">
            <v>0</v>
          </cell>
          <cell r="AH194">
            <v>398241.41</v>
          </cell>
          <cell r="AI194">
            <v>3519657581.5799999</v>
          </cell>
          <cell r="AJ194">
            <v>0</v>
          </cell>
          <cell r="AK194">
            <v>0</v>
          </cell>
          <cell r="AL194">
            <v>161767.70000000001</v>
          </cell>
          <cell r="AM194">
            <v>1452997481.4000001</v>
          </cell>
          <cell r="AN194">
            <v>0</v>
          </cell>
          <cell r="AO194">
            <v>0</v>
          </cell>
          <cell r="AP194">
            <v>65527.72</v>
          </cell>
          <cell r="AQ194">
            <v>604657036.29999995</v>
          </cell>
          <cell r="AR194">
            <v>0</v>
          </cell>
          <cell r="AS194">
            <v>0</v>
          </cell>
          <cell r="AT194">
            <v>552558.59</v>
          </cell>
          <cell r="AU194">
            <v>4952030083.5799999</v>
          </cell>
          <cell r="AV194">
            <v>0</v>
          </cell>
          <cell r="AW194">
            <v>0</v>
          </cell>
          <cell r="AX194">
            <v>220032.05</v>
          </cell>
          <cell r="AY194">
            <v>1969286847.5</v>
          </cell>
        </row>
        <row r="195">
          <cell r="D195">
            <v>0</v>
          </cell>
          <cell r="E195">
            <v>0</v>
          </cell>
          <cell r="F195">
            <v>142472.49</v>
          </cell>
          <cell r="G195">
            <v>1263303568.8299999</v>
          </cell>
          <cell r="H195">
            <v>0</v>
          </cell>
          <cell r="I195">
            <v>0</v>
          </cell>
          <cell r="J195">
            <v>155578.96</v>
          </cell>
          <cell r="K195">
            <v>1381696743.76</v>
          </cell>
          <cell r="L195">
            <v>0</v>
          </cell>
          <cell r="M195">
            <v>0</v>
          </cell>
          <cell r="N195">
            <v>98108.32</v>
          </cell>
          <cell r="O195">
            <v>873360264.6400001</v>
          </cell>
          <cell r="P195">
            <v>0</v>
          </cell>
          <cell r="Q195">
            <v>0</v>
          </cell>
          <cell r="R195">
            <v>180095</v>
          </cell>
          <cell r="S195">
            <v>1562414172.5</v>
          </cell>
          <cell r="T195">
            <v>0</v>
          </cell>
          <cell r="U195">
            <v>0</v>
          </cell>
          <cell r="V195">
            <v>2328427.54</v>
          </cell>
          <cell r="W195">
            <v>19413264614.75</v>
          </cell>
          <cell r="X195">
            <v>0</v>
          </cell>
          <cell r="Y195">
            <v>0</v>
          </cell>
          <cell r="Z195">
            <v>228369.71</v>
          </cell>
          <cell r="AA195">
            <v>1887475653.1500001</v>
          </cell>
          <cell r="AB195">
            <v>0</v>
          </cell>
          <cell r="AC195">
            <v>0</v>
          </cell>
          <cell r="AD195">
            <v>215586.96</v>
          </cell>
          <cell r="AE195">
            <v>1949984053.1999998</v>
          </cell>
          <cell r="AF195">
            <v>0</v>
          </cell>
          <cell r="AG195">
            <v>0</v>
          </cell>
          <cell r="AH195">
            <v>133851.16</v>
          </cell>
          <cell r="AI195">
            <v>1182976552.0799999</v>
          </cell>
          <cell r="AJ195">
            <v>0</v>
          </cell>
          <cell r="AK195">
            <v>0</v>
          </cell>
          <cell r="AL195">
            <v>68734.75</v>
          </cell>
          <cell r="AM195">
            <v>617375524.5</v>
          </cell>
          <cell r="AN195">
            <v>0</v>
          </cell>
          <cell r="AO195">
            <v>0</v>
          </cell>
          <cell r="AP195">
            <v>71284.820000000007</v>
          </cell>
          <cell r="AQ195">
            <v>657780676.55000007</v>
          </cell>
          <cell r="AR195">
            <v>0</v>
          </cell>
          <cell r="AS195">
            <v>0</v>
          </cell>
          <cell r="AT195">
            <v>94582.01</v>
          </cell>
          <cell r="AU195">
            <v>847643973.62</v>
          </cell>
          <cell r="AV195">
            <v>0</v>
          </cell>
          <cell r="AW195">
            <v>0</v>
          </cell>
          <cell r="AX195">
            <v>87253.67</v>
          </cell>
          <cell r="AY195">
            <v>780920346.5</v>
          </cell>
        </row>
        <row r="196">
          <cell r="D196">
            <v>0</v>
          </cell>
          <cell r="E196">
            <v>0</v>
          </cell>
          <cell r="F196">
            <v>1693734.12</v>
          </cell>
          <cell r="G196">
            <v>15018340442.040001</v>
          </cell>
          <cell r="H196">
            <v>0</v>
          </cell>
          <cell r="I196">
            <v>0</v>
          </cell>
          <cell r="J196">
            <v>2006914.34</v>
          </cell>
          <cell r="K196">
            <v>17823406253.540001</v>
          </cell>
          <cell r="L196">
            <v>0</v>
          </cell>
          <cell r="M196">
            <v>0</v>
          </cell>
          <cell r="N196">
            <v>1937634.14</v>
          </cell>
          <cell r="O196">
            <v>17248819114.280003</v>
          </cell>
          <cell r="P196">
            <v>0</v>
          </cell>
          <cell r="Q196">
            <v>0</v>
          </cell>
          <cell r="R196">
            <v>1723883.27</v>
          </cell>
          <cell r="S196">
            <v>14955549308.885</v>
          </cell>
          <cell r="T196">
            <v>0</v>
          </cell>
          <cell r="U196">
            <v>0</v>
          </cell>
          <cell r="V196">
            <v>1769521.04</v>
          </cell>
          <cell r="W196">
            <v>14753381671</v>
          </cell>
          <cell r="X196">
            <v>0</v>
          </cell>
          <cell r="Y196">
            <v>0</v>
          </cell>
          <cell r="Z196">
            <v>1731759.97</v>
          </cell>
          <cell r="AA196">
            <v>14312996152.049999</v>
          </cell>
          <cell r="AB196">
            <v>0</v>
          </cell>
          <cell r="AC196">
            <v>0</v>
          </cell>
          <cell r="AD196">
            <v>695026.73</v>
          </cell>
          <cell r="AE196">
            <v>6286516772.8499994</v>
          </cell>
          <cell r="AF196">
            <v>0</v>
          </cell>
          <cell r="AG196">
            <v>0</v>
          </cell>
          <cell r="AH196">
            <v>1304211.5</v>
          </cell>
          <cell r="AI196">
            <v>11526621237</v>
          </cell>
          <cell r="AJ196">
            <v>0</v>
          </cell>
          <cell r="AK196">
            <v>0</v>
          </cell>
          <cell r="AL196">
            <v>822579.76</v>
          </cell>
          <cell r="AM196">
            <v>7388411404.3199997</v>
          </cell>
          <cell r="AN196">
            <v>0</v>
          </cell>
          <cell r="AO196">
            <v>0</v>
          </cell>
          <cell r="AP196">
            <v>973863.67</v>
          </cell>
          <cell r="AQ196">
            <v>8986327014.9250011</v>
          </cell>
          <cell r="AR196">
            <v>0</v>
          </cell>
          <cell r="AS196">
            <v>0</v>
          </cell>
          <cell r="AT196">
            <v>1029939.62</v>
          </cell>
          <cell r="AU196">
            <v>9230318874.4400005</v>
          </cell>
          <cell r="AV196">
            <v>0</v>
          </cell>
          <cell r="AW196">
            <v>0</v>
          </cell>
          <cell r="AX196">
            <v>1616722.11</v>
          </cell>
          <cell r="AY196">
            <v>14469662884.499998</v>
          </cell>
        </row>
        <row r="198">
          <cell r="D198">
            <v>0</v>
          </cell>
          <cell r="E198">
            <v>0</v>
          </cell>
          <cell r="F198">
            <v>263526.09000000003</v>
          </cell>
          <cell r="G198">
            <v>2336685840.0300002</v>
          </cell>
          <cell r="H198">
            <v>0</v>
          </cell>
          <cell r="I198">
            <v>0</v>
          </cell>
          <cell r="J198">
            <v>212102.64</v>
          </cell>
          <cell r="K198">
            <v>1883683545.8399999</v>
          </cell>
          <cell r="L198">
            <v>0</v>
          </cell>
          <cell r="M198">
            <v>0</v>
          </cell>
          <cell r="N198">
            <v>247900.93</v>
          </cell>
          <cell r="O198">
            <v>2206814078.8600001</v>
          </cell>
          <cell r="P198">
            <v>0</v>
          </cell>
          <cell r="Q198">
            <v>0</v>
          </cell>
          <cell r="R198">
            <v>691166.64</v>
          </cell>
          <cell r="S198">
            <v>5996216185.3199997</v>
          </cell>
          <cell r="T198">
            <v>0</v>
          </cell>
          <cell r="U198">
            <v>0</v>
          </cell>
          <cell r="V198">
            <v>549973.93000000005</v>
          </cell>
          <cell r="W198">
            <v>4585407641.375</v>
          </cell>
          <cell r="X198">
            <v>0</v>
          </cell>
          <cell r="Y198">
            <v>0</v>
          </cell>
          <cell r="Z198">
            <v>420550.01</v>
          </cell>
          <cell r="AA198">
            <v>3475845832.6500001</v>
          </cell>
          <cell r="AB198">
            <v>0</v>
          </cell>
          <cell r="AC198">
            <v>0</v>
          </cell>
          <cell r="AD198">
            <v>62530.62</v>
          </cell>
          <cell r="AE198">
            <v>565589457.89999998</v>
          </cell>
          <cell r="AF198">
            <v>0</v>
          </cell>
          <cell r="AG198">
            <v>0</v>
          </cell>
          <cell r="AH198">
            <v>1559096.35</v>
          </cell>
          <cell r="AI198">
            <v>13779293541.300001</v>
          </cell>
          <cell r="AJ198">
            <v>0</v>
          </cell>
          <cell r="AK198">
            <v>0</v>
          </cell>
          <cell r="AL198">
            <v>119743.95</v>
          </cell>
          <cell r="AM198">
            <v>1075540158.8999999</v>
          </cell>
          <cell r="AN198">
            <v>0</v>
          </cell>
          <cell r="AO198">
            <v>0</v>
          </cell>
          <cell r="AP198">
            <v>194017.03</v>
          </cell>
          <cell r="AQ198">
            <v>1790292144.325</v>
          </cell>
          <cell r="AR198">
            <v>0</v>
          </cell>
          <cell r="AS198">
            <v>0</v>
          </cell>
          <cell r="AT198">
            <v>322096.5</v>
          </cell>
          <cell r="AU198">
            <v>2886628833</v>
          </cell>
          <cell r="AV198">
            <v>0</v>
          </cell>
          <cell r="AW198">
            <v>0</v>
          </cell>
          <cell r="AX198">
            <v>1094225.06</v>
          </cell>
          <cell r="AY198">
            <v>9793314287</v>
          </cell>
        </row>
        <row r="200"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</row>
        <row r="202">
          <cell r="D202">
            <v>0</v>
          </cell>
          <cell r="E202">
            <v>0</v>
          </cell>
          <cell r="F202">
            <v>263526.09000000003</v>
          </cell>
          <cell r="G202">
            <v>2336685840.0300002</v>
          </cell>
          <cell r="H202">
            <v>0</v>
          </cell>
          <cell r="I202">
            <v>0</v>
          </cell>
          <cell r="J202">
            <v>212102.64</v>
          </cell>
          <cell r="K202">
            <v>1883683545.8399999</v>
          </cell>
          <cell r="L202">
            <v>0</v>
          </cell>
          <cell r="M202">
            <v>0</v>
          </cell>
          <cell r="N202">
            <v>247900.93</v>
          </cell>
          <cell r="O202">
            <v>2206814078.8600001</v>
          </cell>
          <cell r="P202">
            <v>0</v>
          </cell>
          <cell r="Q202">
            <v>0</v>
          </cell>
          <cell r="R202">
            <v>691166.64</v>
          </cell>
          <cell r="S202">
            <v>5996216185.3199997</v>
          </cell>
          <cell r="T202">
            <v>0</v>
          </cell>
          <cell r="U202">
            <v>0</v>
          </cell>
          <cell r="V202">
            <v>549973.93000000005</v>
          </cell>
          <cell r="W202">
            <v>4585407641.375</v>
          </cell>
          <cell r="X202">
            <v>0</v>
          </cell>
          <cell r="Y202">
            <v>0</v>
          </cell>
          <cell r="Z202">
            <v>420550.01</v>
          </cell>
          <cell r="AA202">
            <v>3475845832.6500001</v>
          </cell>
          <cell r="AB202">
            <v>0</v>
          </cell>
          <cell r="AC202">
            <v>0</v>
          </cell>
          <cell r="AD202">
            <v>62530.62</v>
          </cell>
          <cell r="AE202">
            <v>565589457.89999998</v>
          </cell>
          <cell r="AF202">
            <v>0</v>
          </cell>
          <cell r="AG202">
            <v>0</v>
          </cell>
          <cell r="AH202">
            <v>1559096.35</v>
          </cell>
          <cell r="AI202">
            <v>13779293541.300001</v>
          </cell>
          <cell r="AJ202">
            <v>0</v>
          </cell>
          <cell r="AK202">
            <v>0</v>
          </cell>
          <cell r="AL202">
            <v>119743.95</v>
          </cell>
          <cell r="AM202">
            <v>1075540158.8999999</v>
          </cell>
          <cell r="AN202">
            <v>0</v>
          </cell>
          <cell r="AO202">
            <v>0</v>
          </cell>
          <cell r="AP202">
            <v>194017.03</v>
          </cell>
          <cell r="AQ202">
            <v>1790292144.325</v>
          </cell>
          <cell r="AR202">
            <v>0</v>
          </cell>
          <cell r="AS202">
            <v>0</v>
          </cell>
          <cell r="AT202">
            <v>322096.5</v>
          </cell>
          <cell r="AU202">
            <v>2886628833</v>
          </cell>
          <cell r="AV202">
            <v>0</v>
          </cell>
          <cell r="AW202">
            <v>0</v>
          </cell>
          <cell r="AX202">
            <v>1094225.06</v>
          </cell>
          <cell r="AY202">
            <v>9793314287</v>
          </cell>
        </row>
        <row r="204">
          <cell r="D204">
            <v>2459.73</v>
          </cell>
          <cell r="E204">
            <v>21810425.91</v>
          </cell>
          <cell r="F204">
            <v>116052555.34</v>
          </cell>
          <cell r="G204">
            <v>1029038008199.78</v>
          </cell>
          <cell r="H204">
            <v>8057.99</v>
          </cell>
          <cell r="I204">
            <v>71563009.189999998</v>
          </cell>
          <cell r="J204">
            <v>120606405.14</v>
          </cell>
          <cell r="K204">
            <v>1071105484048.3401</v>
          </cell>
          <cell r="L204">
            <v>6527.36</v>
          </cell>
          <cell r="M204">
            <v>58106558.719999999</v>
          </cell>
          <cell r="N204">
            <v>130397876.87</v>
          </cell>
          <cell r="O204">
            <v>1160801899896.7397</v>
          </cell>
          <cell r="P204">
            <v>6203.72</v>
          </cell>
          <cell r="Q204">
            <v>53820372.859999999</v>
          </cell>
          <cell r="R204">
            <v>145119989.23999998</v>
          </cell>
          <cell r="S204">
            <v>1258988466651.6201</v>
          </cell>
          <cell r="T204">
            <v>48.36</v>
          </cell>
          <cell r="U204">
            <v>403201.5</v>
          </cell>
          <cell r="V204">
            <v>149221547.46000004</v>
          </cell>
          <cell r="W204">
            <v>1244134651947.75</v>
          </cell>
          <cell r="X204">
            <v>3478.92</v>
          </cell>
          <cell r="Y204">
            <v>28753273.800000001</v>
          </cell>
          <cell r="Z204">
            <v>145521773.80999997</v>
          </cell>
          <cell r="AA204">
            <v>1202737460539.6499</v>
          </cell>
          <cell r="AB204">
            <v>6774.82</v>
          </cell>
          <cell r="AC204">
            <v>61278246.899999999</v>
          </cell>
          <cell r="AD204">
            <v>118341726.08000003</v>
          </cell>
          <cell r="AE204">
            <v>1070400912393.6001</v>
          </cell>
          <cell r="AF204">
            <v>6934.96</v>
          </cell>
          <cell r="AG204">
            <v>61291176.479999997</v>
          </cell>
          <cell r="AH204">
            <v>111064571.57999998</v>
          </cell>
          <cell r="AI204">
            <v>981588683624.04004</v>
          </cell>
          <cell r="AJ204">
            <v>5678.09</v>
          </cell>
          <cell r="AK204">
            <v>51000604.380000003</v>
          </cell>
          <cell r="AL204">
            <v>108680375.05</v>
          </cell>
          <cell r="AM204">
            <v>976167128699.1001</v>
          </cell>
          <cell r="AN204">
            <v>1800.73</v>
          </cell>
          <cell r="AO204">
            <v>16616236.074999999</v>
          </cell>
          <cell r="AP204">
            <v>111952923.05000001</v>
          </cell>
          <cell r="AQ204">
            <v>1033045597443.8751</v>
          </cell>
          <cell r="AR204">
            <v>5963.49</v>
          </cell>
          <cell r="AS204">
            <v>53444797.379999995</v>
          </cell>
          <cell r="AT204">
            <v>121238658.27</v>
          </cell>
          <cell r="AU204">
            <v>1086540855415.7401</v>
          </cell>
          <cell r="AV204">
            <v>3047.97</v>
          </cell>
          <cell r="AW204">
            <v>27279331.5</v>
          </cell>
          <cell r="AX204">
            <v>121182230.38</v>
          </cell>
          <cell r="AY204">
            <v>1084580961901</v>
          </cell>
        </row>
        <row r="206">
          <cell r="D206">
            <v>116055015.07000001</v>
          </cell>
          <cell r="E206">
            <v>1029059818625.6901</v>
          </cell>
          <cell r="H206">
            <v>120614463.13</v>
          </cell>
          <cell r="I206">
            <v>1071177047057.53</v>
          </cell>
          <cell r="L206">
            <v>130404404.23</v>
          </cell>
          <cell r="M206">
            <v>1160860006455.4597</v>
          </cell>
          <cell r="P206">
            <v>145126192.95999998</v>
          </cell>
          <cell r="Q206">
            <v>1259042287024.4802</v>
          </cell>
          <cell r="T206">
            <v>149221595.82000005</v>
          </cell>
          <cell r="U206">
            <v>1244135055149.25</v>
          </cell>
          <cell r="X206">
            <v>145525252.72999996</v>
          </cell>
          <cell r="Y206">
            <v>1202766213813.45</v>
          </cell>
          <cell r="AB206">
            <v>118348500.90000002</v>
          </cell>
          <cell r="AC206">
            <v>1070462190640.5001</v>
          </cell>
          <cell r="AF206">
            <v>111071506.53999998</v>
          </cell>
          <cell r="AG206">
            <v>981649974800.52002</v>
          </cell>
          <cell r="AJ206">
            <v>108686053.14</v>
          </cell>
          <cell r="AK206">
            <v>976218129303.4801</v>
          </cell>
          <cell r="AN206">
            <v>111954723.78000002</v>
          </cell>
          <cell r="AO206">
            <v>1033062213679.9501</v>
          </cell>
          <cell r="AR206">
            <v>121244621.75999999</v>
          </cell>
          <cell r="AS206">
            <v>1086594300213.1201</v>
          </cell>
          <cell r="AV206">
            <v>121185278.34999999</v>
          </cell>
          <cell r="AW206">
            <v>1084608241232.5</v>
          </cell>
        </row>
        <row r="207">
          <cell r="D207">
            <v>0</v>
          </cell>
          <cell r="E207">
            <v>0</v>
          </cell>
          <cell r="H207">
            <v>0</v>
          </cell>
          <cell r="I207">
            <v>0</v>
          </cell>
          <cell r="L207">
            <v>0</v>
          </cell>
          <cell r="M207">
            <v>0</v>
          </cell>
          <cell r="P207">
            <v>0</v>
          </cell>
          <cell r="Q207">
            <v>0</v>
          </cell>
          <cell r="T207">
            <v>0</v>
          </cell>
          <cell r="U207">
            <v>0</v>
          </cell>
          <cell r="X207">
            <v>0</v>
          </cell>
          <cell r="Y207">
            <v>0</v>
          </cell>
          <cell r="AB207">
            <v>0</v>
          </cell>
          <cell r="AC207">
            <v>0</v>
          </cell>
          <cell r="AF207">
            <v>0</v>
          </cell>
          <cell r="AG207">
            <v>0</v>
          </cell>
          <cell r="AJ207">
            <v>0</v>
          </cell>
          <cell r="AK207">
            <v>0</v>
          </cell>
          <cell r="AN207">
            <v>0</v>
          </cell>
          <cell r="AO207">
            <v>0</v>
          </cell>
          <cell r="AR207">
            <v>0</v>
          </cell>
          <cell r="AS207">
            <v>0</v>
          </cell>
          <cell r="AV207">
            <v>0</v>
          </cell>
          <cell r="AW207">
            <v>0</v>
          </cell>
        </row>
        <row r="211">
          <cell r="D211">
            <v>0</v>
          </cell>
          <cell r="E211">
            <v>0</v>
          </cell>
          <cell r="F211">
            <v>19198502.350000001</v>
          </cell>
          <cell r="G211">
            <v>170233120337.45001</v>
          </cell>
          <cell r="H211">
            <v>0</v>
          </cell>
          <cell r="I211">
            <v>0</v>
          </cell>
          <cell r="J211">
            <v>19628495.449999999</v>
          </cell>
          <cell r="K211">
            <v>174320668091.44998</v>
          </cell>
          <cell r="L211">
            <v>0</v>
          </cell>
          <cell r="M211">
            <v>0</v>
          </cell>
          <cell r="N211">
            <v>20318670.899999999</v>
          </cell>
          <cell r="O211">
            <v>180876808351.79999</v>
          </cell>
          <cell r="P211">
            <v>0</v>
          </cell>
          <cell r="Q211">
            <v>0</v>
          </cell>
          <cell r="R211">
            <v>22307322.210000001</v>
          </cell>
          <cell r="S211">
            <v>193527173832.85501</v>
          </cell>
          <cell r="T211">
            <v>11994</v>
          </cell>
          <cell r="U211">
            <v>99999975</v>
          </cell>
          <cell r="V211">
            <v>28752823.960000001</v>
          </cell>
          <cell r="W211">
            <v>239726669766.5</v>
          </cell>
          <cell r="X211">
            <v>0</v>
          </cell>
          <cell r="Y211">
            <v>0</v>
          </cell>
          <cell r="Z211">
            <v>20852690.309999999</v>
          </cell>
          <cell r="AA211">
            <v>172347485412.14999</v>
          </cell>
          <cell r="AB211">
            <v>0</v>
          </cell>
          <cell r="AC211">
            <v>0</v>
          </cell>
          <cell r="AD211">
            <v>36137952.509999998</v>
          </cell>
          <cell r="AE211">
            <v>326867780452.94995</v>
          </cell>
          <cell r="AF211">
            <v>0</v>
          </cell>
          <cell r="AG211">
            <v>0</v>
          </cell>
          <cell r="AH211">
            <v>11933348.800000001</v>
          </cell>
          <cell r="AI211">
            <v>105466936694.40001</v>
          </cell>
          <cell r="AJ211">
            <v>0</v>
          </cell>
          <cell r="AK211">
            <v>0</v>
          </cell>
          <cell r="AL211">
            <v>16859413.98</v>
          </cell>
          <cell r="AM211">
            <v>151431256368.36002</v>
          </cell>
          <cell r="AN211">
            <v>0</v>
          </cell>
          <cell r="AO211">
            <v>0</v>
          </cell>
          <cell r="AP211">
            <v>16648331.5</v>
          </cell>
          <cell r="AQ211">
            <v>153622478916.25</v>
          </cell>
          <cell r="AR211">
            <v>0</v>
          </cell>
          <cell r="AS211">
            <v>0</v>
          </cell>
          <cell r="AT211">
            <v>21828553.100000001</v>
          </cell>
          <cell r="AU211">
            <v>195627492882.20001</v>
          </cell>
          <cell r="AV211">
            <v>0</v>
          </cell>
          <cell r="AW211">
            <v>0</v>
          </cell>
          <cell r="AX211">
            <v>22011060.59</v>
          </cell>
          <cell r="AY211">
            <v>196998992280.5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</row>
        <row r="214">
          <cell r="D214">
            <v>0</v>
          </cell>
          <cell r="E214">
            <v>0</v>
          </cell>
          <cell r="F214">
            <v>19198502.350000001</v>
          </cell>
          <cell r="G214">
            <v>170233120337.45001</v>
          </cell>
          <cell r="H214">
            <v>0</v>
          </cell>
          <cell r="I214">
            <v>0</v>
          </cell>
          <cell r="J214">
            <v>19628495.449999999</v>
          </cell>
          <cell r="K214">
            <v>174320668091.44998</v>
          </cell>
          <cell r="L214">
            <v>0</v>
          </cell>
          <cell r="M214">
            <v>0</v>
          </cell>
          <cell r="N214">
            <v>20318670.899999999</v>
          </cell>
          <cell r="O214">
            <v>180876808351.79999</v>
          </cell>
          <cell r="P214">
            <v>0</v>
          </cell>
          <cell r="Q214">
            <v>0</v>
          </cell>
          <cell r="R214">
            <v>22307322.210000001</v>
          </cell>
          <cell r="S214">
            <v>193527173832.85501</v>
          </cell>
          <cell r="T214">
            <v>11994</v>
          </cell>
          <cell r="U214">
            <v>99999975</v>
          </cell>
          <cell r="V214">
            <v>28752823.960000001</v>
          </cell>
          <cell r="W214">
            <v>239726669766.5</v>
          </cell>
          <cell r="X214">
            <v>0</v>
          </cell>
          <cell r="Y214">
            <v>0</v>
          </cell>
          <cell r="Z214">
            <v>20852690.309999999</v>
          </cell>
          <cell r="AA214">
            <v>172347485412.14999</v>
          </cell>
          <cell r="AB214">
            <v>0</v>
          </cell>
          <cell r="AC214">
            <v>0</v>
          </cell>
          <cell r="AD214">
            <v>36137952.509999998</v>
          </cell>
          <cell r="AE214">
            <v>326867780452.94995</v>
          </cell>
          <cell r="AF214">
            <v>0</v>
          </cell>
          <cell r="AG214">
            <v>0</v>
          </cell>
          <cell r="AH214">
            <v>11933348.800000001</v>
          </cell>
          <cell r="AI214">
            <v>105466936694.40001</v>
          </cell>
          <cell r="AJ214">
            <v>0</v>
          </cell>
          <cell r="AK214">
            <v>0</v>
          </cell>
          <cell r="AL214">
            <v>16859413.98</v>
          </cell>
          <cell r="AM214">
            <v>151431256368.36002</v>
          </cell>
          <cell r="AN214">
            <v>0</v>
          </cell>
          <cell r="AO214">
            <v>0</v>
          </cell>
          <cell r="AP214">
            <v>16648331.5</v>
          </cell>
          <cell r="AQ214">
            <v>153622478916.25</v>
          </cell>
          <cell r="AR214">
            <v>0</v>
          </cell>
          <cell r="AS214">
            <v>0</v>
          </cell>
          <cell r="AT214">
            <v>21828553.100000001</v>
          </cell>
          <cell r="AU214">
            <v>195627492882.20001</v>
          </cell>
          <cell r="AV214">
            <v>0</v>
          </cell>
          <cell r="AW214">
            <v>0</v>
          </cell>
          <cell r="AX214">
            <v>22011060.59</v>
          </cell>
          <cell r="AY214">
            <v>196998992280.5</v>
          </cell>
        </row>
        <row r="216">
          <cell r="D216">
            <v>0</v>
          </cell>
          <cell r="E216">
            <v>0</v>
          </cell>
          <cell r="F216">
            <v>32880387.18</v>
          </cell>
          <cell r="G216">
            <v>291550393125.06</v>
          </cell>
          <cell r="H216">
            <v>0</v>
          </cell>
          <cell r="I216">
            <v>0</v>
          </cell>
          <cell r="J216">
            <v>31911428.050000004</v>
          </cell>
          <cell r="K216">
            <v>283405392512.04999</v>
          </cell>
          <cell r="L216">
            <v>0</v>
          </cell>
          <cell r="M216">
            <v>0</v>
          </cell>
          <cell r="N216">
            <v>35671136.399999999</v>
          </cell>
          <cell r="O216">
            <v>317544456232.79999</v>
          </cell>
          <cell r="P216">
            <v>0</v>
          </cell>
          <cell r="Q216">
            <v>0</v>
          </cell>
          <cell r="R216">
            <v>43613379.409999996</v>
          </cell>
          <cell r="S216">
            <v>378367873071.45502</v>
          </cell>
          <cell r="T216">
            <v>0</v>
          </cell>
          <cell r="U216">
            <v>0</v>
          </cell>
          <cell r="V216">
            <v>54488008.579999998</v>
          </cell>
          <cell r="W216">
            <v>454293771535.75</v>
          </cell>
          <cell r="X216">
            <v>0</v>
          </cell>
          <cell r="Y216">
            <v>0</v>
          </cell>
          <cell r="Z216">
            <v>42532743.350000009</v>
          </cell>
          <cell r="AA216">
            <v>351533123787.75006</v>
          </cell>
          <cell r="AB216">
            <v>0</v>
          </cell>
          <cell r="AC216">
            <v>0</v>
          </cell>
          <cell r="AD216">
            <v>52579009.719999999</v>
          </cell>
          <cell r="AE216">
            <v>475577142917.39996</v>
          </cell>
          <cell r="AF216">
            <v>0</v>
          </cell>
          <cell r="AG216">
            <v>0</v>
          </cell>
          <cell r="AH216">
            <v>32978424.300000001</v>
          </cell>
          <cell r="AI216">
            <v>291463313963.40002</v>
          </cell>
          <cell r="AJ216">
            <v>0</v>
          </cell>
          <cell r="AK216">
            <v>0</v>
          </cell>
          <cell r="AL216">
            <v>39818533.510000005</v>
          </cell>
          <cell r="AM216">
            <v>357650067986.82001</v>
          </cell>
          <cell r="AN216">
            <v>0</v>
          </cell>
          <cell r="AO216">
            <v>0</v>
          </cell>
          <cell r="AP216">
            <v>38972980.449999996</v>
          </cell>
          <cell r="AQ216">
            <v>359623177102.375</v>
          </cell>
          <cell r="AR216">
            <v>0</v>
          </cell>
          <cell r="AS216">
            <v>0</v>
          </cell>
          <cell r="AT216">
            <v>39838790.550000004</v>
          </cell>
          <cell r="AU216">
            <v>357035240909.09998</v>
          </cell>
          <cell r="AV216">
            <v>0</v>
          </cell>
          <cell r="AW216">
            <v>0</v>
          </cell>
          <cell r="AX216">
            <v>36109503.039999999</v>
          </cell>
          <cell r="AY216">
            <v>323180052208</v>
          </cell>
        </row>
        <row r="218"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</row>
        <row r="219">
          <cell r="D219">
            <v>0</v>
          </cell>
          <cell r="E219">
            <v>0</v>
          </cell>
          <cell r="F219">
            <v>79995.53</v>
          </cell>
          <cell r="G219">
            <v>709320364.50999999</v>
          </cell>
          <cell r="H219">
            <v>0</v>
          </cell>
          <cell r="I219">
            <v>0</v>
          </cell>
          <cell r="J219">
            <v>79995.53</v>
          </cell>
          <cell r="K219">
            <v>710440301.92999995</v>
          </cell>
          <cell r="L219">
            <v>0</v>
          </cell>
          <cell r="M219">
            <v>0</v>
          </cell>
          <cell r="N219">
            <v>79995.53</v>
          </cell>
          <cell r="O219">
            <v>712120208.05999994</v>
          </cell>
          <cell r="P219">
            <v>0</v>
          </cell>
          <cell r="Q219">
            <v>0</v>
          </cell>
          <cell r="R219">
            <v>79995.53</v>
          </cell>
          <cell r="S219">
            <v>694001220.51499999</v>
          </cell>
          <cell r="T219">
            <v>0</v>
          </cell>
          <cell r="U219">
            <v>0</v>
          </cell>
          <cell r="V219">
            <v>79995.53</v>
          </cell>
          <cell r="W219">
            <v>666962731.375</v>
          </cell>
          <cell r="X219">
            <v>0</v>
          </cell>
          <cell r="Y219">
            <v>0</v>
          </cell>
          <cell r="Z219">
            <v>79995.53</v>
          </cell>
          <cell r="AA219">
            <v>661163055.45000005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79995.53</v>
          </cell>
          <cell r="AI219">
            <v>707000494.13999999</v>
          </cell>
          <cell r="AJ219">
            <v>0</v>
          </cell>
          <cell r="AK219">
            <v>0</v>
          </cell>
          <cell r="AL219">
            <v>79995.53</v>
          </cell>
          <cell r="AM219">
            <v>718519850.46000004</v>
          </cell>
          <cell r="AN219">
            <v>0</v>
          </cell>
          <cell r="AO219">
            <v>0</v>
          </cell>
          <cell r="AP219">
            <v>79995.53</v>
          </cell>
          <cell r="AQ219">
            <v>738158753.07500005</v>
          </cell>
          <cell r="AR219">
            <v>0</v>
          </cell>
          <cell r="AS219">
            <v>0</v>
          </cell>
          <cell r="AT219">
            <v>79995.53</v>
          </cell>
          <cell r="AU219">
            <v>716919939.86000001</v>
          </cell>
          <cell r="AV219">
            <v>0</v>
          </cell>
          <cell r="AW219">
            <v>0</v>
          </cell>
          <cell r="AX219">
            <v>79995.53</v>
          </cell>
          <cell r="AY219">
            <v>715959993.5</v>
          </cell>
        </row>
        <row r="220">
          <cell r="D220">
            <v>0</v>
          </cell>
          <cell r="E220">
            <v>0</v>
          </cell>
          <cell r="F220">
            <v>19429442.920000002</v>
          </cell>
          <cell r="G220">
            <v>172280870371.64001</v>
          </cell>
          <cell r="H220">
            <v>0</v>
          </cell>
          <cell r="I220">
            <v>0</v>
          </cell>
          <cell r="J220">
            <v>19658128.280000001</v>
          </cell>
          <cell r="K220">
            <v>174583837254.68002</v>
          </cell>
          <cell r="L220">
            <v>0</v>
          </cell>
          <cell r="M220">
            <v>0</v>
          </cell>
          <cell r="N220">
            <v>20373061.149999999</v>
          </cell>
          <cell r="O220">
            <v>181360990357.29999</v>
          </cell>
          <cell r="P220">
            <v>0</v>
          </cell>
          <cell r="Q220">
            <v>0</v>
          </cell>
          <cell r="R220">
            <v>22378569.899999999</v>
          </cell>
          <cell r="S220">
            <v>194145283167.44998</v>
          </cell>
          <cell r="T220">
            <v>0</v>
          </cell>
          <cell r="U220">
            <v>0</v>
          </cell>
          <cell r="V220">
            <v>28934049.779999997</v>
          </cell>
          <cell r="W220">
            <v>241237640040.74997</v>
          </cell>
          <cell r="X220">
            <v>0</v>
          </cell>
          <cell r="Y220">
            <v>0</v>
          </cell>
          <cell r="Z220">
            <v>20955804.370000001</v>
          </cell>
          <cell r="AA220">
            <v>173199723118.05002</v>
          </cell>
          <cell r="AB220">
            <v>0</v>
          </cell>
          <cell r="AC220">
            <v>0</v>
          </cell>
          <cell r="AD220">
            <v>36105532.619999997</v>
          </cell>
          <cell r="AE220">
            <v>326574542547.89996</v>
          </cell>
          <cell r="AF220">
            <v>0</v>
          </cell>
          <cell r="AG220">
            <v>0</v>
          </cell>
          <cell r="AH220">
            <v>12055858.380000001</v>
          </cell>
          <cell r="AI220">
            <v>106549676362.44</v>
          </cell>
          <cell r="AJ220">
            <v>0</v>
          </cell>
          <cell r="AK220">
            <v>0</v>
          </cell>
          <cell r="AL220">
            <v>16983645</v>
          </cell>
          <cell r="AM220">
            <v>152547099390</v>
          </cell>
          <cell r="AN220">
            <v>0</v>
          </cell>
          <cell r="AO220">
            <v>0</v>
          </cell>
          <cell r="AP220">
            <v>16749964.91</v>
          </cell>
          <cell r="AQ220">
            <v>154560301207.02499</v>
          </cell>
          <cell r="AR220">
            <v>0</v>
          </cell>
          <cell r="AS220">
            <v>0</v>
          </cell>
          <cell r="AT220">
            <v>21938846.460000001</v>
          </cell>
          <cell r="AU220">
            <v>196615941974.52002</v>
          </cell>
          <cell r="AV220">
            <v>0</v>
          </cell>
          <cell r="AW220">
            <v>0</v>
          </cell>
          <cell r="AX220">
            <v>22234842.379999999</v>
          </cell>
          <cell r="AY220">
            <v>199001839301</v>
          </cell>
        </row>
        <row r="221">
          <cell r="D221">
            <v>0</v>
          </cell>
          <cell r="E221">
            <v>0</v>
          </cell>
          <cell r="F221">
            <v>12967068.4</v>
          </cell>
          <cell r="G221">
            <v>114978995502.8</v>
          </cell>
          <cell r="H221">
            <v>0</v>
          </cell>
          <cell r="I221">
            <v>0</v>
          </cell>
          <cell r="J221">
            <v>11558620.640000001</v>
          </cell>
          <cell r="K221">
            <v>102652109903.84001</v>
          </cell>
          <cell r="L221">
            <v>0</v>
          </cell>
          <cell r="M221">
            <v>0</v>
          </cell>
          <cell r="N221">
            <v>14183249.82</v>
          </cell>
          <cell r="O221">
            <v>126259289897.64</v>
          </cell>
          <cell r="P221">
            <v>0</v>
          </cell>
          <cell r="Q221">
            <v>0</v>
          </cell>
          <cell r="R221">
            <v>20262701.120000001</v>
          </cell>
          <cell r="S221">
            <v>175789063566.56</v>
          </cell>
          <cell r="T221">
            <v>0</v>
          </cell>
          <cell r="U221">
            <v>0</v>
          </cell>
          <cell r="V221">
            <v>25285167.27</v>
          </cell>
          <cell r="W221">
            <v>210815082113.625</v>
          </cell>
          <cell r="X221">
            <v>0</v>
          </cell>
          <cell r="Y221">
            <v>0</v>
          </cell>
          <cell r="Z221">
            <v>21496943.450000003</v>
          </cell>
          <cell r="AA221">
            <v>177672237614.25003</v>
          </cell>
          <cell r="AB221">
            <v>0</v>
          </cell>
          <cell r="AC221">
            <v>0</v>
          </cell>
          <cell r="AD221">
            <v>15911186.24</v>
          </cell>
          <cell r="AE221">
            <v>143916679540.79999</v>
          </cell>
          <cell r="AF221">
            <v>0</v>
          </cell>
          <cell r="AG221">
            <v>0</v>
          </cell>
          <cell r="AH221">
            <v>20783367.09</v>
          </cell>
          <cell r="AI221">
            <v>183683398341.42001</v>
          </cell>
          <cell r="AJ221">
            <v>0</v>
          </cell>
          <cell r="AK221">
            <v>0</v>
          </cell>
          <cell r="AL221">
            <v>22041023.430000003</v>
          </cell>
          <cell r="AM221">
            <v>197972472448.26004</v>
          </cell>
          <cell r="AN221">
            <v>0</v>
          </cell>
          <cell r="AO221">
            <v>0</v>
          </cell>
          <cell r="AP221">
            <v>21507633.029999997</v>
          </cell>
          <cell r="AQ221">
            <v>198461683784.32498</v>
          </cell>
          <cell r="AR221">
            <v>0</v>
          </cell>
          <cell r="AS221">
            <v>0</v>
          </cell>
          <cell r="AT221">
            <v>17505678.520000003</v>
          </cell>
          <cell r="AU221">
            <v>156885890896.24002</v>
          </cell>
          <cell r="AV221">
            <v>0</v>
          </cell>
          <cell r="AW221">
            <v>0</v>
          </cell>
          <cell r="AX221">
            <v>13636729</v>
          </cell>
          <cell r="AY221">
            <v>122048724550</v>
          </cell>
        </row>
        <row r="222"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</row>
        <row r="223">
          <cell r="D223">
            <v>0</v>
          </cell>
          <cell r="E223">
            <v>0</v>
          </cell>
          <cell r="F223">
            <v>403880.33</v>
          </cell>
          <cell r="G223">
            <v>3581206886.1100001</v>
          </cell>
          <cell r="H223">
            <v>0</v>
          </cell>
          <cell r="I223">
            <v>0</v>
          </cell>
          <cell r="J223">
            <v>614683.6</v>
          </cell>
          <cell r="K223">
            <v>5459005051.5999994</v>
          </cell>
          <cell r="L223">
            <v>0</v>
          </cell>
          <cell r="M223">
            <v>0</v>
          </cell>
          <cell r="N223">
            <v>1034829.9</v>
          </cell>
          <cell r="O223">
            <v>9212055769.8000011</v>
          </cell>
          <cell r="P223">
            <v>0</v>
          </cell>
          <cell r="Q223">
            <v>0</v>
          </cell>
          <cell r="R223">
            <v>892112.86</v>
          </cell>
          <cell r="S223">
            <v>7739525116.9300003</v>
          </cell>
          <cell r="T223">
            <v>0</v>
          </cell>
          <cell r="U223">
            <v>0</v>
          </cell>
          <cell r="V223">
            <v>188796</v>
          </cell>
          <cell r="W223">
            <v>1574086650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562290.86</v>
          </cell>
          <cell r="AE223">
            <v>5085920828.6999998</v>
          </cell>
          <cell r="AF223">
            <v>0</v>
          </cell>
          <cell r="AG223">
            <v>0</v>
          </cell>
          <cell r="AH223">
            <v>59203.3</v>
          </cell>
          <cell r="AI223">
            <v>523238765.40000004</v>
          </cell>
          <cell r="AJ223">
            <v>0</v>
          </cell>
          <cell r="AK223">
            <v>0</v>
          </cell>
          <cell r="AL223">
            <v>713869.55</v>
          </cell>
          <cell r="AM223">
            <v>6411976298.1000004</v>
          </cell>
          <cell r="AN223">
            <v>0</v>
          </cell>
          <cell r="AO223">
            <v>0</v>
          </cell>
          <cell r="AP223">
            <v>635386.98</v>
          </cell>
          <cell r="AQ223">
            <v>5863033357.9499998</v>
          </cell>
          <cell r="AR223">
            <v>0</v>
          </cell>
          <cell r="AS223">
            <v>0</v>
          </cell>
          <cell r="AT223">
            <v>314270.03999999998</v>
          </cell>
          <cell r="AU223">
            <v>2816488098.48</v>
          </cell>
          <cell r="AV223">
            <v>0</v>
          </cell>
          <cell r="AW223">
            <v>0</v>
          </cell>
          <cell r="AX223">
            <v>157936.13</v>
          </cell>
          <cell r="AY223">
            <v>1413528363.5</v>
          </cell>
        </row>
        <row r="224"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</row>
        <row r="225">
          <cell r="D225">
            <v>0</v>
          </cell>
          <cell r="H225">
            <v>0</v>
          </cell>
          <cell r="L225">
            <v>0</v>
          </cell>
          <cell r="P225">
            <v>0</v>
          </cell>
          <cell r="AB225" t="str">
            <v xml:space="preserve"> </v>
          </cell>
          <cell r="AF225">
            <v>0</v>
          </cell>
          <cell r="AJ225">
            <v>0</v>
          </cell>
          <cell r="AN225">
            <v>0</v>
          </cell>
          <cell r="AR225">
            <v>0</v>
          </cell>
          <cell r="AV225">
            <v>0</v>
          </cell>
        </row>
        <row r="226">
          <cell r="D226">
            <v>0</v>
          </cell>
          <cell r="E226">
            <v>0</v>
          </cell>
          <cell r="F226">
            <v>403347</v>
          </cell>
          <cell r="G226">
            <v>3576477849</v>
          </cell>
          <cell r="H226">
            <v>0</v>
          </cell>
          <cell r="I226">
            <v>0</v>
          </cell>
          <cell r="J226">
            <v>685803</v>
          </cell>
          <cell r="K226">
            <v>6090616443</v>
          </cell>
          <cell r="L226">
            <v>0</v>
          </cell>
          <cell r="M226">
            <v>0</v>
          </cell>
          <cell r="N226">
            <v>671163</v>
          </cell>
          <cell r="O226">
            <v>5974693026</v>
          </cell>
          <cell r="P226">
            <v>0</v>
          </cell>
          <cell r="Q226">
            <v>0</v>
          </cell>
          <cell r="R226">
            <v>1202643</v>
          </cell>
          <cell r="S226">
            <v>10433529346.5</v>
          </cell>
          <cell r="T226">
            <v>0</v>
          </cell>
          <cell r="U226">
            <v>0</v>
          </cell>
          <cell r="V226">
            <v>1296881</v>
          </cell>
          <cell r="W226">
            <v>10812745337.5</v>
          </cell>
          <cell r="X226">
            <v>0</v>
          </cell>
          <cell r="Y226">
            <v>0</v>
          </cell>
          <cell r="Z226">
            <v>1228911</v>
          </cell>
          <cell r="AA226">
            <v>10156949415</v>
          </cell>
          <cell r="AB226">
            <v>0</v>
          </cell>
          <cell r="AC226">
            <v>0</v>
          </cell>
          <cell r="AD226">
            <v>3904866.7</v>
          </cell>
          <cell r="AE226">
            <v>35319519301.5</v>
          </cell>
          <cell r="AF226">
            <v>0</v>
          </cell>
          <cell r="AG226">
            <v>0</v>
          </cell>
          <cell r="AH226">
            <v>2425259.4</v>
          </cell>
          <cell r="AI226">
            <v>21434442577.200001</v>
          </cell>
          <cell r="AJ226">
            <v>0</v>
          </cell>
          <cell r="AK226">
            <v>0</v>
          </cell>
          <cell r="AL226">
            <v>2428427.4</v>
          </cell>
          <cell r="AM226">
            <v>21812134906.799999</v>
          </cell>
          <cell r="AN226">
            <v>0</v>
          </cell>
          <cell r="AO226">
            <v>0</v>
          </cell>
          <cell r="AP226">
            <v>2548531.4</v>
          </cell>
          <cell r="AQ226">
            <v>23516573493.5</v>
          </cell>
          <cell r="AR226">
            <v>0</v>
          </cell>
          <cell r="AS226">
            <v>0</v>
          </cell>
          <cell r="AT226">
            <v>2165589.25</v>
          </cell>
          <cell r="AU226">
            <v>19408010858.5</v>
          </cell>
          <cell r="AV226">
            <v>0</v>
          </cell>
          <cell r="AW226">
            <v>0</v>
          </cell>
          <cell r="AX226">
            <v>635377.85</v>
          </cell>
          <cell r="AY226">
            <v>5686631757.5</v>
          </cell>
        </row>
        <row r="228"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</row>
        <row r="229">
          <cell r="D229">
            <v>0</v>
          </cell>
          <cell r="E229">
            <v>0</v>
          </cell>
          <cell r="F229">
            <v>403347</v>
          </cell>
          <cell r="G229">
            <v>3576477849</v>
          </cell>
          <cell r="H229">
            <v>0</v>
          </cell>
          <cell r="I229">
            <v>0</v>
          </cell>
          <cell r="J229">
            <v>685803</v>
          </cell>
          <cell r="K229">
            <v>6090616443</v>
          </cell>
          <cell r="L229">
            <v>0</v>
          </cell>
          <cell r="M229">
            <v>0</v>
          </cell>
          <cell r="N229">
            <v>671163</v>
          </cell>
          <cell r="O229">
            <v>5974693026</v>
          </cell>
          <cell r="P229">
            <v>0</v>
          </cell>
          <cell r="Q229">
            <v>0</v>
          </cell>
          <cell r="R229">
            <v>1202643</v>
          </cell>
          <cell r="S229">
            <v>10433529346.5</v>
          </cell>
          <cell r="T229">
            <v>0</v>
          </cell>
          <cell r="U229">
            <v>0</v>
          </cell>
          <cell r="V229">
            <v>1296881</v>
          </cell>
          <cell r="W229">
            <v>10812745337.5</v>
          </cell>
          <cell r="X229">
            <v>0</v>
          </cell>
          <cell r="Y229">
            <v>0</v>
          </cell>
          <cell r="Z229">
            <v>1228911</v>
          </cell>
          <cell r="AA229">
            <v>10156949415</v>
          </cell>
          <cell r="AB229">
            <v>0</v>
          </cell>
          <cell r="AC229">
            <v>0</v>
          </cell>
          <cell r="AD229">
            <v>3904866.7</v>
          </cell>
          <cell r="AE229">
            <v>35319519301.5</v>
          </cell>
          <cell r="AF229">
            <v>0</v>
          </cell>
          <cell r="AG229">
            <v>0</v>
          </cell>
          <cell r="AH229">
            <v>2425259.4</v>
          </cell>
          <cell r="AI229">
            <v>21434442577.200001</v>
          </cell>
          <cell r="AJ229">
            <v>0</v>
          </cell>
          <cell r="AK229">
            <v>0</v>
          </cell>
          <cell r="AL229">
            <v>2428427.4</v>
          </cell>
          <cell r="AM229">
            <v>21812134906.799999</v>
          </cell>
          <cell r="AN229">
            <v>0</v>
          </cell>
          <cell r="AO229">
            <v>0</v>
          </cell>
          <cell r="AP229">
            <v>2548531.4</v>
          </cell>
          <cell r="AQ229">
            <v>23516573493.5</v>
          </cell>
          <cell r="AR229">
            <v>0</v>
          </cell>
          <cell r="AS229">
            <v>0</v>
          </cell>
          <cell r="AT229">
            <v>2165589.25</v>
          </cell>
          <cell r="AU229">
            <v>19408010858.5</v>
          </cell>
          <cell r="AV229">
            <v>0</v>
          </cell>
          <cell r="AW229">
            <v>0</v>
          </cell>
          <cell r="AX229">
            <v>635377.85</v>
          </cell>
          <cell r="AY229">
            <v>5686631757.5</v>
          </cell>
        </row>
        <row r="230"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</row>
        <row r="231"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</row>
        <row r="232"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</row>
        <row r="233"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</row>
        <row r="235"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</row>
        <row r="237"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</row>
        <row r="238"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</row>
        <row r="239"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</row>
        <row r="240">
          <cell r="D240">
            <v>0</v>
          </cell>
          <cell r="E240">
            <v>0</v>
          </cell>
          <cell r="F240">
            <v>52482236.530000001</v>
          </cell>
          <cell r="G240">
            <v>465359991311.51001</v>
          </cell>
          <cell r="H240">
            <v>0</v>
          </cell>
          <cell r="I240">
            <v>0</v>
          </cell>
          <cell r="J240">
            <v>52225726.5</v>
          </cell>
          <cell r="K240">
            <v>463816677046.5</v>
          </cell>
          <cell r="L240">
            <v>0</v>
          </cell>
          <cell r="M240">
            <v>0</v>
          </cell>
          <cell r="N240">
            <v>56660970.299999997</v>
          </cell>
          <cell r="O240">
            <v>504395957610.59998</v>
          </cell>
          <cell r="P240">
            <v>0</v>
          </cell>
          <cell r="Q240">
            <v>0</v>
          </cell>
          <cell r="R240">
            <v>67123344.620000005</v>
          </cell>
          <cell r="S240">
            <v>582328576250.81006</v>
          </cell>
          <cell r="T240">
            <v>11994</v>
          </cell>
          <cell r="U240">
            <v>99999975</v>
          </cell>
          <cell r="V240">
            <v>84537713.539999992</v>
          </cell>
          <cell r="W240">
            <v>704833186639.75</v>
          </cell>
          <cell r="X240">
            <v>0</v>
          </cell>
          <cell r="Y240">
            <v>0</v>
          </cell>
          <cell r="Z240">
            <v>64614344.660000011</v>
          </cell>
          <cell r="AA240">
            <v>534037558614.90002</v>
          </cell>
          <cell r="AB240">
            <v>0</v>
          </cell>
          <cell r="AC240">
            <v>0</v>
          </cell>
          <cell r="AD240">
            <v>92621828.929999992</v>
          </cell>
          <cell r="AE240">
            <v>837764442671.84985</v>
          </cell>
          <cell r="AF240">
            <v>0</v>
          </cell>
          <cell r="AG240">
            <v>0</v>
          </cell>
          <cell r="AH240">
            <v>47337032.5</v>
          </cell>
          <cell r="AI240">
            <v>418364693235.00006</v>
          </cell>
          <cell r="AJ240">
            <v>0</v>
          </cell>
          <cell r="AK240">
            <v>0</v>
          </cell>
          <cell r="AL240">
            <v>59106374.890000008</v>
          </cell>
          <cell r="AM240">
            <v>530893459261.98004</v>
          </cell>
          <cell r="AN240">
            <v>0</v>
          </cell>
          <cell r="AO240">
            <v>0</v>
          </cell>
          <cell r="AP240">
            <v>58169843.349999994</v>
          </cell>
          <cell r="AQ240">
            <v>536762229512.125</v>
          </cell>
          <cell r="AR240">
            <v>0</v>
          </cell>
          <cell r="AS240">
            <v>0</v>
          </cell>
          <cell r="AT240">
            <v>63832932.900000006</v>
          </cell>
          <cell r="AU240">
            <v>572070744649.80005</v>
          </cell>
          <cell r="AV240">
            <v>0</v>
          </cell>
          <cell r="AW240">
            <v>0</v>
          </cell>
          <cell r="AX240">
            <v>58755941.479999997</v>
          </cell>
          <cell r="AY240">
            <v>525865676246</v>
          </cell>
        </row>
        <row r="242">
          <cell r="D242">
            <v>52482236.530000001</v>
          </cell>
          <cell r="E242">
            <v>465359991311.51001</v>
          </cell>
          <cell r="H242">
            <v>52225726.5</v>
          </cell>
          <cell r="I242">
            <v>463816677046.5</v>
          </cell>
          <cell r="L242">
            <v>56660970.299999997</v>
          </cell>
          <cell r="M242">
            <v>504395957610.59998</v>
          </cell>
          <cell r="P242">
            <v>67123344.620000005</v>
          </cell>
          <cell r="Q242">
            <v>582328576250.81006</v>
          </cell>
          <cell r="T242">
            <v>84549707.539999992</v>
          </cell>
          <cell r="U242">
            <v>704933186614.75</v>
          </cell>
          <cell r="X242">
            <v>64614344.660000011</v>
          </cell>
          <cell r="Y242">
            <v>534037558614.90002</v>
          </cell>
          <cell r="AB242">
            <v>92621828.929999992</v>
          </cell>
          <cell r="AC242">
            <v>837764442671.84985</v>
          </cell>
          <cell r="AF242">
            <v>47337032.5</v>
          </cell>
          <cell r="AG242">
            <v>418364693235.00006</v>
          </cell>
          <cell r="AJ242">
            <v>59106374.890000008</v>
          </cell>
          <cell r="AK242">
            <v>530893459261.98004</v>
          </cell>
          <cell r="AN242">
            <v>58169843.349999994</v>
          </cell>
          <cell r="AO242">
            <v>536762229512.125</v>
          </cell>
          <cell r="AR242">
            <v>63832932.900000006</v>
          </cell>
          <cell r="AS242">
            <v>572070744649.80005</v>
          </cell>
          <cell r="AV242">
            <v>58755941.479999997</v>
          </cell>
          <cell r="AW242">
            <v>525865676246</v>
          </cell>
        </row>
        <row r="245">
          <cell r="E245">
            <v>1029059818625.6899</v>
          </cell>
          <cell r="I245">
            <v>1071177047057.5297</v>
          </cell>
          <cell r="M245">
            <v>1160860006455.4597</v>
          </cell>
          <cell r="Q245">
            <v>1259042287024.4802</v>
          </cell>
          <cell r="U245">
            <v>1244135055149.2502</v>
          </cell>
          <cell r="Y245">
            <v>1202766213813.4497</v>
          </cell>
          <cell r="AC245">
            <v>1070462190640.5</v>
          </cell>
          <cell r="AG245">
            <v>981649974800.5199</v>
          </cell>
          <cell r="AK245">
            <v>976218129303.4801</v>
          </cell>
          <cell r="AO245">
            <v>1033062213679.95</v>
          </cell>
          <cell r="AS245">
            <v>1086594300213.12</v>
          </cell>
          <cell r="AW245">
            <v>1084608241232.5</v>
          </cell>
        </row>
        <row r="246">
          <cell r="E246">
            <v>0</v>
          </cell>
          <cell r="I246">
            <v>0</v>
          </cell>
          <cell r="M246">
            <v>0</v>
          </cell>
          <cell r="Q246">
            <v>0</v>
          </cell>
          <cell r="U246">
            <v>0</v>
          </cell>
          <cell r="Y246">
            <v>0</v>
          </cell>
          <cell r="AC246">
            <v>0</v>
          </cell>
          <cell r="AG246">
            <v>0</v>
          </cell>
          <cell r="AK246">
            <v>0</v>
          </cell>
          <cell r="AO246">
            <v>0</v>
          </cell>
          <cell r="AS246">
            <v>0</v>
          </cell>
          <cell r="AW246">
            <v>0</v>
          </cell>
        </row>
        <row r="247">
          <cell r="E247">
            <v>1029059818625.6901</v>
          </cell>
          <cell r="I247">
            <v>1071177047057.5299</v>
          </cell>
          <cell r="M247">
            <v>1160860006455.46</v>
          </cell>
          <cell r="Q247">
            <v>1259042287024.4797</v>
          </cell>
          <cell r="U247">
            <v>1244135055149.2505</v>
          </cell>
          <cell r="Y247">
            <v>1202766213813.4497</v>
          </cell>
          <cell r="AC247">
            <v>1070462190640.5002</v>
          </cell>
          <cell r="AG247">
            <v>981649974800.51978</v>
          </cell>
          <cell r="AK247">
            <v>976218129303.47998</v>
          </cell>
          <cell r="AO247">
            <v>1033062213679.9502</v>
          </cell>
          <cell r="AS247">
            <v>1086594300213.1199</v>
          </cell>
          <cell r="AW247">
            <v>1084608241232.5</v>
          </cell>
        </row>
        <row r="248">
          <cell r="E248">
            <v>0</v>
          </cell>
          <cell r="I248">
            <v>0</v>
          </cell>
          <cell r="M248">
            <v>0</v>
          </cell>
          <cell r="Q248">
            <v>0</v>
          </cell>
          <cell r="U248">
            <v>0</v>
          </cell>
          <cell r="Y248">
            <v>0</v>
          </cell>
          <cell r="AC248">
            <v>0</v>
          </cell>
          <cell r="AG248">
            <v>0</v>
          </cell>
          <cell r="AK248">
            <v>0</v>
          </cell>
          <cell r="AO248">
            <v>0</v>
          </cell>
          <cell r="AS248">
            <v>0</v>
          </cell>
          <cell r="AW248">
            <v>0</v>
          </cell>
        </row>
      </sheetData>
      <sheetData sheetId="3" refreshError="1">
        <row r="1">
          <cell r="D1">
            <v>1127</v>
          </cell>
          <cell r="F1">
            <v>1155</v>
          </cell>
          <cell r="H1">
            <v>1186</v>
          </cell>
          <cell r="J1">
            <v>1216</v>
          </cell>
          <cell r="L1">
            <v>1247</v>
          </cell>
          <cell r="N1">
            <v>1277</v>
          </cell>
          <cell r="P1">
            <v>1308</v>
          </cell>
          <cell r="R1">
            <v>1339</v>
          </cell>
          <cell r="T1">
            <v>1369</v>
          </cell>
          <cell r="V1">
            <v>1400</v>
          </cell>
          <cell r="X1">
            <v>1430</v>
          </cell>
          <cell r="Z1">
            <v>1461</v>
          </cell>
        </row>
        <row r="2">
          <cell r="D2" t="str">
            <v>PROFIT</v>
          </cell>
          <cell r="F2" t="str">
            <v>PROFIT</v>
          </cell>
          <cell r="H2" t="str">
            <v>PROFIT</v>
          </cell>
          <cell r="J2" t="str">
            <v>PROFIT</v>
          </cell>
          <cell r="L2" t="str">
            <v>PROFIT</v>
          </cell>
          <cell r="N2" t="str">
            <v>PROFIT</v>
          </cell>
          <cell r="P2" t="str">
            <v>PROFIT</v>
          </cell>
          <cell r="R2" t="str">
            <v>PROFIT</v>
          </cell>
          <cell r="T2" t="str">
            <v>PROFIT</v>
          </cell>
          <cell r="V2" t="str">
            <v>PROFIT</v>
          </cell>
          <cell r="X2" t="str">
            <v>PROFIT</v>
          </cell>
          <cell r="Z2" t="str">
            <v>PROFIT</v>
          </cell>
        </row>
        <row r="3">
          <cell r="D3" t="str">
            <v>YEAR TO DATE</v>
          </cell>
          <cell r="F3" t="str">
            <v>YEAR TO DATE</v>
          </cell>
          <cell r="H3" t="str">
            <v>YEAR TO DATE</v>
          </cell>
          <cell r="J3" t="str">
            <v>YEAR TO DATE</v>
          </cell>
          <cell r="L3" t="str">
            <v>YEAR TO DATE</v>
          </cell>
          <cell r="N3" t="str">
            <v>YEAR TO DATE</v>
          </cell>
          <cell r="P3" t="str">
            <v>YEAR TO DATE</v>
          </cell>
          <cell r="R3" t="str">
            <v>YEAR TO DATE</v>
          </cell>
          <cell r="T3" t="str">
            <v>YEAR TO DATE</v>
          </cell>
          <cell r="V3" t="str">
            <v>YEAR TO DATE</v>
          </cell>
          <cell r="X3" t="str">
            <v>YEAR TO DATE</v>
          </cell>
          <cell r="Z3" t="str">
            <v>YEAR TO DATE</v>
          </cell>
        </row>
        <row r="5">
          <cell r="D5">
            <v>8867</v>
          </cell>
          <cell r="F5">
            <v>8881</v>
          </cell>
          <cell r="H5">
            <v>8902</v>
          </cell>
          <cell r="J5">
            <v>8675.5</v>
          </cell>
          <cell r="L5">
            <v>8337.5</v>
          </cell>
          <cell r="N5">
            <v>8265</v>
          </cell>
          <cell r="P5">
            <v>9045</v>
          </cell>
          <cell r="R5">
            <v>8838</v>
          </cell>
          <cell r="T5">
            <v>8982</v>
          </cell>
          <cell r="V5">
            <v>9227.5</v>
          </cell>
          <cell r="X5">
            <v>8962</v>
          </cell>
          <cell r="Z5">
            <v>8950</v>
          </cell>
        </row>
        <row r="6">
          <cell r="D6" t="str">
            <v xml:space="preserve">T O T A L </v>
          </cell>
          <cell r="E6" t="str">
            <v>J U M L A H</v>
          </cell>
          <cell r="F6" t="str">
            <v xml:space="preserve">T O T A L </v>
          </cell>
          <cell r="G6" t="str">
            <v>J U M L A H</v>
          </cell>
          <cell r="H6" t="str">
            <v xml:space="preserve">T O T A L </v>
          </cell>
          <cell r="I6" t="str">
            <v>J U M L A H</v>
          </cell>
          <cell r="J6" t="str">
            <v xml:space="preserve">T O T A L </v>
          </cell>
          <cell r="K6" t="str">
            <v>J U M L A H</v>
          </cell>
          <cell r="L6" t="str">
            <v xml:space="preserve">T O T A L </v>
          </cell>
          <cell r="M6" t="str">
            <v>J U M L A H</v>
          </cell>
          <cell r="N6" t="str">
            <v xml:space="preserve">T O T A L </v>
          </cell>
          <cell r="O6" t="str">
            <v>J U M L A H</v>
          </cell>
          <cell r="P6" t="str">
            <v xml:space="preserve">T O T A L </v>
          </cell>
          <cell r="Q6" t="str">
            <v>J U M L A H</v>
          </cell>
          <cell r="R6" t="str">
            <v xml:space="preserve">T O T A L </v>
          </cell>
          <cell r="S6" t="str">
            <v>J U M L A H</v>
          </cell>
          <cell r="T6" t="str">
            <v xml:space="preserve">T O T A L </v>
          </cell>
          <cell r="U6" t="str">
            <v>J U M L A H</v>
          </cell>
          <cell r="V6" t="str">
            <v xml:space="preserve">T O T A L </v>
          </cell>
          <cell r="W6" t="str">
            <v>J U M L A H</v>
          </cell>
          <cell r="X6" t="str">
            <v xml:space="preserve">T O T A L </v>
          </cell>
          <cell r="Y6" t="str">
            <v>J U M L A H</v>
          </cell>
          <cell r="Z6" t="str">
            <v xml:space="preserve">T O T A L </v>
          </cell>
          <cell r="AA6" t="str">
            <v>J U M L A H</v>
          </cell>
        </row>
        <row r="7">
          <cell r="D7" t="str">
            <v>YEAR TO DATE</v>
          </cell>
          <cell r="F7" t="str">
            <v>YEAR TO DATE</v>
          </cell>
          <cell r="H7" t="str">
            <v>YEAR TO DATE</v>
          </cell>
          <cell r="J7" t="str">
            <v>YEAR TO DATE</v>
          </cell>
          <cell r="L7" t="str">
            <v>YEAR TO DATE</v>
          </cell>
          <cell r="N7" t="str">
            <v>YEAR TO DATE</v>
          </cell>
          <cell r="P7" t="str">
            <v>YEAR TO DATE</v>
          </cell>
          <cell r="R7" t="str">
            <v>YEAR TO DATE</v>
          </cell>
          <cell r="T7" t="str">
            <v>YEAR TO DATE</v>
          </cell>
          <cell r="V7" t="str">
            <v>YEAR TO DATE</v>
          </cell>
          <cell r="X7" t="str">
            <v>YEAR TO DATE</v>
          </cell>
          <cell r="Z7" t="str">
            <v>YEAR TO DATE</v>
          </cell>
        </row>
        <row r="11">
          <cell r="D11">
            <v>483236.24</v>
          </cell>
          <cell r="E11">
            <v>4284855740.0799999</v>
          </cell>
          <cell r="F11">
            <v>934814.79</v>
          </cell>
          <cell r="G11">
            <v>8302090149.9900017</v>
          </cell>
          <cell r="H11">
            <v>1449682.74</v>
          </cell>
          <cell r="I11">
            <v>12905075751.480001</v>
          </cell>
          <cell r="J11">
            <v>1984821.41</v>
          </cell>
          <cell r="K11">
            <v>17219318142.455002</v>
          </cell>
          <cell r="L11">
            <v>2556907.9300000002</v>
          </cell>
          <cell r="M11">
            <v>21318219866.375</v>
          </cell>
          <cell r="N11">
            <v>3096910.13</v>
          </cell>
          <cell r="O11">
            <v>25595962224.450005</v>
          </cell>
          <cell r="P11">
            <v>3796357.1100000008</v>
          </cell>
          <cell r="Q11">
            <v>34338050059.949997</v>
          </cell>
          <cell r="R11">
            <v>4333735.2700000005</v>
          </cell>
          <cell r="S11">
            <v>38301552316.26001</v>
          </cell>
          <cell r="T11">
            <v>4806813.17</v>
          </cell>
          <cell r="U11">
            <v>43174795892.940002</v>
          </cell>
          <cell r="V11">
            <v>5314579.54</v>
          </cell>
          <cell r="W11">
            <v>49040282705.349991</v>
          </cell>
          <cell r="X11">
            <v>5803709.5600000015</v>
          </cell>
          <cell r="Y11">
            <v>52012845076.720009</v>
          </cell>
          <cell r="Z11">
            <v>6321890.9000000013</v>
          </cell>
          <cell r="AA11">
            <v>56580923555</v>
          </cell>
        </row>
        <row r="13">
          <cell r="D13">
            <v>483236.24</v>
          </cell>
          <cell r="E13">
            <v>4284855740.0799999</v>
          </cell>
          <cell r="F13">
            <v>934814.79</v>
          </cell>
          <cell r="G13">
            <v>8302090149.9900017</v>
          </cell>
          <cell r="H13">
            <v>1449682.74</v>
          </cell>
          <cell r="I13">
            <v>12905075751.480001</v>
          </cell>
          <cell r="J13">
            <v>1984821.41</v>
          </cell>
          <cell r="K13">
            <v>17219318142.455002</v>
          </cell>
          <cell r="L13">
            <v>2556907.9300000002</v>
          </cell>
          <cell r="M13">
            <v>21318219866.375</v>
          </cell>
          <cell r="N13">
            <v>3096910.13</v>
          </cell>
          <cell r="O13">
            <v>25595962224.450005</v>
          </cell>
          <cell r="P13">
            <v>3796357.1100000008</v>
          </cell>
          <cell r="Q13">
            <v>34338050059.949997</v>
          </cell>
          <cell r="R13">
            <v>4333735.2700000005</v>
          </cell>
          <cell r="S13">
            <v>38301552316.26001</v>
          </cell>
          <cell r="T13">
            <v>4806813.17</v>
          </cell>
          <cell r="U13">
            <v>43174795892.940002</v>
          </cell>
          <cell r="V13">
            <v>5314579.54</v>
          </cell>
          <cell r="W13">
            <v>49040282705.349991</v>
          </cell>
          <cell r="X13">
            <v>5803709.5600000015</v>
          </cell>
          <cell r="Y13">
            <v>52012845076.720009</v>
          </cell>
          <cell r="Z13">
            <v>6321890.9000000013</v>
          </cell>
          <cell r="AA13">
            <v>56580923555</v>
          </cell>
        </row>
        <row r="15">
          <cell r="D15">
            <v>170488.53</v>
          </cell>
          <cell r="E15">
            <v>1511721795.5100002</v>
          </cell>
          <cell r="F15">
            <v>321907.38</v>
          </cell>
          <cell r="G15">
            <v>2858859441.7800002</v>
          </cell>
          <cell r="H15">
            <v>524967.79</v>
          </cell>
          <cell r="I15">
            <v>4673263266.5799999</v>
          </cell>
          <cell r="J15">
            <v>752274.91</v>
          </cell>
          <cell r="K15">
            <v>6526360981.7049999</v>
          </cell>
          <cell r="L15">
            <v>1004584.8</v>
          </cell>
          <cell r="M15">
            <v>8375725770</v>
          </cell>
          <cell r="N15">
            <v>1236147.74</v>
          </cell>
          <cell r="O15">
            <v>10216761071.1</v>
          </cell>
          <cell r="P15">
            <v>1689822.26</v>
          </cell>
          <cell r="Q15">
            <v>15284442341.700001</v>
          </cell>
          <cell r="R15">
            <v>1635601.9500000002</v>
          </cell>
          <cell r="S15">
            <v>14455450034.1</v>
          </cell>
          <cell r="T15">
            <v>1786821.42</v>
          </cell>
          <cell r="U15">
            <v>16049229994.440002</v>
          </cell>
          <cell r="V15">
            <v>1949855.54</v>
          </cell>
          <cell r="W15">
            <v>17992291995.349998</v>
          </cell>
          <cell r="X15">
            <v>2110398.58</v>
          </cell>
          <cell r="Y15">
            <v>18913392073.959999</v>
          </cell>
          <cell r="Z15">
            <v>2282588.94</v>
          </cell>
          <cell r="AA15">
            <v>20429171013</v>
          </cell>
        </row>
        <row r="16">
          <cell r="D16">
            <v>66449.69</v>
          </cell>
          <cell r="E16">
            <v>589209401.23000002</v>
          </cell>
          <cell r="F16">
            <v>126468.78</v>
          </cell>
          <cell r="G16">
            <v>1123169235.1800001</v>
          </cell>
          <cell r="H16">
            <v>217875.75</v>
          </cell>
          <cell r="I16">
            <v>1939529926.5</v>
          </cell>
          <cell r="J16">
            <v>319453.14</v>
          </cell>
          <cell r="K16">
            <v>2771415716.0700002</v>
          </cell>
          <cell r="L16">
            <v>423299.87</v>
          </cell>
          <cell r="M16">
            <v>3529262666.125</v>
          </cell>
          <cell r="N16">
            <v>500458.13</v>
          </cell>
          <cell r="O16">
            <v>4136286444.4499998</v>
          </cell>
          <cell r="P16">
            <v>876730.64</v>
          </cell>
          <cell r="Q16">
            <v>7930028638.8000002</v>
          </cell>
          <cell r="R16">
            <v>729159.9</v>
          </cell>
          <cell r="S16">
            <v>6444315196.1999998</v>
          </cell>
          <cell r="T16">
            <v>799261.91</v>
          </cell>
          <cell r="U16">
            <v>7178970475.6199999</v>
          </cell>
          <cell r="V16">
            <v>870054.43</v>
          </cell>
          <cell r="W16">
            <v>8028427252.8250008</v>
          </cell>
          <cell r="X16">
            <v>938208.49</v>
          </cell>
          <cell r="Y16">
            <v>8408224487.3800001</v>
          </cell>
          <cell r="Z16">
            <v>1012892.92</v>
          </cell>
          <cell r="AA16">
            <v>9065391634</v>
          </cell>
        </row>
        <row r="17">
          <cell r="D17">
            <v>104038.84</v>
          </cell>
          <cell r="E17">
            <v>922512394.28000009</v>
          </cell>
          <cell r="F17">
            <v>195438.6</v>
          </cell>
          <cell r="G17">
            <v>1735690206.6000001</v>
          </cell>
          <cell r="H17">
            <v>307092.03999999998</v>
          </cell>
          <cell r="I17">
            <v>2733733340.0800004</v>
          </cell>
          <cell r="J17">
            <v>432821.77</v>
          </cell>
          <cell r="K17">
            <v>3754945265.6350002</v>
          </cell>
          <cell r="L17">
            <v>581284.93000000005</v>
          </cell>
          <cell r="M17">
            <v>4846463103.875</v>
          </cell>
          <cell r="N17">
            <v>735689.61</v>
          </cell>
          <cell r="O17">
            <v>6080474626.6500006</v>
          </cell>
          <cell r="P17">
            <v>813091.62</v>
          </cell>
          <cell r="Q17">
            <v>7354413702.8999996</v>
          </cell>
          <cell r="R17">
            <v>906442.05</v>
          </cell>
          <cell r="S17">
            <v>8011134837.9000006</v>
          </cell>
          <cell r="T17">
            <v>987559.51</v>
          </cell>
          <cell r="U17">
            <v>8870259518.8200016</v>
          </cell>
          <cell r="V17">
            <v>1079801.1100000001</v>
          </cell>
          <cell r="W17">
            <v>9963864742.5249996</v>
          </cell>
          <cell r="X17">
            <v>1172190.0900000001</v>
          </cell>
          <cell r="Y17">
            <v>10505167586.58</v>
          </cell>
          <cell r="Z17">
            <v>1269696.02</v>
          </cell>
          <cell r="AA17">
            <v>11363779379.000002</v>
          </cell>
        </row>
        <row r="19">
          <cell r="D19">
            <v>17603.080000000002</v>
          </cell>
          <cell r="E19">
            <v>156086510.35999998</v>
          </cell>
          <cell r="F19">
            <v>33502.639999999999</v>
          </cell>
          <cell r="G19">
            <v>297536945.83999997</v>
          </cell>
          <cell r="H19">
            <v>51105.760000000002</v>
          </cell>
          <cell r="I19">
            <v>454943475.52000004</v>
          </cell>
          <cell r="J19">
            <v>68141.009999999995</v>
          </cell>
          <cell r="K19">
            <v>591157332.25500011</v>
          </cell>
          <cell r="L19">
            <v>85744.1</v>
          </cell>
          <cell r="M19">
            <v>714891433.75</v>
          </cell>
          <cell r="N19">
            <v>98316.160000000003</v>
          </cell>
          <cell r="O19">
            <v>812583062.39999986</v>
          </cell>
          <cell r="P19">
            <v>44818.37</v>
          </cell>
          <cell r="Q19">
            <v>405382156.65000004</v>
          </cell>
          <cell r="R19">
            <v>65031.71</v>
          </cell>
          <cell r="S19">
            <v>574750252.98000002</v>
          </cell>
          <cell r="T19">
            <v>84593.01</v>
          </cell>
          <cell r="U19">
            <v>759814415.82000005</v>
          </cell>
          <cell r="V19">
            <v>104806.34</v>
          </cell>
          <cell r="W19">
            <v>967100502.35000002</v>
          </cell>
          <cell r="X19">
            <v>124367.65</v>
          </cell>
          <cell r="Y19">
            <v>1114582879.3</v>
          </cell>
          <cell r="Z19">
            <v>142307.54999999999</v>
          </cell>
          <cell r="AA19">
            <v>1273652572.5</v>
          </cell>
        </row>
        <row r="20">
          <cell r="D20">
            <v>17603.080000000002</v>
          </cell>
          <cell r="E20">
            <v>156086510.35999998</v>
          </cell>
          <cell r="F20">
            <v>33502.639999999999</v>
          </cell>
          <cell r="G20">
            <v>297536945.83999997</v>
          </cell>
          <cell r="H20">
            <v>51105.760000000002</v>
          </cell>
          <cell r="I20">
            <v>454943475.52000004</v>
          </cell>
          <cell r="J20">
            <v>68141.009999999995</v>
          </cell>
          <cell r="K20">
            <v>591157332.25500011</v>
          </cell>
          <cell r="L20">
            <v>85744.1</v>
          </cell>
          <cell r="M20">
            <v>714891433.75</v>
          </cell>
          <cell r="N20">
            <v>98316.160000000003</v>
          </cell>
          <cell r="O20">
            <v>812583062.39999986</v>
          </cell>
          <cell r="P20">
            <v>44818.37</v>
          </cell>
          <cell r="Q20">
            <v>405382156.65000004</v>
          </cell>
          <cell r="R20">
            <v>65031.71</v>
          </cell>
          <cell r="S20">
            <v>574750252.98000002</v>
          </cell>
          <cell r="T20">
            <v>84593.01</v>
          </cell>
          <cell r="U20">
            <v>759814415.82000005</v>
          </cell>
          <cell r="V20">
            <v>104806.34</v>
          </cell>
          <cell r="W20">
            <v>967100502.35000002</v>
          </cell>
          <cell r="X20">
            <v>124367.65</v>
          </cell>
          <cell r="Y20">
            <v>1114582879.3</v>
          </cell>
          <cell r="Z20">
            <v>142307.54999999999</v>
          </cell>
          <cell r="AA20">
            <v>1273652572.5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5">
          <cell r="D35">
            <v>34390.14</v>
          </cell>
          <cell r="E35">
            <v>304937371.38</v>
          </cell>
          <cell r="F35">
            <v>59722.37</v>
          </cell>
          <cell r="G35">
            <v>530394367.96999997</v>
          </cell>
          <cell r="H35">
            <v>91675.93</v>
          </cell>
          <cell r="I35">
            <v>816099128.8599999</v>
          </cell>
          <cell r="J35">
            <v>129262.37</v>
          </cell>
          <cell r="K35">
            <v>1121415690.9349999</v>
          </cell>
          <cell r="L35">
            <v>175886.86</v>
          </cell>
          <cell r="M35">
            <v>1466456695.25</v>
          </cell>
          <cell r="N35">
            <v>217486.32</v>
          </cell>
          <cell r="O35">
            <v>1797524434.7999997</v>
          </cell>
          <cell r="P35">
            <v>311902.39</v>
          </cell>
          <cell r="Q35">
            <v>2821157117.5500002</v>
          </cell>
          <cell r="R35">
            <v>376843.92</v>
          </cell>
          <cell r="S35">
            <v>3330546564.96</v>
          </cell>
          <cell r="T35">
            <v>425246.71999999997</v>
          </cell>
          <cell r="U35">
            <v>3819566039.0400004</v>
          </cell>
          <cell r="V35">
            <v>471616.36</v>
          </cell>
          <cell r="W35">
            <v>4351839961.9000006</v>
          </cell>
          <cell r="X35">
            <v>506225.96</v>
          </cell>
          <cell r="Y35">
            <v>4536797053.5200005</v>
          </cell>
          <cell r="Z35">
            <v>537855.37</v>
          </cell>
          <cell r="AA35">
            <v>4813805561.500001</v>
          </cell>
        </row>
        <row r="36">
          <cell r="D36">
            <v>34390.14</v>
          </cell>
          <cell r="E36">
            <v>304937371.38</v>
          </cell>
          <cell r="F36">
            <v>59722.37</v>
          </cell>
          <cell r="G36">
            <v>530394367.96999997</v>
          </cell>
          <cell r="H36">
            <v>91675.93</v>
          </cell>
          <cell r="I36">
            <v>816099128.8599999</v>
          </cell>
          <cell r="J36">
            <v>129262.37</v>
          </cell>
          <cell r="K36">
            <v>1121415690.9349999</v>
          </cell>
          <cell r="L36">
            <v>175886.86</v>
          </cell>
          <cell r="M36">
            <v>1466456695.25</v>
          </cell>
          <cell r="N36">
            <v>217486.32</v>
          </cell>
          <cell r="O36">
            <v>1797524434.7999997</v>
          </cell>
          <cell r="P36">
            <v>311902.39</v>
          </cell>
          <cell r="Q36">
            <v>2821157117.5500002</v>
          </cell>
          <cell r="R36">
            <v>376843.92</v>
          </cell>
          <cell r="S36">
            <v>3330546564.96</v>
          </cell>
          <cell r="T36">
            <v>425246.71999999997</v>
          </cell>
          <cell r="U36">
            <v>3819566039.0400004</v>
          </cell>
          <cell r="V36">
            <v>471616.36</v>
          </cell>
          <cell r="W36">
            <v>4351839961.9000006</v>
          </cell>
          <cell r="X36">
            <v>506225.96</v>
          </cell>
          <cell r="Y36">
            <v>4536797053.5200005</v>
          </cell>
          <cell r="Z36">
            <v>537855.37</v>
          </cell>
          <cell r="AA36">
            <v>4813805561.500001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680</v>
          </cell>
          <cell r="Q42">
            <v>6150600</v>
          </cell>
          <cell r="R42">
            <v>680</v>
          </cell>
          <cell r="S42">
            <v>6009840</v>
          </cell>
          <cell r="T42">
            <v>680</v>
          </cell>
          <cell r="U42">
            <v>6107760</v>
          </cell>
          <cell r="V42">
            <v>680</v>
          </cell>
          <cell r="W42">
            <v>6274700</v>
          </cell>
          <cell r="X42">
            <v>680</v>
          </cell>
          <cell r="Y42">
            <v>6094160</v>
          </cell>
          <cell r="Z42">
            <v>680</v>
          </cell>
          <cell r="AA42">
            <v>6086000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680</v>
          </cell>
          <cell r="Q44">
            <v>6150600</v>
          </cell>
          <cell r="R44">
            <v>680</v>
          </cell>
          <cell r="S44">
            <v>6009840</v>
          </cell>
          <cell r="T44">
            <v>680</v>
          </cell>
          <cell r="U44">
            <v>6107760</v>
          </cell>
          <cell r="V44">
            <v>680</v>
          </cell>
          <cell r="W44">
            <v>6274700</v>
          </cell>
          <cell r="X44">
            <v>680</v>
          </cell>
          <cell r="Y44">
            <v>6094160</v>
          </cell>
          <cell r="Z44">
            <v>680</v>
          </cell>
          <cell r="AA44">
            <v>6086000</v>
          </cell>
        </row>
        <row r="45"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50">
          <cell r="D50">
            <v>942.36</v>
          </cell>
          <cell r="E50">
            <v>8355906.1199999992</v>
          </cell>
          <cell r="F50">
            <v>1229.01</v>
          </cell>
          <cell r="G50">
            <v>10914837.809999999</v>
          </cell>
          <cell r="H50">
            <v>2032.66</v>
          </cell>
          <cell r="I50">
            <v>18094739.319999997</v>
          </cell>
          <cell r="J50">
            <v>2548.86</v>
          </cell>
          <cell r="K50">
            <v>22112634.930000003</v>
          </cell>
          <cell r="L50">
            <v>2934.63</v>
          </cell>
          <cell r="M50">
            <v>24467477.624999993</v>
          </cell>
          <cell r="N50">
            <v>3965</v>
          </cell>
          <cell r="O50">
            <v>32770725</v>
          </cell>
          <cell r="P50">
            <v>8626.7000000000007</v>
          </cell>
          <cell r="Q50">
            <v>78028501.500000015</v>
          </cell>
          <cell r="R50">
            <v>9290.16</v>
          </cell>
          <cell r="S50">
            <v>82106434.079999998</v>
          </cell>
          <cell r="T50">
            <v>9797.69</v>
          </cell>
          <cell r="U50">
            <v>88002851.579999998</v>
          </cell>
          <cell r="V50">
            <v>12368.89</v>
          </cell>
          <cell r="W50">
            <v>114133932.47500001</v>
          </cell>
          <cell r="X50">
            <v>13096.56</v>
          </cell>
          <cell r="Y50">
            <v>117371370.71999998</v>
          </cell>
          <cell r="Z50">
            <v>21189.41</v>
          </cell>
          <cell r="AA50">
            <v>189645219.50000003</v>
          </cell>
        </row>
        <row r="51">
          <cell r="D51">
            <v>905.91</v>
          </cell>
          <cell r="E51">
            <v>8032703.9699999988</v>
          </cell>
          <cell r="F51">
            <v>1187.83</v>
          </cell>
          <cell r="G51">
            <v>10549118.229999999</v>
          </cell>
          <cell r="H51">
            <v>1984.74</v>
          </cell>
          <cell r="I51">
            <v>17668155.479999997</v>
          </cell>
          <cell r="J51">
            <v>2481.7199999999998</v>
          </cell>
          <cell r="K51">
            <v>21530161.860000003</v>
          </cell>
          <cell r="L51">
            <v>2850.3</v>
          </cell>
          <cell r="M51">
            <v>23764376.249999993</v>
          </cell>
          <cell r="N51">
            <v>3880.67</v>
          </cell>
          <cell r="O51">
            <v>32073737.550000001</v>
          </cell>
          <cell r="P51">
            <v>8445.2900000000009</v>
          </cell>
          <cell r="Q51">
            <v>76387648.050000012</v>
          </cell>
          <cell r="R51">
            <v>9078.5300000000007</v>
          </cell>
          <cell r="S51">
            <v>80236048.140000001</v>
          </cell>
          <cell r="T51">
            <v>9559.85</v>
          </cell>
          <cell r="U51">
            <v>85866572.700000003</v>
          </cell>
          <cell r="V51">
            <v>12109.73</v>
          </cell>
          <cell r="W51">
            <v>111742533.575</v>
          </cell>
          <cell r="X51">
            <v>12824.98</v>
          </cell>
          <cell r="Y51">
            <v>114937470.75999999</v>
          </cell>
          <cell r="Z51">
            <v>20910.21</v>
          </cell>
          <cell r="AA51">
            <v>187146379.50000003</v>
          </cell>
        </row>
        <row r="52">
          <cell r="D52">
            <v>36.450000000000003</v>
          </cell>
          <cell r="E52">
            <v>323202.15000000002</v>
          </cell>
          <cell r="F52">
            <v>41.18</v>
          </cell>
          <cell r="G52">
            <v>365719.58</v>
          </cell>
          <cell r="H52">
            <v>47.92</v>
          </cell>
          <cell r="I52">
            <v>426583.84</v>
          </cell>
          <cell r="J52">
            <v>67.14</v>
          </cell>
          <cell r="K52">
            <v>582473.06999999995</v>
          </cell>
          <cell r="L52">
            <v>84.33</v>
          </cell>
          <cell r="M52">
            <v>703101.375</v>
          </cell>
          <cell r="N52">
            <v>84.33</v>
          </cell>
          <cell r="O52">
            <v>696987.45</v>
          </cell>
          <cell r="P52">
            <v>181.41</v>
          </cell>
          <cell r="Q52">
            <v>1640853.45</v>
          </cell>
          <cell r="R52">
            <v>211.63</v>
          </cell>
          <cell r="S52">
            <v>1870385.94</v>
          </cell>
          <cell r="T52">
            <v>237.84</v>
          </cell>
          <cell r="U52">
            <v>2136278.88</v>
          </cell>
          <cell r="V52">
            <v>259.16000000000003</v>
          </cell>
          <cell r="W52">
            <v>2391398.9</v>
          </cell>
          <cell r="X52">
            <v>271.58</v>
          </cell>
          <cell r="Y52">
            <v>2433899.96</v>
          </cell>
          <cell r="Z52">
            <v>279.2</v>
          </cell>
          <cell r="AA52">
            <v>2498840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8"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2">
          <cell r="D62">
            <v>201001.97</v>
          </cell>
          <cell r="E62">
            <v>1782284467.99</v>
          </cell>
          <cell r="F62">
            <v>381679.13</v>
          </cell>
          <cell r="G62">
            <v>3389692353.5300002</v>
          </cell>
          <cell r="H62">
            <v>579536.66</v>
          </cell>
          <cell r="I62">
            <v>5159035347.3199997</v>
          </cell>
          <cell r="J62">
            <v>773753.24</v>
          </cell>
          <cell r="K62">
            <v>6712696233.6200008</v>
          </cell>
          <cell r="L62">
            <v>979953.07</v>
          </cell>
          <cell r="M62">
            <v>8170358721.125</v>
          </cell>
          <cell r="N62">
            <v>1174212.45</v>
          </cell>
          <cell r="O62">
            <v>9704865899.25</v>
          </cell>
          <cell r="P62">
            <v>1335600.53</v>
          </cell>
          <cell r="Q62">
            <v>12080506793.85</v>
          </cell>
          <cell r="R62">
            <v>1766823.04</v>
          </cell>
          <cell r="S62">
            <v>15615182027.52</v>
          </cell>
          <cell r="T62">
            <v>1969022.28</v>
          </cell>
          <cell r="U62">
            <v>17685758118.959999</v>
          </cell>
          <cell r="V62">
            <v>2198744.2799999998</v>
          </cell>
          <cell r="W62">
            <v>20288912843.700001</v>
          </cell>
          <cell r="X62">
            <v>2421326.56</v>
          </cell>
          <cell r="Y62">
            <v>21699928630.720001</v>
          </cell>
          <cell r="Z62">
            <v>2639355.2200000002</v>
          </cell>
          <cell r="AA62">
            <v>23622229219</v>
          </cell>
        </row>
        <row r="63">
          <cell r="D63">
            <v>159624.79</v>
          </cell>
          <cell r="E63">
            <v>1415393012.9300001</v>
          </cell>
          <cell r="F63">
            <v>303345.24</v>
          </cell>
          <cell r="G63">
            <v>2694009076.4400001</v>
          </cell>
          <cell r="H63">
            <v>460566.38</v>
          </cell>
          <cell r="I63">
            <v>4099961914.7600002</v>
          </cell>
          <cell r="J63">
            <v>615641.36</v>
          </cell>
          <cell r="K63">
            <v>5340996618.6800003</v>
          </cell>
          <cell r="L63">
            <v>781525.47</v>
          </cell>
          <cell r="M63">
            <v>6515968606.125</v>
          </cell>
          <cell r="N63">
            <v>937858.96</v>
          </cell>
          <cell r="O63">
            <v>7751404304.3999996</v>
          </cell>
          <cell r="P63">
            <v>991205.95</v>
          </cell>
          <cell r="Q63">
            <v>8965457817.75</v>
          </cell>
          <cell r="R63">
            <v>1369519.82</v>
          </cell>
          <cell r="S63">
            <v>12103816169.16</v>
          </cell>
          <cell r="T63">
            <v>1526850.21</v>
          </cell>
          <cell r="U63">
            <v>13714168586.219999</v>
          </cell>
          <cell r="V63">
            <v>1710369.21</v>
          </cell>
          <cell r="W63">
            <v>15782431885.275</v>
          </cell>
          <cell r="X63">
            <v>1888350.88</v>
          </cell>
          <cell r="Y63">
            <v>16923400586.559999</v>
          </cell>
          <cell r="Z63">
            <v>2063197.06</v>
          </cell>
          <cell r="AA63">
            <v>18465613687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397303.22</v>
          </cell>
          <cell r="S64">
            <v>3511365858.3599997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D65">
            <v>41377.18</v>
          </cell>
          <cell r="E65">
            <v>366891455.06</v>
          </cell>
          <cell r="F65">
            <v>78333.89</v>
          </cell>
          <cell r="G65">
            <v>695683277.09000003</v>
          </cell>
          <cell r="H65">
            <v>118970.28</v>
          </cell>
          <cell r="I65">
            <v>1059073432.5599999</v>
          </cell>
          <cell r="J65">
            <v>158111.88</v>
          </cell>
          <cell r="K65">
            <v>1371699614.9400001</v>
          </cell>
          <cell r="L65">
            <v>198427.6</v>
          </cell>
          <cell r="M65">
            <v>1654390115</v>
          </cell>
          <cell r="N65">
            <v>236353.49</v>
          </cell>
          <cell r="O65">
            <v>1953461594.8499999</v>
          </cell>
          <cell r="P65">
            <v>344394.58</v>
          </cell>
          <cell r="Q65">
            <v>3115048976.1000004</v>
          </cell>
          <cell r="R65">
            <v>0</v>
          </cell>
          <cell r="S65">
            <v>0</v>
          </cell>
          <cell r="T65">
            <v>442172.07</v>
          </cell>
          <cell r="U65">
            <v>3971589532.7400002</v>
          </cell>
          <cell r="V65">
            <v>488375.07</v>
          </cell>
          <cell r="W65">
            <v>4506480958.4250002</v>
          </cell>
          <cell r="X65">
            <v>532975.68000000005</v>
          </cell>
          <cell r="Y65">
            <v>4776528044.1600008</v>
          </cell>
          <cell r="Z65">
            <v>576158.16</v>
          </cell>
          <cell r="AA65">
            <v>5156615532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8">
          <cell r="D68">
            <v>42999.839999999997</v>
          </cell>
          <cell r="E68">
            <v>381279581.27999997</v>
          </cell>
          <cell r="F68">
            <v>83253.67</v>
          </cell>
          <cell r="G68">
            <v>739375843.26999998</v>
          </cell>
          <cell r="H68">
            <v>129857.62</v>
          </cell>
          <cell r="I68">
            <v>1155992533.24</v>
          </cell>
          <cell r="J68">
            <v>168361.89</v>
          </cell>
          <cell r="K68">
            <v>1460623576.6950002</v>
          </cell>
          <cell r="L68">
            <v>195725.92</v>
          </cell>
          <cell r="M68">
            <v>1631864857.9999998</v>
          </cell>
          <cell r="N68">
            <v>229171.56</v>
          </cell>
          <cell r="O68">
            <v>1894102943.4000001</v>
          </cell>
          <cell r="P68">
            <v>142903.65</v>
          </cell>
          <cell r="Q68">
            <v>1292563514.25</v>
          </cell>
          <cell r="R68">
            <v>167233.27000000002</v>
          </cell>
          <cell r="S68">
            <v>1478007640.2600002</v>
          </cell>
          <cell r="T68">
            <v>202822.45</v>
          </cell>
          <cell r="U68">
            <v>1821751245.9000001</v>
          </cell>
          <cell r="V68">
            <v>235157.9</v>
          </cell>
          <cell r="W68">
            <v>2169919522.25</v>
          </cell>
          <cell r="X68">
            <v>270660.28000000003</v>
          </cell>
          <cell r="Y68">
            <v>2425657429.3600001</v>
          </cell>
          <cell r="Z68">
            <v>319679.76</v>
          </cell>
          <cell r="AA68">
            <v>2861133852</v>
          </cell>
        </row>
        <row r="69"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1580.57</v>
          </cell>
          <cell r="Q69">
            <v>14296255.649999999</v>
          </cell>
          <cell r="R69">
            <v>1580.57</v>
          </cell>
          <cell r="S69">
            <v>13969077.66</v>
          </cell>
          <cell r="T69">
            <v>1580.57</v>
          </cell>
          <cell r="U69">
            <v>14196679.74</v>
          </cell>
          <cell r="V69">
            <v>1580.57</v>
          </cell>
          <cell r="W69">
            <v>14584709.674999999</v>
          </cell>
          <cell r="X69">
            <v>1580.57</v>
          </cell>
          <cell r="Y69">
            <v>14165068.34</v>
          </cell>
          <cell r="Z69">
            <v>1580.57</v>
          </cell>
          <cell r="AA69">
            <v>14146101.5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1">
          <cell r="D71">
            <v>42999.839999999997</v>
          </cell>
          <cell r="E71">
            <v>381279581.27999997</v>
          </cell>
          <cell r="F71">
            <v>83253.67</v>
          </cell>
          <cell r="G71">
            <v>739375843.26999998</v>
          </cell>
          <cell r="H71">
            <v>129857.62</v>
          </cell>
          <cell r="I71">
            <v>1155992533.24</v>
          </cell>
          <cell r="J71">
            <v>168361.89</v>
          </cell>
          <cell r="K71">
            <v>1460623576.6950002</v>
          </cell>
          <cell r="L71">
            <v>195725.92</v>
          </cell>
          <cell r="M71">
            <v>1631864857.9999998</v>
          </cell>
          <cell r="N71">
            <v>229171.56</v>
          </cell>
          <cell r="O71">
            <v>1894102943.4000001</v>
          </cell>
          <cell r="P71">
            <v>141323.07999999999</v>
          </cell>
          <cell r="Q71">
            <v>1278267258.5999999</v>
          </cell>
          <cell r="R71">
            <v>165652.70000000001</v>
          </cell>
          <cell r="S71">
            <v>1464038562.6000001</v>
          </cell>
          <cell r="T71">
            <v>201241.88</v>
          </cell>
          <cell r="U71">
            <v>1807554566.1600001</v>
          </cell>
          <cell r="V71">
            <v>233577.33</v>
          </cell>
          <cell r="W71">
            <v>2155334812.5749998</v>
          </cell>
          <cell r="X71">
            <v>269079.71000000002</v>
          </cell>
          <cell r="Y71">
            <v>2411492361.02</v>
          </cell>
          <cell r="Z71">
            <v>318099.19</v>
          </cell>
          <cell r="AA71">
            <v>2846987750.5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4"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8">
          <cell r="D78">
            <v>15810.32</v>
          </cell>
          <cell r="E78">
            <v>140190107.44</v>
          </cell>
          <cell r="F78">
            <v>53520.59</v>
          </cell>
          <cell r="G78">
            <v>475316359.78999996</v>
          </cell>
          <cell r="H78">
            <v>70506.320000000007</v>
          </cell>
          <cell r="I78">
            <v>627647260.6400001</v>
          </cell>
          <cell r="J78">
            <v>90479.13</v>
          </cell>
          <cell r="K78">
            <v>784951692.31500006</v>
          </cell>
          <cell r="L78">
            <v>112078.55</v>
          </cell>
          <cell r="M78">
            <v>934454910.625</v>
          </cell>
          <cell r="N78">
            <v>137610.9</v>
          </cell>
          <cell r="O78">
            <v>1137354088.5</v>
          </cell>
          <cell r="P78">
            <v>262003.21</v>
          </cell>
          <cell r="Q78">
            <v>2369819034.4499998</v>
          </cell>
          <cell r="R78">
            <v>312231.21999999997</v>
          </cell>
          <cell r="S78">
            <v>2759499522.3599997</v>
          </cell>
          <cell r="T78">
            <v>327829.59999999998</v>
          </cell>
          <cell r="U78">
            <v>2944565467.1999998</v>
          </cell>
          <cell r="V78">
            <v>341350.23</v>
          </cell>
          <cell r="W78">
            <v>3149809247.3249998</v>
          </cell>
          <cell r="X78">
            <v>356953.97</v>
          </cell>
          <cell r="Y78">
            <v>3199021479.1399999</v>
          </cell>
          <cell r="Z78">
            <v>378234.65</v>
          </cell>
          <cell r="AA78">
            <v>3385200117.5</v>
          </cell>
        </row>
        <row r="79">
          <cell r="D79">
            <v>15810.32</v>
          </cell>
          <cell r="E79">
            <v>140190107.44</v>
          </cell>
          <cell r="F79">
            <v>53520.59</v>
          </cell>
          <cell r="G79">
            <v>475316359.78999996</v>
          </cell>
          <cell r="H79">
            <v>70506.320000000007</v>
          </cell>
          <cell r="I79">
            <v>627647260.6400001</v>
          </cell>
          <cell r="J79">
            <v>90479.13</v>
          </cell>
          <cell r="K79">
            <v>784951692.31500006</v>
          </cell>
          <cell r="L79">
            <v>112078.55</v>
          </cell>
          <cell r="M79">
            <v>934454910.625</v>
          </cell>
          <cell r="N79">
            <v>137610.9</v>
          </cell>
          <cell r="O79">
            <v>1137354088.5</v>
          </cell>
          <cell r="P79">
            <v>262003.21</v>
          </cell>
          <cell r="Q79">
            <v>2369819034.4499998</v>
          </cell>
          <cell r="R79">
            <v>312231.21999999997</v>
          </cell>
          <cell r="S79">
            <v>2759499522.3599997</v>
          </cell>
          <cell r="T79">
            <v>327829.59999999998</v>
          </cell>
          <cell r="U79">
            <v>2944565467.1999998</v>
          </cell>
          <cell r="V79">
            <v>341350.23</v>
          </cell>
          <cell r="W79">
            <v>3149809247.3249998</v>
          </cell>
          <cell r="X79">
            <v>356953.97</v>
          </cell>
          <cell r="Y79">
            <v>3199021479.1399999</v>
          </cell>
          <cell r="Z79">
            <v>378234.65</v>
          </cell>
          <cell r="AA79">
            <v>3385200117.5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4">
          <cell r="D84">
            <v>139996.96</v>
          </cell>
          <cell r="E84">
            <v>1241353044.3199997</v>
          </cell>
          <cell r="F84">
            <v>285223.40000000002</v>
          </cell>
          <cell r="G84">
            <v>2533069015.4000001</v>
          </cell>
          <cell r="H84">
            <v>433484.29</v>
          </cell>
          <cell r="I84">
            <v>3858877149.5800004</v>
          </cell>
          <cell r="J84">
            <v>599417.57999999996</v>
          </cell>
          <cell r="K84">
            <v>5200247215.289999</v>
          </cell>
          <cell r="L84">
            <v>782342.98</v>
          </cell>
          <cell r="M84">
            <v>6522784595.75</v>
          </cell>
          <cell r="N84">
            <v>960223.58</v>
          </cell>
          <cell r="O84">
            <v>7936247888.7000008</v>
          </cell>
          <cell r="P84">
            <v>1726548.63</v>
          </cell>
          <cell r="Q84">
            <v>15616632358.349998</v>
          </cell>
          <cell r="R84">
            <v>1915212.65</v>
          </cell>
          <cell r="S84">
            <v>16926649400.700001</v>
          </cell>
          <cell r="T84">
            <v>2049313.88</v>
          </cell>
          <cell r="U84">
            <v>18406937270.16</v>
          </cell>
          <cell r="V84">
            <v>2188327.86</v>
          </cell>
          <cell r="W84">
            <v>20192795328.150002</v>
          </cell>
          <cell r="X84">
            <v>2322026.0099999998</v>
          </cell>
          <cell r="Y84">
            <v>20809997101.620003</v>
          </cell>
          <cell r="Z84">
            <v>2463003.7599999998</v>
          </cell>
          <cell r="AA84">
            <v>22043883652</v>
          </cell>
        </row>
        <row r="86">
          <cell r="D86">
            <v>139996.96</v>
          </cell>
          <cell r="E86">
            <v>1241353044.3199997</v>
          </cell>
          <cell r="F86">
            <v>285223.40000000002</v>
          </cell>
          <cell r="G86">
            <v>2533069015.4000001</v>
          </cell>
          <cell r="H86">
            <v>433484.29</v>
          </cell>
          <cell r="I86">
            <v>3858877149.5800004</v>
          </cell>
          <cell r="J86">
            <v>599417.57999999996</v>
          </cell>
          <cell r="K86">
            <v>5200247215.289999</v>
          </cell>
          <cell r="L86">
            <v>782342.98</v>
          </cell>
          <cell r="M86">
            <v>6522784595.75</v>
          </cell>
          <cell r="N86">
            <v>960223.58</v>
          </cell>
          <cell r="O86">
            <v>7936247888.7000008</v>
          </cell>
          <cell r="P86">
            <v>1726548.63</v>
          </cell>
          <cell r="Q86">
            <v>15616632358.349998</v>
          </cell>
          <cell r="R86">
            <v>1915212.65</v>
          </cell>
          <cell r="S86">
            <v>16926649400.700001</v>
          </cell>
          <cell r="T86">
            <v>2049313.88</v>
          </cell>
          <cell r="U86">
            <v>18406937270.16</v>
          </cell>
          <cell r="V86">
            <v>2188327.86</v>
          </cell>
          <cell r="W86">
            <v>20192795328.150002</v>
          </cell>
          <cell r="X86">
            <v>2322026.0099999998</v>
          </cell>
          <cell r="Y86">
            <v>20809997101.620003</v>
          </cell>
          <cell r="Z86">
            <v>2463003.7599999998</v>
          </cell>
          <cell r="AA86">
            <v>22043883652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5496.7</v>
          </cell>
          <cell r="W88">
            <v>50720799.25</v>
          </cell>
          <cell r="X88">
            <v>5985.16</v>
          </cell>
          <cell r="Y88">
            <v>53639003.920000002</v>
          </cell>
          <cell r="Z88">
            <v>0</v>
          </cell>
          <cell r="AA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V90">
            <v>5496.7</v>
          </cell>
          <cell r="W90">
            <v>50720799.25</v>
          </cell>
          <cell r="X90">
            <v>5985.16</v>
          </cell>
          <cell r="Y90">
            <v>53639003.920000002</v>
          </cell>
          <cell r="Z90">
            <v>0</v>
          </cell>
          <cell r="AA90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5">
          <cell r="D95">
            <v>30003.58</v>
          </cell>
          <cell r="E95">
            <v>266041743.86000001</v>
          </cell>
          <cell r="F95">
            <v>54122.21</v>
          </cell>
          <cell r="G95">
            <v>480659347.00999999</v>
          </cell>
          <cell r="H95">
            <v>86499.33</v>
          </cell>
          <cell r="I95">
            <v>770017035.65999997</v>
          </cell>
          <cell r="J95">
            <v>119816.27</v>
          </cell>
          <cell r="K95">
            <v>1039466050.385</v>
          </cell>
          <cell r="L95">
            <v>157961.45000000001</v>
          </cell>
          <cell r="M95">
            <v>1317003589.375</v>
          </cell>
          <cell r="N95">
            <v>194941.73</v>
          </cell>
          <cell r="O95">
            <v>1611193398.45</v>
          </cell>
          <cell r="P95">
            <v>182750.45</v>
          </cell>
          <cell r="Q95">
            <v>1652977820.25</v>
          </cell>
          <cell r="R95">
            <v>211692.17</v>
          </cell>
          <cell r="S95">
            <v>1870935398.46</v>
          </cell>
          <cell r="T95">
            <v>241250.32</v>
          </cell>
          <cell r="U95">
            <v>2166910374.2400002</v>
          </cell>
          <cell r="V95">
            <v>270917.33</v>
          </cell>
          <cell r="W95">
            <v>2499889662.5749998</v>
          </cell>
          <cell r="X95">
            <v>293659.96000000002</v>
          </cell>
          <cell r="Y95">
            <v>2631780561.52</v>
          </cell>
          <cell r="Z95">
            <v>313848.11</v>
          </cell>
          <cell r="AA95">
            <v>2808940584.5</v>
          </cell>
        </row>
        <row r="96"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0">
          <cell r="D100">
            <v>969.37</v>
          </cell>
          <cell r="E100">
            <v>8595403.790000001</v>
          </cell>
          <cell r="F100">
            <v>1485.16</v>
          </cell>
          <cell r="G100">
            <v>13189705.960000001</v>
          </cell>
          <cell r="H100">
            <v>2617.77</v>
          </cell>
          <cell r="I100">
            <v>23303388.539999999</v>
          </cell>
          <cell r="J100">
            <v>3767.05</v>
          </cell>
          <cell r="K100">
            <v>32681042.275000002</v>
          </cell>
          <cell r="L100">
            <v>4954.6400000000003</v>
          </cell>
          <cell r="M100">
            <v>41309311</v>
          </cell>
          <cell r="N100">
            <v>6103.91</v>
          </cell>
          <cell r="O100">
            <v>50448816.149999999</v>
          </cell>
          <cell r="P100">
            <v>11856.7</v>
          </cell>
          <cell r="Q100">
            <v>107243851.5</v>
          </cell>
          <cell r="R100">
            <v>13637.91</v>
          </cell>
          <cell r="S100">
            <v>120531848.58</v>
          </cell>
          <cell r="T100">
            <v>15361.65</v>
          </cell>
          <cell r="U100">
            <v>137978340.29999998</v>
          </cell>
          <cell r="V100">
            <v>17142.86</v>
          </cell>
          <cell r="W100">
            <v>158185740.65000001</v>
          </cell>
          <cell r="X100">
            <v>18502.759999999998</v>
          </cell>
          <cell r="Y100">
            <v>165821735.11999997</v>
          </cell>
          <cell r="Z100">
            <v>19690.32</v>
          </cell>
          <cell r="AA100">
            <v>176228364</v>
          </cell>
        </row>
        <row r="102">
          <cell r="D102">
            <v>13832.09</v>
          </cell>
          <cell r="E102">
            <v>122649142.03</v>
          </cell>
          <cell r="F102">
            <v>25540.5</v>
          </cell>
          <cell r="G102">
            <v>226825180.50000003</v>
          </cell>
          <cell r="H102">
            <v>40757.589999999997</v>
          </cell>
          <cell r="I102">
            <v>362824066.17999995</v>
          </cell>
          <cell r="J102">
            <v>54960.4</v>
          </cell>
          <cell r="K102">
            <v>476808950.19999999</v>
          </cell>
          <cell r="L102">
            <v>71005.73</v>
          </cell>
          <cell r="M102">
            <v>592010273.87500012</v>
          </cell>
          <cell r="N102">
            <v>85993.61</v>
          </cell>
          <cell r="O102">
            <v>710737186.64999998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1291.95</v>
          </cell>
          <cell r="AA102">
            <v>11562952.5</v>
          </cell>
        </row>
        <row r="103"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5"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D106">
            <v>15202.12</v>
          </cell>
          <cell r="E106">
            <v>134797198.04000002</v>
          </cell>
          <cell r="F106">
            <v>27096.55</v>
          </cell>
          <cell r="G106">
            <v>240644460.54999998</v>
          </cell>
          <cell r="H106">
            <v>43123.97</v>
          </cell>
          <cell r="I106">
            <v>383889580.94</v>
          </cell>
          <cell r="J106">
            <v>61088.82</v>
          </cell>
          <cell r="K106">
            <v>529976057.91000003</v>
          </cell>
          <cell r="L106">
            <v>82001.08</v>
          </cell>
          <cell r="M106">
            <v>683684004.5</v>
          </cell>
          <cell r="N106">
            <v>102844.21</v>
          </cell>
          <cell r="O106">
            <v>850007395.6500001</v>
          </cell>
          <cell r="P106">
            <v>170893.75</v>
          </cell>
          <cell r="Q106">
            <v>1545733968.75</v>
          </cell>
          <cell r="R106">
            <v>198054.26</v>
          </cell>
          <cell r="S106">
            <v>1750403549.8800001</v>
          </cell>
          <cell r="T106">
            <v>225888.67</v>
          </cell>
          <cell r="U106">
            <v>2028932033.9400001</v>
          </cell>
          <cell r="V106">
            <v>253774.47</v>
          </cell>
          <cell r="W106">
            <v>2341703921.9249997</v>
          </cell>
          <cell r="X106">
            <v>275157.2</v>
          </cell>
          <cell r="Y106">
            <v>2465958826.4000001</v>
          </cell>
          <cell r="Z106">
            <v>292865.84000000003</v>
          </cell>
          <cell r="AA106">
            <v>2621149268</v>
          </cell>
        </row>
        <row r="107"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9">
          <cell r="D109">
            <v>80113.48</v>
          </cell>
          <cell r="E109">
            <v>710366227.15999997</v>
          </cell>
          <cell r="F109">
            <v>152474.03</v>
          </cell>
          <cell r="G109">
            <v>1354121860.4300001</v>
          </cell>
          <cell r="H109">
            <v>236694.18</v>
          </cell>
          <cell r="I109">
            <v>2107051590.3599999</v>
          </cell>
          <cell r="J109">
            <v>332163.62</v>
          </cell>
          <cell r="K109">
            <v>2881685485.3099999</v>
          </cell>
          <cell r="L109">
            <v>436319.65</v>
          </cell>
          <cell r="M109">
            <v>3637815081.875</v>
          </cell>
          <cell r="N109">
            <v>531351.24</v>
          </cell>
          <cell r="O109">
            <v>4391617998.6000004</v>
          </cell>
          <cell r="P109">
            <v>1134401.43</v>
          </cell>
          <cell r="Q109">
            <v>10260660934.349998</v>
          </cell>
          <cell r="R109">
            <v>1225731.3500000001</v>
          </cell>
          <cell r="S109">
            <v>10833013671.300001</v>
          </cell>
          <cell r="T109">
            <v>1303135.52</v>
          </cell>
          <cell r="U109">
            <v>11704763240.639999</v>
          </cell>
          <cell r="V109">
            <v>1383119.82</v>
          </cell>
          <cell r="W109">
            <v>12762738139.050001</v>
          </cell>
          <cell r="X109">
            <v>1465590.66</v>
          </cell>
          <cell r="Y109">
            <v>13134623494.92</v>
          </cell>
          <cell r="Z109">
            <v>1546954.13</v>
          </cell>
          <cell r="AA109">
            <v>13845239463.499998</v>
          </cell>
        </row>
        <row r="110">
          <cell r="D110">
            <v>80113.48</v>
          </cell>
          <cell r="E110">
            <v>710366227.15999997</v>
          </cell>
          <cell r="F110">
            <v>152474.03</v>
          </cell>
          <cell r="G110">
            <v>1354121860.4300001</v>
          </cell>
          <cell r="H110">
            <v>236694.18</v>
          </cell>
          <cell r="I110">
            <v>2107051590.3599999</v>
          </cell>
          <cell r="J110">
            <v>332163.62</v>
          </cell>
          <cell r="K110">
            <v>2881685485.3099999</v>
          </cell>
          <cell r="L110">
            <v>436319.65</v>
          </cell>
          <cell r="M110">
            <v>3637815081.875</v>
          </cell>
          <cell r="N110">
            <v>531351.24</v>
          </cell>
          <cell r="O110">
            <v>4391617998.6000004</v>
          </cell>
          <cell r="P110">
            <v>1134401.43</v>
          </cell>
          <cell r="Q110">
            <v>10260660934.349998</v>
          </cell>
          <cell r="R110">
            <v>1225731.3500000001</v>
          </cell>
          <cell r="S110">
            <v>10833013671.300001</v>
          </cell>
          <cell r="T110">
            <v>1303135.52</v>
          </cell>
          <cell r="U110">
            <v>11704763240.639999</v>
          </cell>
          <cell r="V110">
            <v>1383119.82</v>
          </cell>
          <cell r="W110">
            <v>12762738139.050001</v>
          </cell>
          <cell r="X110">
            <v>1465590.66</v>
          </cell>
          <cell r="Y110">
            <v>13134623494.92</v>
          </cell>
          <cell r="Z110">
            <v>1546954.13</v>
          </cell>
          <cell r="AA110">
            <v>13845239463.499998</v>
          </cell>
        </row>
        <row r="112">
          <cell r="D112">
            <v>29403.91</v>
          </cell>
          <cell r="E112">
            <v>260724469.97</v>
          </cell>
          <cell r="F112">
            <v>77722.210000000006</v>
          </cell>
          <cell r="G112">
            <v>690250947.00999987</v>
          </cell>
          <cell r="H112">
            <v>108944.26</v>
          </cell>
          <cell r="I112">
            <v>969821802.5200001</v>
          </cell>
          <cell r="J112">
            <v>145664.18</v>
          </cell>
          <cell r="K112">
            <v>1263709593.5899999</v>
          </cell>
          <cell r="L112">
            <v>185865.43</v>
          </cell>
          <cell r="M112">
            <v>1549653022.6250002</v>
          </cell>
          <cell r="N112">
            <v>231332.48000000001</v>
          </cell>
          <cell r="O112">
            <v>1911962947.1999998</v>
          </cell>
          <cell r="P112">
            <v>409396.75</v>
          </cell>
          <cell r="Q112">
            <v>3702993603.75</v>
          </cell>
          <cell r="R112">
            <v>477789.13</v>
          </cell>
          <cell r="S112">
            <v>4222700330.9400001</v>
          </cell>
          <cell r="T112">
            <v>504928.04</v>
          </cell>
          <cell r="U112">
            <v>4535263655.2799997</v>
          </cell>
          <cell r="V112">
            <v>528794.01</v>
          </cell>
          <cell r="W112">
            <v>4879446727.2749996</v>
          </cell>
          <cell r="X112">
            <v>556790.23</v>
          </cell>
          <cell r="Y112">
            <v>4989954041.2600002</v>
          </cell>
          <cell r="Z112">
            <v>595732.04</v>
          </cell>
          <cell r="AA112">
            <v>5331801757.999999</v>
          </cell>
        </row>
        <row r="113">
          <cell r="D113">
            <v>29403.91</v>
          </cell>
          <cell r="E113">
            <v>260724469.97</v>
          </cell>
          <cell r="F113">
            <v>77722.210000000006</v>
          </cell>
          <cell r="G113">
            <v>690250947.00999987</v>
          </cell>
          <cell r="H113">
            <v>108944.26</v>
          </cell>
          <cell r="I113">
            <v>969821802.5200001</v>
          </cell>
          <cell r="J113">
            <v>145664.18</v>
          </cell>
          <cell r="K113">
            <v>1263709593.5899999</v>
          </cell>
          <cell r="L113">
            <v>185865.43</v>
          </cell>
          <cell r="M113">
            <v>1549653022.6250002</v>
          </cell>
          <cell r="N113">
            <v>231332.48000000001</v>
          </cell>
          <cell r="O113">
            <v>1911962947.1999998</v>
          </cell>
          <cell r="P113">
            <v>409396.75</v>
          </cell>
          <cell r="Q113">
            <v>3702993603.75</v>
          </cell>
          <cell r="R113">
            <v>477789.13</v>
          </cell>
          <cell r="S113">
            <v>4222700330.9400001</v>
          </cell>
          <cell r="T113">
            <v>504928.04</v>
          </cell>
          <cell r="U113">
            <v>4535263655.2799997</v>
          </cell>
          <cell r="V113">
            <v>528794.01</v>
          </cell>
          <cell r="W113">
            <v>4879446727.2749996</v>
          </cell>
          <cell r="X113">
            <v>556790.23</v>
          </cell>
          <cell r="Y113">
            <v>4989954041.2600002</v>
          </cell>
          <cell r="Z113">
            <v>595732.04</v>
          </cell>
          <cell r="AA113">
            <v>5331801757.999999</v>
          </cell>
        </row>
        <row r="115">
          <cell r="D115">
            <v>475.99</v>
          </cell>
          <cell r="E115">
            <v>4220603.33</v>
          </cell>
          <cell r="F115">
            <v>904.95</v>
          </cell>
          <cell r="G115">
            <v>8036860.9500000002</v>
          </cell>
          <cell r="H115">
            <v>1346.52</v>
          </cell>
          <cell r="I115">
            <v>11986721.039999999</v>
          </cell>
          <cell r="J115">
            <v>1773.51</v>
          </cell>
          <cell r="K115">
            <v>15386086.005000001</v>
          </cell>
          <cell r="L115">
            <v>2196.4499999999998</v>
          </cell>
          <cell r="M115">
            <v>18312901.875</v>
          </cell>
          <cell r="N115">
            <v>2598.13</v>
          </cell>
          <cell r="O115">
            <v>21473544.449999999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6469.48</v>
          </cell>
          <cell r="AA115">
            <v>57901845.999999993</v>
          </cell>
        </row>
        <row r="116">
          <cell r="D116">
            <v>475.99</v>
          </cell>
          <cell r="E116">
            <v>4220603.33</v>
          </cell>
          <cell r="F116">
            <v>904.95</v>
          </cell>
          <cell r="G116">
            <v>8036860.9500000002</v>
          </cell>
          <cell r="H116">
            <v>1346.52</v>
          </cell>
          <cell r="I116">
            <v>11986721.039999999</v>
          </cell>
          <cell r="J116">
            <v>1773.51</v>
          </cell>
          <cell r="K116">
            <v>15386086.005000001</v>
          </cell>
          <cell r="L116">
            <v>2196.4499999999998</v>
          </cell>
          <cell r="M116">
            <v>18312901.875</v>
          </cell>
          <cell r="N116">
            <v>2598.13</v>
          </cell>
          <cell r="O116">
            <v>21473544.449999999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6469.48</v>
          </cell>
          <cell r="AA116">
            <v>57901845.999999993</v>
          </cell>
        </row>
        <row r="118"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20"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2"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5">
          <cell r="D125">
            <v>343239.28</v>
          </cell>
          <cell r="E125">
            <v>3043502695.7600002</v>
          </cell>
          <cell r="F125">
            <v>649591.39</v>
          </cell>
          <cell r="G125">
            <v>5769021134.5900021</v>
          </cell>
          <cell r="H125">
            <v>1016198.45</v>
          </cell>
          <cell r="I125">
            <v>9046198601.9000015</v>
          </cell>
          <cell r="J125">
            <v>1385403.83</v>
          </cell>
          <cell r="K125">
            <v>12019070927.165003</v>
          </cell>
          <cell r="L125">
            <v>1774564.95</v>
          </cell>
          <cell r="M125">
            <v>14795435270.625</v>
          </cell>
          <cell r="N125">
            <v>2136686.5499999998</v>
          </cell>
          <cell r="O125">
            <v>17659714335.750004</v>
          </cell>
          <cell r="P125">
            <v>2069808.4800000009</v>
          </cell>
          <cell r="Q125">
            <v>18721417701.599998</v>
          </cell>
          <cell r="R125">
            <v>2418522.6200000006</v>
          </cell>
          <cell r="S125">
            <v>21374902915.560009</v>
          </cell>
          <cell r="T125">
            <v>2757499.29</v>
          </cell>
          <cell r="U125">
            <v>24767858622.780003</v>
          </cell>
          <cell r="V125">
            <v>3126251.68</v>
          </cell>
          <cell r="W125">
            <v>28847487377.199989</v>
          </cell>
          <cell r="X125">
            <v>3481683.55</v>
          </cell>
          <cell r="Y125">
            <v>31202847975.100006</v>
          </cell>
          <cell r="Z125">
            <v>3858887.14</v>
          </cell>
          <cell r="AA125">
            <v>34537039903</v>
          </cell>
        </row>
        <row r="131">
          <cell r="D131">
            <v>177435.4</v>
          </cell>
          <cell r="E131">
            <v>1573319691.8</v>
          </cell>
          <cell r="F131">
            <v>394210.84</v>
          </cell>
          <cell r="G131">
            <v>3500986470.04</v>
          </cell>
          <cell r="H131">
            <v>664627.12</v>
          </cell>
          <cell r="I131">
            <v>5916510622.2399998</v>
          </cell>
          <cell r="J131">
            <v>894870.9</v>
          </cell>
          <cell r="K131">
            <v>7763452492.9500008</v>
          </cell>
          <cell r="L131">
            <v>1079665.92</v>
          </cell>
          <cell r="M131">
            <v>9001714608</v>
          </cell>
          <cell r="N131">
            <v>1387658.21</v>
          </cell>
          <cell r="O131">
            <v>11468995105.650002</v>
          </cell>
          <cell r="P131">
            <v>1666189.17</v>
          </cell>
          <cell r="Q131">
            <v>15070681042.649998</v>
          </cell>
          <cell r="R131">
            <v>1888151.4999999998</v>
          </cell>
          <cell r="S131">
            <v>16687482957</v>
          </cell>
          <cell r="T131">
            <v>2036865.62</v>
          </cell>
          <cell r="U131">
            <v>18295126998.84</v>
          </cell>
          <cell r="V131">
            <v>2317131.85</v>
          </cell>
          <cell r="W131">
            <v>21381334145.875</v>
          </cell>
          <cell r="X131">
            <v>2505624.94</v>
          </cell>
          <cell r="Y131">
            <v>22455410712.279999</v>
          </cell>
          <cell r="Z131">
            <v>2772294.96</v>
          </cell>
          <cell r="AA131">
            <v>24812039892</v>
          </cell>
        </row>
        <row r="133">
          <cell r="D133">
            <v>177435.4</v>
          </cell>
          <cell r="E133">
            <v>1573319691.8</v>
          </cell>
          <cell r="F133">
            <v>394210.84</v>
          </cell>
          <cell r="G133">
            <v>3500986470.0399995</v>
          </cell>
          <cell r="H133">
            <v>664627.12</v>
          </cell>
          <cell r="I133">
            <v>5916510622.2399998</v>
          </cell>
          <cell r="J133">
            <v>894870.9</v>
          </cell>
          <cell r="K133">
            <v>7763452492.9500008</v>
          </cell>
          <cell r="L133">
            <v>1079665.92</v>
          </cell>
          <cell r="M133">
            <v>9001714608</v>
          </cell>
          <cell r="N133">
            <v>1387658.21</v>
          </cell>
          <cell r="O133">
            <v>11468995105.65</v>
          </cell>
          <cell r="P133">
            <v>1666189.17</v>
          </cell>
          <cell r="Q133">
            <v>15070681042.649998</v>
          </cell>
          <cell r="R133">
            <v>1888151.5</v>
          </cell>
          <cell r="S133">
            <v>16687482957</v>
          </cell>
          <cell r="T133">
            <v>2036865.62</v>
          </cell>
          <cell r="U133">
            <v>18295126998.84</v>
          </cell>
          <cell r="V133">
            <v>2317131.85</v>
          </cell>
          <cell r="W133">
            <v>21381334145.875</v>
          </cell>
          <cell r="X133">
            <v>2505624.94</v>
          </cell>
          <cell r="Y133">
            <v>22455410712.279999</v>
          </cell>
          <cell r="Z133">
            <v>2772294.96</v>
          </cell>
          <cell r="AA133">
            <v>24812039892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4485.1400000000003</v>
          </cell>
          <cell r="Q134">
            <v>40568091.300000004</v>
          </cell>
          <cell r="R134">
            <v>4865.4799999999996</v>
          </cell>
          <cell r="S134">
            <v>43001112.239999995</v>
          </cell>
          <cell r="T134">
            <v>5432.23</v>
          </cell>
          <cell r="U134">
            <v>48792289.859999999</v>
          </cell>
          <cell r="V134">
            <v>5467.23</v>
          </cell>
          <cell r="W134">
            <v>50448864.824999996</v>
          </cell>
          <cell r="X134">
            <v>5467.23</v>
          </cell>
          <cell r="Y134">
            <v>48997315.260000005</v>
          </cell>
          <cell r="Z134">
            <v>5467.23</v>
          </cell>
          <cell r="AA134">
            <v>48931708.499999993</v>
          </cell>
        </row>
        <row r="135"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</row>
        <row r="136"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</row>
        <row r="137"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</row>
        <row r="138"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</row>
        <row r="139">
          <cell r="D139">
            <v>21232.880000000001</v>
          </cell>
          <cell r="E139">
            <v>188271946.96000001</v>
          </cell>
          <cell r="F139">
            <v>40410.959999999999</v>
          </cell>
          <cell r="G139">
            <v>358889735.75999999</v>
          </cell>
          <cell r="H139">
            <v>61643.839999999997</v>
          </cell>
          <cell r="I139">
            <v>548753463.67999995</v>
          </cell>
          <cell r="J139">
            <v>82191.789999999994</v>
          </cell>
          <cell r="K139">
            <v>713054874.14499998</v>
          </cell>
          <cell r="L139">
            <v>103424.67</v>
          </cell>
          <cell r="M139">
            <v>862303186.125</v>
          </cell>
          <cell r="N139">
            <v>123972.62</v>
          </cell>
          <cell r="O139">
            <v>1024633704.3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39.020000000000003</v>
          </cell>
          <cell r="W139">
            <v>360057.05</v>
          </cell>
          <cell r="X139">
            <v>20586.97</v>
          </cell>
          <cell r="Y139">
            <v>184500425.14000002</v>
          </cell>
          <cell r="Z139">
            <v>80321.09</v>
          </cell>
          <cell r="AA139">
            <v>718873755.5</v>
          </cell>
        </row>
        <row r="140">
          <cell r="D140">
            <v>83730.41</v>
          </cell>
          <cell r="E140">
            <v>742437545.47000003</v>
          </cell>
          <cell r="F140">
            <v>111633.46</v>
          </cell>
          <cell r="G140">
            <v>991416758.26000011</v>
          </cell>
          <cell r="H140">
            <v>133932.09</v>
          </cell>
          <cell r="I140">
            <v>1192263465.1800003</v>
          </cell>
          <cell r="J140">
            <v>172700.7</v>
          </cell>
          <cell r="K140">
            <v>1498264922.8499999</v>
          </cell>
          <cell r="L140">
            <v>230157.6</v>
          </cell>
          <cell r="M140">
            <v>1918938989.9999998</v>
          </cell>
          <cell r="N140">
            <v>282549.48</v>
          </cell>
          <cell r="O140">
            <v>2335271452.2000003</v>
          </cell>
          <cell r="P140">
            <v>205456.27</v>
          </cell>
          <cell r="Q140">
            <v>1858351962.1499999</v>
          </cell>
          <cell r="R140">
            <v>235617.88</v>
          </cell>
          <cell r="S140">
            <v>2082390823.4400001</v>
          </cell>
          <cell r="T140">
            <v>252132.6</v>
          </cell>
          <cell r="U140">
            <v>2264655013.1999998</v>
          </cell>
          <cell r="V140">
            <v>270019.65999999997</v>
          </cell>
          <cell r="W140">
            <v>2491606412.6500001</v>
          </cell>
          <cell r="X140">
            <v>298864.15000000002</v>
          </cell>
          <cell r="Y140">
            <v>2678420512.3000002</v>
          </cell>
          <cell r="Z140">
            <v>300094.71000000002</v>
          </cell>
          <cell r="AA140">
            <v>2685847654.4999995</v>
          </cell>
        </row>
        <row r="141">
          <cell r="D141">
            <v>33219.71</v>
          </cell>
          <cell r="E141">
            <v>294559168.56999999</v>
          </cell>
          <cell r="F141">
            <v>94043.83</v>
          </cell>
          <cell r="G141">
            <v>835203254.2299999</v>
          </cell>
          <cell r="H141">
            <v>162882.88</v>
          </cell>
          <cell r="I141">
            <v>1449983397.76</v>
          </cell>
          <cell r="J141">
            <v>227968.81</v>
          </cell>
          <cell r="K141">
            <v>1977743411.1550002</v>
          </cell>
          <cell r="L141">
            <v>286093.81</v>
          </cell>
          <cell r="M141">
            <v>2385307140.875</v>
          </cell>
          <cell r="N141">
            <v>341962.5</v>
          </cell>
          <cell r="O141">
            <v>2826320062.5</v>
          </cell>
          <cell r="P141">
            <v>290528.71000000002</v>
          </cell>
          <cell r="Q141">
            <v>2627832181.9500003</v>
          </cell>
          <cell r="R141">
            <v>364219</v>
          </cell>
          <cell r="S141">
            <v>3218967522</v>
          </cell>
          <cell r="T141">
            <v>451647.75</v>
          </cell>
          <cell r="U141">
            <v>4056700090.4999995</v>
          </cell>
          <cell r="V141">
            <v>507094.08</v>
          </cell>
          <cell r="W141">
            <v>4679210623.1999998</v>
          </cell>
          <cell r="X141">
            <v>539496.39</v>
          </cell>
          <cell r="Y141">
            <v>4834966647.1800013</v>
          </cell>
          <cell r="Z141">
            <v>601510.57999999996</v>
          </cell>
          <cell r="AA141">
            <v>5383519691.000001</v>
          </cell>
        </row>
        <row r="142">
          <cell r="D142">
            <v>834</v>
          </cell>
          <cell r="E142">
            <v>7395078</v>
          </cell>
          <cell r="F142">
            <v>2749.28</v>
          </cell>
          <cell r="G142">
            <v>24416355.679999996</v>
          </cell>
          <cell r="H142">
            <v>3124.28</v>
          </cell>
          <cell r="I142">
            <v>27812340.559999999</v>
          </cell>
          <cell r="J142">
            <v>8393.7199999999993</v>
          </cell>
          <cell r="K142">
            <v>72819717.860000014</v>
          </cell>
          <cell r="L142">
            <v>8393.7199999999993</v>
          </cell>
          <cell r="M142">
            <v>69982640.5</v>
          </cell>
          <cell r="N142">
            <v>8393.7199999999993</v>
          </cell>
          <cell r="O142">
            <v>69374095.799999997</v>
          </cell>
          <cell r="P142">
            <v>31838.34</v>
          </cell>
          <cell r="Q142">
            <v>287977785.30000001</v>
          </cell>
          <cell r="R142">
            <v>31838.34</v>
          </cell>
          <cell r="S142">
            <v>281387248.92000002</v>
          </cell>
          <cell r="T142">
            <v>37035.81</v>
          </cell>
          <cell r="U142">
            <v>332655645.41999996</v>
          </cell>
          <cell r="V142">
            <v>45131.51</v>
          </cell>
          <cell r="W142">
            <v>416451008.52500004</v>
          </cell>
          <cell r="X142">
            <v>45131.51</v>
          </cell>
          <cell r="Y142">
            <v>404468592.62</v>
          </cell>
          <cell r="Z142">
            <v>45131.51</v>
          </cell>
          <cell r="AA142">
            <v>403927014.5</v>
          </cell>
        </row>
        <row r="143"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</row>
        <row r="144">
          <cell r="D144">
            <v>16207.99</v>
          </cell>
          <cell r="E144">
            <v>143716247.32999998</v>
          </cell>
          <cell r="F144">
            <v>28877.19</v>
          </cell>
          <cell r="G144">
            <v>256458324.38999999</v>
          </cell>
          <cell r="H144">
            <v>43963.44</v>
          </cell>
          <cell r="I144">
            <v>391362542.87999994</v>
          </cell>
          <cell r="J144">
            <v>63640.92</v>
          </cell>
          <cell r="K144">
            <v>552116801.46000004</v>
          </cell>
          <cell r="L144">
            <v>84151.48</v>
          </cell>
          <cell r="M144">
            <v>701612964.50000012</v>
          </cell>
          <cell r="N144">
            <v>130155.18</v>
          </cell>
          <cell r="O144">
            <v>1075732562.7</v>
          </cell>
          <cell r="P144">
            <v>84160.05</v>
          </cell>
          <cell r="Q144">
            <v>761227652.25</v>
          </cell>
          <cell r="R144">
            <v>96425.8</v>
          </cell>
          <cell r="S144">
            <v>852211220.39999998</v>
          </cell>
          <cell r="T144">
            <v>106449.35</v>
          </cell>
          <cell r="U144">
            <v>956128061.70000005</v>
          </cell>
          <cell r="V144">
            <v>124556.02</v>
          </cell>
          <cell r="W144">
            <v>1149340674.55</v>
          </cell>
          <cell r="X144">
            <v>138440.44</v>
          </cell>
          <cell r="Y144">
            <v>1240703223.28</v>
          </cell>
          <cell r="Z144">
            <v>152821.4</v>
          </cell>
          <cell r="AA144">
            <v>1367751530</v>
          </cell>
        </row>
        <row r="145">
          <cell r="D145">
            <v>22210.41</v>
          </cell>
          <cell r="E145">
            <v>196939705.47</v>
          </cell>
          <cell r="F145">
            <v>116496.12</v>
          </cell>
          <cell r="G145">
            <v>1034602041.7199999</v>
          </cell>
          <cell r="H145">
            <v>259080.59</v>
          </cell>
          <cell r="I145">
            <v>2306335412.1799998</v>
          </cell>
          <cell r="J145">
            <v>339974.96</v>
          </cell>
          <cell r="K145">
            <v>2949452765.48</v>
          </cell>
          <cell r="L145">
            <v>367444.64</v>
          </cell>
          <cell r="M145">
            <v>3063569686</v>
          </cell>
          <cell r="N145">
            <v>500624.71</v>
          </cell>
          <cell r="O145">
            <v>4137663228.1500001</v>
          </cell>
          <cell r="P145">
            <v>1049720.6599999999</v>
          </cell>
          <cell r="Q145">
            <v>9494723369.6999989</v>
          </cell>
          <cell r="R145">
            <v>1155185</v>
          </cell>
          <cell r="S145">
            <v>10209525030</v>
          </cell>
          <cell r="T145">
            <v>1184167.8799999999</v>
          </cell>
          <cell r="U145">
            <v>10636195898.16</v>
          </cell>
          <cell r="V145">
            <v>1364824.33</v>
          </cell>
          <cell r="W145">
            <v>12593916505.075001</v>
          </cell>
          <cell r="X145">
            <v>1457638.25</v>
          </cell>
          <cell r="Y145">
            <v>13063353996.5</v>
          </cell>
          <cell r="Z145">
            <v>1586948.44</v>
          </cell>
          <cell r="AA145">
            <v>14203188538.000002</v>
          </cell>
        </row>
        <row r="148"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77.930000000000007</v>
          </cell>
          <cell r="Q148">
            <v>704876.85000000009</v>
          </cell>
          <cell r="R148">
            <v>77.58</v>
          </cell>
          <cell r="S148">
            <v>685652.04</v>
          </cell>
          <cell r="T148">
            <v>78.459999999999994</v>
          </cell>
          <cell r="U148">
            <v>704727.72</v>
          </cell>
          <cell r="V148">
            <v>78.040000000000006</v>
          </cell>
          <cell r="W148">
            <v>720114.1</v>
          </cell>
          <cell r="X148">
            <v>77.680000000000007</v>
          </cell>
          <cell r="Y148">
            <v>696168.16</v>
          </cell>
          <cell r="Z148">
            <v>80.47</v>
          </cell>
          <cell r="AA148">
            <v>720206.5</v>
          </cell>
        </row>
        <row r="150"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</row>
        <row r="151"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</row>
        <row r="153"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77.930000000000007</v>
          </cell>
          <cell r="Q153">
            <v>704876.85000000009</v>
          </cell>
          <cell r="R153">
            <v>77.58</v>
          </cell>
          <cell r="S153">
            <v>685652.04</v>
          </cell>
          <cell r="T153">
            <v>78.459999999999994</v>
          </cell>
          <cell r="U153">
            <v>704727.72</v>
          </cell>
          <cell r="V153">
            <v>78.040000000000006</v>
          </cell>
          <cell r="W153">
            <v>720114.1</v>
          </cell>
          <cell r="X153">
            <v>77.680000000000007</v>
          </cell>
          <cell r="Y153">
            <v>696168.16</v>
          </cell>
          <cell r="Z153">
            <v>80.47</v>
          </cell>
          <cell r="AA153">
            <v>720206.5</v>
          </cell>
        </row>
        <row r="154"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</row>
        <row r="155"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77.930000000000007</v>
          </cell>
          <cell r="Q155">
            <v>704876.85000000009</v>
          </cell>
          <cell r="R155">
            <v>77.58</v>
          </cell>
          <cell r="S155">
            <v>685652.04</v>
          </cell>
          <cell r="T155">
            <v>78.459999999999994</v>
          </cell>
          <cell r="U155">
            <v>704727.72</v>
          </cell>
          <cell r="V155">
            <v>78.040000000000006</v>
          </cell>
          <cell r="W155">
            <v>720114.1</v>
          </cell>
          <cell r="X155">
            <v>77.680000000000007</v>
          </cell>
          <cell r="Y155">
            <v>696168.16</v>
          </cell>
          <cell r="Z155">
            <v>80.47</v>
          </cell>
          <cell r="AA155">
            <v>720206.5</v>
          </cell>
        </row>
        <row r="158">
          <cell r="D158">
            <v>177435.4</v>
          </cell>
          <cell r="E158">
            <v>1573319691.8</v>
          </cell>
          <cell r="F158">
            <v>394210.84</v>
          </cell>
          <cell r="G158">
            <v>3500986470.04</v>
          </cell>
          <cell r="H158">
            <v>664627.12</v>
          </cell>
          <cell r="I158">
            <v>5916510622.2399998</v>
          </cell>
          <cell r="J158">
            <v>894870.9</v>
          </cell>
          <cell r="K158">
            <v>7763452492.9500008</v>
          </cell>
          <cell r="L158">
            <v>1079665.92</v>
          </cell>
          <cell r="M158">
            <v>9001714608</v>
          </cell>
          <cell r="N158">
            <v>1387658.21</v>
          </cell>
          <cell r="O158">
            <v>11468995105.650002</v>
          </cell>
          <cell r="P158">
            <v>1666111.24</v>
          </cell>
          <cell r="Q158">
            <v>15069976165.799997</v>
          </cell>
          <cell r="R158">
            <v>1888073.9199999997</v>
          </cell>
          <cell r="S158">
            <v>16686797304.959999</v>
          </cell>
          <cell r="T158">
            <v>2036787.16</v>
          </cell>
          <cell r="U158">
            <v>18294422271.119999</v>
          </cell>
          <cell r="V158">
            <v>2317053.81</v>
          </cell>
          <cell r="W158">
            <v>21380614031.775002</v>
          </cell>
          <cell r="X158">
            <v>2505547.2599999998</v>
          </cell>
          <cell r="Y158">
            <v>22454714544.119999</v>
          </cell>
          <cell r="Z158">
            <v>2772214.49</v>
          </cell>
          <cell r="AA158">
            <v>24811319685.5</v>
          </cell>
        </row>
        <row r="161">
          <cell r="D161">
            <v>15205.85</v>
          </cell>
          <cell r="E161">
            <v>134830271.94999999</v>
          </cell>
          <cell r="F161">
            <v>22507.75</v>
          </cell>
          <cell r="G161">
            <v>199891327.75</v>
          </cell>
          <cell r="H161">
            <v>34785.94</v>
          </cell>
          <cell r="I161">
            <v>309664437.87999994</v>
          </cell>
          <cell r="J161">
            <v>59122.239999999998</v>
          </cell>
          <cell r="K161">
            <v>512914993.12</v>
          </cell>
          <cell r="L161">
            <v>82715.09</v>
          </cell>
          <cell r="M161">
            <v>689637062.875</v>
          </cell>
          <cell r="N161">
            <v>106769.96</v>
          </cell>
          <cell r="O161">
            <v>882453719.39999998</v>
          </cell>
          <cell r="P161">
            <v>95557.17</v>
          </cell>
          <cell r="Q161">
            <v>864314602.64999998</v>
          </cell>
          <cell r="R161">
            <v>102039.69</v>
          </cell>
          <cell r="S161">
            <v>901826780.21999991</v>
          </cell>
          <cell r="T161">
            <v>106676.34</v>
          </cell>
          <cell r="U161">
            <v>958166885.88</v>
          </cell>
          <cell r="V161">
            <v>118730.61</v>
          </cell>
          <cell r="W161">
            <v>1095586703.7749999</v>
          </cell>
          <cell r="X161">
            <v>128371.44</v>
          </cell>
          <cell r="Y161">
            <v>1150464845.28</v>
          </cell>
          <cell r="Z161">
            <v>139288.1</v>
          </cell>
          <cell r="AA161">
            <v>1246628495</v>
          </cell>
        </row>
        <row r="163">
          <cell r="D163">
            <v>15205.85</v>
          </cell>
          <cell r="E163">
            <v>134830271.94999999</v>
          </cell>
          <cell r="F163">
            <v>22507.75</v>
          </cell>
          <cell r="G163">
            <v>199891327.75</v>
          </cell>
          <cell r="H163">
            <v>34785.94</v>
          </cell>
          <cell r="I163">
            <v>309664437.87999994</v>
          </cell>
          <cell r="J163">
            <v>59122.239999999998</v>
          </cell>
          <cell r="K163">
            <v>512914993.12000006</v>
          </cell>
          <cell r="L163">
            <v>82715.09</v>
          </cell>
          <cell r="M163">
            <v>689637062.875</v>
          </cell>
          <cell r="N163">
            <v>106769.96</v>
          </cell>
          <cell r="O163">
            <v>882453719.39999998</v>
          </cell>
          <cell r="P163">
            <v>95557.17</v>
          </cell>
          <cell r="Q163">
            <v>864314602.64999998</v>
          </cell>
          <cell r="R163">
            <v>102039.69</v>
          </cell>
          <cell r="S163">
            <v>901826780.22000003</v>
          </cell>
          <cell r="T163">
            <v>106676.34</v>
          </cell>
          <cell r="U163">
            <v>958166885.88</v>
          </cell>
          <cell r="V163">
            <v>117290.12</v>
          </cell>
          <cell r="W163">
            <v>1082294582.3</v>
          </cell>
          <cell r="X163">
            <v>126930.95</v>
          </cell>
          <cell r="Y163">
            <v>1137555173.8999999</v>
          </cell>
          <cell r="Z163">
            <v>137847.60999999999</v>
          </cell>
          <cell r="AA163">
            <v>1233736109.4999998</v>
          </cell>
        </row>
        <row r="164">
          <cell r="D164">
            <v>2603.2199999999998</v>
          </cell>
          <cell r="E164">
            <v>23082751.739999998</v>
          </cell>
          <cell r="F164">
            <v>4458.8100000000004</v>
          </cell>
          <cell r="G164">
            <v>39598691.609999992</v>
          </cell>
          <cell r="H164">
            <v>6571.64</v>
          </cell>
          <cell r="I164">
            <v>58500739.279999994</v>
          </cell>
          <cell r="J164">
            <v>9829.11</v>
          </cell>
          <cell r="K164">
            <v>85272443.805000022</v>
          </cell>
          <cell r="L164">
            <v>12996.43</v>
          </cell>
          <cell r="M164">
            <v>108357735.12499999</v>
          </cell>
          <cell r="N164">
            <v>16775.189999999999</v>
          </cell>
          <cell r="O164">
            <v>138646945.34999996</v>
          </cell>
          <cell r="P164">
            <v>13347.22</v>
          </cell>
          <cell r="Q164">
            <v>120725604.89999999</v>
          </cell>
          <cell r="R164">
            <v>15488.29</v>
          </cell>
          <cell r="S164">
            <v>136885507.02000001</v>
          </cell>
          <cell r="T164">
            <v>17841.939999999999</v>
          </cell>
          <cell r="U164">
            <v>160256305.07999998</v>
          </cell>
          <cell r="V164">
            <v>20112.98</v>
          </cell>
          <cell r="W164">
            <v>185592522.94999999</v>
          </cell>
          <cell r="X164">
            <v>22505.37</v>
          </cell>
          <cell r="Y164">
            <v>201693125.94000003</v>
          </cell>
          <cell r="Z164">
            <v>24146.959999999999</v>
          </cell>
          <cell r="AA164">
            <v>216115291.99999997</v>
          </cell>
        </row>
        <row r="166">
          <cell r="D166">
            <v>6710.85</v>
          </cell>
          <cell r="E166">
            <v>59505106.950000003</v>
          </cell>
          <cell r="F166">
            <v>8009.13</v>
          </cell>
          <cell r="G166">
            <v>71129083.529999986</v>
          </cell>
          <cell r="H166">
            <v>13023.46</v>
          </cell>
          <cell r="I166">
            <v>115934840.92</v>
          </cell>
          <cell r="J166">
            <v>28538.84</v>
          </cell>
          <cell r="K166">
            <v>247588706.41999999</v>
          </cell>
          <cell r="L166">
            <v>40391.040000000001</v>
          </cell>
          <cell r="M166">
            <v>336760296</v>
          </cell>
          <cell r="N166">
            <v>51452.800000000003</v>
          </cell>
          <cell r="O166">
            <v>425257391.99999994</v>
          </cell>
          <cell r="P166">
            <v>37762.699999999997</v>
          </cell>
          <cell r="Q166">
            <v>341563621.5</v>
          </cell>
          <cell r="R166">
            <v>41177.089999999997</v>
          </cell>
          <cell r="S166">
            <v>363923121.41999996</v>
          </cell>
          <cell r="T166">
            <v>38447.82</v>
          </cell>
          <cell r="U166">
            <v>345338319.24000007</v>
          </cell>
          <cell r="V166">
            <v>41846.239999999998</v>
          </cell>
          <cell r="W166">
            <v>386136179.59999996</v>
          </cell>
          <cell r="X166">
            <v>44952</v>
          </cell>
          <cell r="Y166">
            <v>402859824</v>
          </cell>
          <cell r="Z166">
            <v>49103.32</v>
          </cell>
          <cell r="AA166">
            <v>439474714</v>
          </cell>
        </row>
        <row r="167">
          <cell r="D167">
            <v>5891.78</v>
          </cell>
          <cell r="E167">
            <v>52242413.259999998</v>
          </cell>
          <cell r="F167">
            <v>10039.81</v>
          </cell>
          <cell r="G167">
            <v>89163552.609999999</v>
          </cell>
          <cell r="H167">
            <v>15190.84</v>
          </cell>
          <cell r="I167">
            <v>135228857.67999998</v>
          </cell>
          <cell r="J167">
            <v>20754.29</v>
          </cell>
          <cell r="K167">
            <v>180053842.89500001</v>
          </cell>
          <cell r="L167">
            <v>29327.62</v>
          </cell>
          <cell r="M167">
            <v>244519031.75</v>
          </cell>
          <cell r="N167">
            <v>38541.97</v>
          </cell>
          <cell r="O167">
            <v>318549382.05000001</v>
          </cell>
          <cell r="P167">
            <v>44447.25</v>
          </cell>
          <cell r="Q167">
            <v>402025376.25</v>
          </cell>
          <cell r="R167">
            <v>45374.31</v>
          </cell>
          <cell r="S167">
            <v>401018151.77999997</v>
          </cell>
          <cell r="T167">
            <v>50386.58</v>
          </cell>
          <cell r="U167">
            <v>452572261.55999994</v>
          </cell>
          <cell r="V167">
            <v>55330.9</v>
          </cell>
          <cell r="W167">
            <v>510565879.74999994</v>
          </cell>
          <cell r="X167">
            <v>59473.58</v>
          </cell>
          <cell r="Y167">
            <v>533002223.95999998</v>
          </cell>
          <cell r="Z167">
            <v>64597.33</v>
          </cell>
          <cell r="AA167">
            <v>578146103.5</v>
          </cell>
        </row>
        <row r="168"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</row>
        <row r="169"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</row>
        <row r="171"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1440.49</v>
          </cell>
          <cell r="W171">
            <v>13292121.475</v>
          </cell>
          <cell r="X171">
            <v>1440.49</v>
          </cell>
          <cell r="Y171">
            <v>12909671.380000001</v>
          </cell>
          <cell r="Z171">
            <v>1440.49</v>
          </cell>
          <cell r="AA171">
            <v>12892385.5</v>
          </cell>
        </row>
        <row r="172"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1440.49</v>
          </cell>
          <cell r="W172">
            <v>13292121.475</v>
          </cell>
          <cell r="X172">
            <v>1440.49</v>
          </cell>
          <cell r="Y172">
            <v>12909671.380000001</v>
          </cell>
          <cell r="Z172">
            <v>1440.49</v>
          </cell>
          <cell r="AA172">
            <v>12892385.5</v>
          </cell>
        </row>
        <row r="174">
          <cell r="D174">
            <v>385533.86</v>
          </cell>
          <cell r="E174">
            <v>3418528736.6199999</v>
          </cell>
          <cell r="F174">
            <v>797053.72</v>
          </cell>
          <cell r="G174">
            <v>7078634087.3199978</v>
          </cell>
          <cell r="H174">
            <v>1293051.47</v>
          </cell>
          <cell r="I174">
            <v>11510744185.940002</v>
          </cell>
          <cell r="J174">
            <v>1760911.82</v>
          </cell>
          <cell r="K174">
            <v>15276790494.409996</v>
          </cell>
          <cell r="L174">
            <v>2201925.88</v>
          </cell>
          <cell r="M174">
            <v>18358557024.5</v>
          </cell>
          <cell r="N174">
            <v>2651924.0299999998</v>
          </cell>
          <cell r="O174">
            <v>21918152107.950001</v>
          </cell>
          <cell r="P174">
            <v>2815376.669999999</v>
          </cell>
          <cell r="Q174">
            <v>25465081980.149994</v>
          </cell>
          <cell r="R174">
            <v>3209347.4899999993</v>
          </cell>
          <cell r="S174">
            <v>28364213116.620007</v>
          </cell>
          <cell r="T174">
            <v>2163919.54</v>
          </cell>
          <cell r="U174">
            <v>19436325308.279991</v>
          </cell>
          <cell r="V174">
            <v>2562367.79</v>
          </cell>
          <cell r="W174">
            <v>23644248782.225006</v>
          </cell>
          <cell r="X174">
            <v>2983726.93</v>
          </cell>
          <cell r="Y174">
            <v>26740160746.66</v>
          </cell>
          <cell r="Z174">
            <v>3644508.06</v>
          </cell>
          <cell r="AA174">
            <v>32618347137</v>
          </cell>
        </row>
        <row r="176"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</row>
        <row r="177"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</row>
        <row r="179">
          <cell r="D179">
            <v>9712.89</v>
          </cell>
          <cell r="E179">
            <v>86124195.629999995</v>
          </cell>
          <cell r="F179">
            <v>16457.77</v>
          </cell>
          <cell r="G179">
            <v>146161455.37</v>
          </cell>
          <cell r="H179">
            <v>22901.119999999999</v>
          </cell>
          <cell r="I179">
            <v>203865770.24000001</v>
          </cell>
          <cell r="J179">
            <v>34653.800000000003</v>
          </cell>
          <cell r="K179">
            <v>300639041.9000001</v>
          </cell>
          <cell r="L179">
            <v>41924.61</v>
          </cell>
          <cell r="M179">
            <v>349546435.875</v>
          </cell>
          <cell r="N179">
            <v>48618.92</v>
          </cell>
          <cell r="O179">
            <v>401835373.80000001</v>
          </cell>
          <cell r="P179">
            <v>40819.82</v>
          </cell>
          <cell r="Q179">
            <v>369215271.89999998</v>
          </cell>
          <cell r="R179">
            <v>45640.49</v>
          </cell>
          <cell r="S179">
            <v>403370650.62</v>
          </cell>
          <cell r="T179">
            <v>49340.85</v>
          </cell>
          <cell r="U179">
            <v>443179514.69999999</v>
          </cell>
          <cell r="V179">
            <v>56529.23</v>
          </cell>
          <cell r="W179">
            <v>521623469.82500005</v>
          </cell>
          <cell r="X179">
            <v>61287.58</v>
          </cell>
          <cell r="Y179">
            <v>549259291.96000004</v>
          </cell>
          <cell r="Z179">
            <v>65726.759999999995</v>
          </cell>
          <cell r="AA179">
            <v>588254502.00000012</v>
          </cell>
        </row>
        <row r="180">
          <cell r="D180">
            <v>9712.89</v>
          </cell>
          <cell r="E180">
            <v>86124195.629999995</v>
          </cell>
          <cell r="F180">
            <v>16457.77</v>
          </cell>
          <cell r="G180">
            <v>146161455.37</v>
          </cell>
          <cell r="H180">
            <v>22901.119999999999</v>
          </cell>
          <cell r="I180">
            <v>203865770.24000001</v>
          </cell>
          <cell r="J180">
            <v>34653.800000000003</v>
          </cell>
          <cell r="K180">
            <v>300639041.9000001</v>
          </cell>
          <cell r="L180">
            <v>41924.61</v>
          </cell>
          <cell r="M180">
            <v>349546435.875</v>
          </cell>
          <cell r="N180">
            <v>48618.92</v>
          </cell>
          <cell r="O180">
            <v>401835373.80000001</v>
          </cell>
          <cell r="P180">
            <v>40819.82</v>
          </cell>
          <cell r="Q180">
            <v>369215271.89999998</v>
          </cell>
          <cell r="R180">
            <v>45640.49</v>
          </cell>
          <cell r="S180">
            <v>403370650.62</v>
          </cell>
          <cell r="T180">
            <v>49340.85</v>
          </cell>
          <cell r="U180">
            <v>443179514.69999999</v>
          </cell>
          <cell r="V180">
            <v>56529.23</v>
          </cell>
          <cell r="W180">
            <v>521623469.82500005</v>
          </cell>
          <cell r="X180">
            <v>61287.58</v>
          </cell>
          <cell r="Y180">
            <v>549259291.96000004</v>
          </cell>
          <cell r="Z180">
            <v>65726.759999999995</v>
          </cell>
          <cell r="AA180">
            <v>588254502.00000012</v>
          </cell>
        </row>
        <row r="182">
          <cell r="D182">
            <v>2472.67</v>
          </cell>
          <cell r="E182">
            <v>21925164.890000001</v>
          </cell>
          <cell r="F182">
            <v>4706.05</v>
          </cell>
          <cell r="G182">
            <v>41794430.050000004</v>
          </cell>
          <cell r="H182">
            <v>14697.7</v>
          </cell>
          <cell r="I182">
            <v>130838925.40000001</v>
          </cell>
          <cell r="J182">
            <v>17090.61</v>
          </cell>
          <cell r="K182">
            <v>148269587.05500001</v>
          </cell>
          <cell r="L182">
            <v>19563.28</v>
          </cell>
          <cell r="M182">
            <v>163108847</v>
          </cell>
          <cell r="N182">
            <v>21867.64</v>
          </cell>
          <cell r="O182">
            <v>180736044.59999999</v>
          </cell>
          <cell r="P182">
            <v>19284.93</v>
          </cell>
          <cell r="Q182">
            <v>174432191.84999999</v>
          </cell>
          <cell r="R182">
            <v>21215.43</v>
          </cell>
          <cell r="S182">
            <v>187501970.34</v>
          </cell>
          <cell r="T182">
            <v>23401.39</v>
          </cell>
          <cell r="U182">
            <v>210191284.97999999</v>
          </cell>
          <cell r="V182">
            <v>26227.34</v>
          </cell>
          <cell r="W182">
            <v>242012779.84999999</v>
          </cell>
          <cell r="X182">
            <v>28962.12</v>
          </cell>
          <cell r="Y182">
            <v>259558519.44</v>
          </cell>
          <cell r="Z182">
            <v>31634.66</v>
          </cell>
          <cell r="AA182">
            <v>283130207</v>
          </cell>
        </row>
        <row r="183">
          <cell r="D183">
            <v>2472.67</v>
          </cell>
          <cell r="E183">
            <v>21925164.890000001</v>
          </cell>
          <cell r="F183">
            <v>4706.05</v>
          </cell>
          <cell r="G183">
            <v>41794430.050000004</v>
          </cell>
          <cell r="H183">
            <v>14697.7</v>
          </cell>
          <cell r="I183">
            <v>130838925.40000001</v>
          </cell>
          <cell r="J183">
            <v>17090.61</v>
          </cell>
          <cell r="K183">
            <v>148269587.05500001</v>
          </cell>
          <cell r="L183">
            <v>19563.28</v>
          </cell>
          <cell r="M183">
            <v>163108847</v>
          </cell>
          <cell r="N183">
            <v>21867.64</v>
          </cell>
          <cell r="O183">
            <v>180736044.59999999</v>
          </cell>
          <cell r="P183">
            <v>19284.93</v>
          </cell>
          <cell r="Q183">
            <v>174432191.84999999</v>
          </cell>
          <cell r="R183">
            <v>21215.43</v>
          </cell>
          <cell r="S183">
            <v>187501970.34</v>
          </cell>
          <cell r="T183">
            <v>23401.39</v>
          </cell>
          <cell r="U183">
            <v>210191284.97999999</v>
          </cell>
          <cell r="V183">
            <v>26227.34</v>
          </cell>
          <cell r="W183">
            <v>242012779.84999999</v>
          </cell>
          <cell r="X183">
            <v>28962.12</v>
          </cell>
          <cell r="Y183">
            <v>259558519.44</v>
          </cell>
          <cell r="Z183">
            <v>31634.66</v>
          </cell>
          <cell r="AA183">
            <v>283130207</v>
          </cell>
        </row>
        <row r="185"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</row>
        <row r="186"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</row>
        <row r="187"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</row>
        <row r="189"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</row>
        <row r="190"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</row>
        <row r="191"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</row>
        <row r="193">
          <cell r="D193">
            <v>131248.79999999999</v>
          </cell>
          <cell r="E193">
            <v>1163783109.5999999</v>
          </cell>
          <cell r="F193">
            <v>254245.04</v>
          </cell>
          <cell r="G193">
            <v>2257950200.2399998</v>
          </cell>
          <cell r="H193">
            <v>401401.68</v>
          </cell>
          <cell r="I193">
            <v>3573277755.3600006</v>
          </cell>
          <cell r="J193">
            <v>559520.99</v>
          </cell>
          <cell r="K193">
            <v>4854124348.7449989</v>
          </cell>
          <cell r="L193">
            <v>709054.58</v>
          </cell>
          <cell r="M193">
            <v>5911742560.749999</v>
          </cell>
          <cell r="N193">
            <v>841276.94</v>
          </cell>
          <cell r="O193">
            <v>6953153909.0999994</v>
          </cell>
          <cell r="P193">
            <v>899154.5199999999</v>
          </cell>
          <cell r="Q193">
            <v>8132852633.3999987</v>
          </cell>
          <cell r="R193">
            <v>1030523.4199999999</v>
          </cell>
          <cell r="S193">
            <v>9107765985.9599991</v>
          </cell>
          <cell r="T193">
            <v>1165616.54</v>
          </cell>
          <cell r="U193">
            <v>10469567762.280001</v>
          </cell>
          <cell r="V193">
            <v>1273661.3799999999</v>
          </cell>
          <cell r="W193">
            <v>11752710383.950001</v>
          </cell>
          <cell r="X193">
            <v>1415838.35</v>
          </cell>
          <cell r="Y193">
            <v>12688743292.700003</v>
          </cell>
          <cell r="Z193">
            <v>1556287.68</v>
          </cell>
          <cell r="AA193">
            <v>13928774736</v>
          </cell>
        </row>
        <row r="194">
          <cell r="D194">
            <v>6883.18</v>
          </cell>
          <cell r="E194">
            <v>61033157.059999987</v>
          </cell>
          <cell r="F194">
            <v>12023.39</v>
          </cell>
          <cell r="G194">
            <v>106779726.58999999</v>
          </cell>
          <cell r="H194">
            <v>22702.39</v>
          </cell>
          <cell r="I194">
            <v>202096675.78000006</v>
          </cell>
          <cell r="J194">
            <v>30037.97</v>
          </cell>
          <cell r="K194">
            <v>260594408.73499998</v>
          </cell>
          <cell r="L194">
            <v>36506.19</v>
          </cell>
          <cell r="M194">
            <v>304370359.12499994</v>
          </cell>
          <cell r="N194">
            <v>43466.720000000001</v>
          </cell>
          <cell r="O194">
            <v>359252440.80000001</v>
          </cell>
          <cell r="P194">
            <v>46829.59</v>
          </cell>
          <cell r="Q194">
            <v>423573641.54999995</v>
          </cell>
          <cell r="R194">
            <v>53435.38</v>
          </cell>
          <cell r="S194">
            <v>472261888.44</v>
          </cell>
          <cell r="T194">
            <v>59183.61</v>
          </cell>
          <cell r="U194">
            <v>531587185.0200001</v>
          </cell>
          <cell r="V194">
            <v>67154.89</v>
          </cell>
          <cell r="W194">
            <v>619671747.47500002</v>
          </cell>
          <cell r="X194">
            <v>71578.05</v>
          </cell>
          <cell r="Y194">
            <v>641482484.10000002</v>
          </cell>
          <cell r="Z194">
            <v>77652.639999999999</v>
          </cell>
          <cell r="AA194">
            <v>694991128.00000012</v>
          </cell>
        </row>
        <row r="195">
          <cell r="D195">
            <v>2759</v>
          </cell>
          <cell r="E195">
            <v>24464053</v>
          </cell>
          <cell r="F195">
            <v>5756.15</v>
          </cell>
          <cell r="G195">
            <v>51120368.149999999</v>
          </cell>
          <cell r="H195">
            <v>2248.46</v>
          </cell>
          <cell r="I195">
            <v>20015790.920000002</v>
          </cell>
          <cell r="J195">
            <v>5227.6099999999997</v>
          </cell>
          <cell r="K195">
            <v>45352130.555</v>
          </cell>
          <cell r="L195">
            <v>10930.38</v>
          </cell>
          <cell r="M195">
            <v>91132043.25</v>
          </cell>
          <cell r="N195">
            <v>13146.62</v>
          </cell>
          <cell r="O195">
            <v>108656814.30000001</v>
          </cell>
          <cell r="P195">
            <v>22596.54</v>
          </cell>
          <cell r="Q195">
            <v>204385704.30000001</v>
          </cell>
          <cell r="R195">
            <v>25163.16</v>
          </cell>
          <cell r="S195">
            <v>222392008.08000001</v>
          </cell>
          <cell r="T195">
            <v>28840.19</v>
          </cell>
          <cell r="U195">
            <v>259042586.57999995</v>
          </cell>
          <cell r="V195">
            <v>33657.46</v>
          </cell>
          <cell r="W195">
            <v>310574212.14999992</v>
          </cell>
          <cell r="X195">
            <v>36973.1</v>
          </cell>
          <cell r="Y195">
            <v>331352922.20000005</v>
          </cell>
          <cell r="Z195">
            <v>35640.19</v>
          </cell>
          <cell r="AA195">
            <v>318979700.5</v>
          </cell>
        </row>
        <row r="196">
          <cell r="D196">
            <v>5872.72</v>
          </cell>
          <cell r="E196">
            <v>52073408.240000002</v>
          </cell>
          <cell r="F196">
            <v>14542.4</v>
          </cell>
          <cell r="G196">
            <v>129151054.40000001</v>
          </cell>
          <cell r="H196">
            <v>22326.59</v>
          </cell>
          <cell r="I196">
            <v>198751304.17999998</v>
          </cell>
          <cell r="J196">
            <v>30074.91</v>
          </cell>
          <cell r="K196">
            <v>260914881.70499995</v>
          </cell>
          <cell r="L196">
            <v>38804.47</v>
          </cell>
          <cell r="M196">
            <v>323532268.62500006</v>
          </cell>
          <cell r="N196">
            <v>44120.88</v>
          </cell>
          <cell r="O196">
            <v>364659073.19999999</v>
          </cell>
          <cell r="P196">
            <v>52406.43</v>
          </cell>
          <cell r="Q196">
            <v>474016159.35000002</v>
          </cell>
          <cell r="R196">
            <v>61455.05</v>
          </cell>
          <cell r="S196">
            <v>543139731.89999998</v>
          </cell>
          <cell r="T196">
            <v>67896.710000000006</v>
          </cell>
          <cell r="U196">
            <v>609848249.21999991</v>
          </cell>
          <cell r="V196">
            <v>76314.19</v>
          </cell>
          <cell r="W196">
            <v>704189188.2249999</v>
          </cell>
          <cell r="X196">
            <v>84059.71</v>
          </cell>
          <cell r="Y196">
            <v>753343121.01999998</v>
          </cell>
          <cell r="Z196">
            <v>93721.86</v>
          </cell>
          <cell r="AA196">
            <v>838810646.99999988</v>
          </cell>
        </row>
        <row r="197">
          <cell r="D197">
            <v>5148.88</v>
          </cell>
          <cell r="E197">
            <v>45655118.960000001</v>
          </cell>
          <cell r="F197">
            <v>18363.63</v>
          </cell>
          <cell r="G197">
            <v>163087398.02999997</v>
          </cell>
          <cell r="H197">
            <v>23031.91</v>
          </cell>
          <cell r="I197">
            <v>205030062.81999999</v>
          </cell>
          <cell r="J197">
            <v>28409.49</v>
          </cell>
          <cell r="K197">
            <v>246466530.49499997</v>
          </cell>
          <cell r="L197">
            <v>43408.800000000003</v>
          </cell>
          <cell r="M197">
            <v>361920870</v>
          </cell>
          <cell r="N197">
            <v>46710</v>
          </cell>
          <cell r="O197">
            <v>386058150</v>
          </cell>
          <cell r="P197">
            <v>58356.78</v>
          </cell>
          <cell r="Q197">
            <v>527837075.09999996</v>
          </cell>
          <cell r="R197">
            <v>69020.2</v>
          </cell>
          <cell r="S197">
            <v>610000527.60000002</v>
          </cell>
          <cell r="T197">
            <v>84636.73</v>
          </cell>
          <cell r="U197">
            <v>760207108.86000001</v>
          </cell>
          <cell r="V197">
            <v>95025.65</v>
          </cell>
          <cell r="W197">
            <v>876849185.375</v>
          </cell>
          <cell r="X197">
            <v>104657.74</v>
          </cell>
          <cell r="Y197">
            <v>937942665.87999988</v>
          </cell>
          <cell r="Z197">
            <v>114846.64</v>
          </cell>
          <cell r="AA197">
            <v>1027877427.9999999</v>
          </cell>
        </row>
        <row r="198"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</row>
        <row r="199">
          <cell r="D199">
            <v>1447.3</v>
          </cell>
          <cell r="E199">
            <v>12833209.1</v>
          </cell>
          <cell r="F199">
            <v>3778.82</v>
          </cell>
          <cell r="G199">
            <v>33559700.420000002</v>
          </cell>
          <cell r="H199">
            <v>7162.09</v>
          </cell>
          <cell r="I199">
            <v>63756925.180000007</v>
          </cell>
          <cell r="J199">
            <v>12690.42</v>
          </cell>
          <cell r="K199">
            <v>110095738.70999999</v>
          </cell>
          <cell r="L199">
            <v>14859.32</v>
          </cell>
          <cell r="M199">
            <v>123889580.5</v>
          </cell>
          <cell r="N199">
            <v>20566.02</v>
          </cell>
          <cell r="O199">
            <v>169978155.30000001</v>
          </cell>
          <cell r="P199">
            <v>18873.78</v>
          </cell>
          <cell r="Q199">
            <v>170713340.09999999</v>
          </cell>
          <cell r="R199">
            <v>22774.44</v>
          </cell>
          <cell r="S199">
            <v>201280500.72</v>
          </cell>
          <cell r="T199">
            <v>24949.09</v>
          </cell>
          <cell r="U199">
            <v>224092726.38</v>
          </cell>
          <cell r="V199">
            <v>29351.08</v>
          </cell>
          <cell r="W199">
            <v>270837090.69999999</v>
          </cell>
          <cell r="X199">
            <v>31969.64</v>
          </cell>
          <cell r="Y199">
            <v>286511913.68000001</v>
          </cell>
          <cell r="Z199">
            <v>38920.75</v>
          </cell>
          <cell r="AA199">
            <v>348340712.5</v>
          </cell>
        </row>
        <row r="200">
          <cell r="D200">
            <v>421.33</v>
          </cell>
          <cell r="E200">
            <v>3735933.11</v>
          </cell>
          <cell r="F200">
            <v>5405.81</v>
          </cell>
          <cell r="G200">
            <v>48008998.610000014</v>
          </cell>
          <cell r="H200">
            <v>6772.09</v>
          </cell>
          <cell r="I200">
            <v>60285145.179999985</v>
          </cell>
          <cell r="J200">
            <v>10229.64</v>
          </cell>
          <cell r="K200">
            <v>88747241.819999978</v>
          </cell>
          <cell r="L200">
            <v>13704.97</v>
          </cell>
          <cell r="M200">
            <v>114265187.37499999</v>
          </cell>
          <cell r="N200">
            <v>18986.8</v>
          </cell>
          <cell r="O200">
            <v>156925901.99999997</v>
          </cell>
          <cell r="P200">
            <v>19973.2</v>
          </cell>
          <cell r="Q200">
            <v>180657594</v>
          </cell>
          <cell r="R200">
            <v>21796.39</v>
          </cell>
          <cell r="S200">
            <v>192636494.81999999</v>
          </cell>
          <cell r="T200">
            <v>25212.2</v>
          </cell>
          <cell r="U200">
            <v>226455980.39999995</v>
          </cell>
          <cell r="V200">
            <v>28086.33</v>
          </cell>
          <cell r="W200">
            <v>259166610.07500005</v>
          </cell>
          <cell r="X200">
            <v>32279.87</v>
          </cell>
          <cell r="Y200">
            <v>289292194.94</v>
          </cell>
          <cell r="Z200">
            <v>37044.53</v>
          </cell>
          <cell r="AA200">
            <v>331548543.5</v>
          </cell>
        </row>
        <row r="201">
          <cell r="D201">
            <v>1534.07</v>
          </cell>
          <cell r="E201">
            <v>13602598.689999999</v>
          </cell>
          <cell r="F201">
            <v>3586.04</v>
          </cell>
          <cell r="G201">
            <v>31847621.239999998</v>
          </cell>
          <cell r="H201">
            <v>6409.09</v>
          </cell>
          <cell r="I201">
            <v>57053719.18</v>
          </cell>
          <cell r="J201">
            <v>9997.69</v>
          </cell>
          <cell r="K201">
            <v>86734959.594999999</v>
          </cell>
          <cell r="L201">
            <v>12597.31</v>
          </cell>
          <cell r="M201">
            <v>105030072.125</v>
          </cell>
          <cell r="N201">
            <v>14458.91</v>
          </cell>
          <cell r="O201">
            <v>119502891.15000001</v>
          </cell>
          <cell r="P201">
            <v>12512.36</v>
          </cell>
          <cell r="Q201">
            <v>113174296.2</v>
          </cell>
          <cell r="R201">
            <v>15140.17</v>
          </cell>
          <cell r="S201">
            <v>133808822.45999999</v>
          </cell>
          <cell r="T201">
            <v>17350.77</v>
          </cell>
          <cell r="U201">
            <v>155844616.14000002</v>
          </cell>
          <cell r="V201">
            <v>20769.7</v>
          </cell>
          <cell r="W201">
            <v>191652406.74999997</v>
          </cell>
          <cell r="X201">
            <v>22270.57</v>
          </cell>
          <cell r="Y201">
            <v>199588848.34</v>
          </cell>
          <cell r="Z201">
            <v>23972.27</v>
          </cell>
          <cell r="AA201">
            <v>214551816.5</v>
          </cell>
        </row>
        <row r="202">
          <cell r="D202">
            <v>12030.63</v>
          </cell>
          <cell r="E202">
            <v>106675596.20999999</v>
          </cell>
          <cell r="F202">
            <v>21855.3</v>
          </cell>
          <cell r="G202">
            <v>194096919.29999995</v>
          </cell>
          <cell r="H202">
            <v>34478.120000000003</v>
          </cell>
          <cell r="I202">
            <v>306924224.23999995</v>
          </cell>
          <cell r="J202">
            <v>47463.27</v>
          </cell>
          <cell r="K202">
            <v>411767598.88500005</v>
          </cell>
          <cell r="L202">
            <v>60820.99</v>
          </cell>
          <cell r="M202">
            <v>507095004.12500006</v>
          </cell>
          <cell r="N202">
            <v>74379.13</v>
          </cell>
          <cell r="O202">
            <v>614743509.45000005</v>
          </cell>
          <cell r="P202">
            <v>70537.289999999994</v>
          </cell>
          <cell r="Q202">
            <v>638009788.04999995</v>
          </cell>
          <cell r="R202">
            <v>81935.37</v>
          </cell>
          <cell r="S202">
            <v>724144800.05999994</v>
          </cell>
          <cell r="T202">
            <v>93381.89</v>
          </cell>
          <cell r="U202">
            <v>838756135.98000014</v>
          </cell>
          <cell r="V202">
            <v>104659.91</v>
          </cell>
          <cell r="W202">
            <v>965749319.52499986</v>
          </cell>
          <cell r="X202">
            <v>114015.91</v>
          </cell>
          <cell r="Y202">
            <v>1021810585.4200001</v>
          </cell>
          <cell r="Z202">
            <v>125285.37</v>
          </cell>
          <cell r="AA202">
            <v>1121304061.5</v>
          </cell>
        </row>
        <row r="203">
          <cell r="D203">
            <v>56801.24</v>
          </cell>
          <cell r="E203">
            <v>503656595.07999998</v>
          </cell>
          <cell r="F203">
            <v>111085.27</v>
          </cell>
          <cell r="G203">
            <v>986548282.87</v>
          </cell>
          <cell r="H203">
            <v>165420.94</v>
          </cell>
          <cell r="I203">
            <v>1472577207.8800001</v>
          </cell>
          <cell r="J203">
            <v>220619.19</v>
          </cell>
          <cell r="K203">
            <v>1913981782.845</v>
          </cell>
          <cell r="L203">
            <v>277348.77</v>
          </cell>
          <cell r="M203">
            <v>2312395369.8749995</v>
          </cell>
          <cell r="N203">
            <v>337181.95</v>
          </cell>
          <cell r="O203">
            <v>2786808816.75</v>
          </cell>
          <cell r="P203">
            <v>374273.92</v>
          </cell>
          <cell r="Q203">
            <v>3385307606.3999996</v>
          </cell>
          <cell r="R203">
            <v>431220.47</v>
          </cell>
          <cell r="S203">
            <v>3811126513.8599997</v>
          </cell>
          <cell r="T203">
            <v>488813</v>
          </cell>
          <cell r="U203">
            <v>4390518365.999999</v>
          </cell>
          <cell r="V203">
            <v>535516.71</v>
          </cell>
          <cell r="W203">
            <v>4941480441.5249996</v>
          </cell>
          <cell r="X203">
            <v>587172.25</v>
          </cell>
          <cell r="Y203">
            <v>5262237704.5</v>
          </cell>
          <cell r="Z203">
            <v>647948.91</v>
          </cell>
          <cell r="AA203">
            <v>5799142744.5</v>
          </cell>
        </row>
        <row r="204">
          <cell r="D204">
            <v>0</v>
          </cell>
          <cell r="E204">
            <v>0</v>
          </cell>
          <cell r="F204">
            <v>-788.2</v>
          </cell>
          <cell r="G204">
            <v>-7000004.2000000002</v>
          </cell>
          <cell r="H204">
            <v>-788.2</v>
          </cell>
          <cell r="I204">
            <v>-7016556.4000000004</v>
          </cell>
          <cell r="J204">
            <v>-91.68</v>
          </cell>
          <cell r="K204">
            <v>-795369.84</v>
          </cell>
          <cell r="L204">
            <v>-91.68</v>
          </cell>
          <cell r="M204">
            <v>-764382</v>
          </cell>
          <cell r="N204">
            <v>-811.67</v>
          </cell>
          <cell r="O204">
            <v>-6708452.5499999989</v>
          </cell>
          <cell r="P204">
            <v>7383.27</v>
          </cell>
          <cell r="Q204">
            <v>66781677.150000006</v>
          </cell>
          <cell r="R204">
            <v>9183.74</v>
          </cell>
          <cell r="S204">
            <v>81165894.120000005</v>
          </cell>
          <cell r="T204">
            <v>11004.63</v>
          </cell>
          <cell r="U204">
            <v>98843586.659999996</v>
          </cell>
          <cell r="V204">
            <v>-11346.49</v>
          </cell>
          <cell r="W204">
            <v>-104699736.47500001</v>
          </cell>
          <cell r="X204">
            <v>-11346.49</v>
          </cell>
          <cell r="Y204">
            <v>-101687243.38</v>
          </cell>
          <cell r="Z204">
            <v>-10957.82</v>
          </cell>
          <cell r="AA204">
            <v>-98072489.000000015</v>
          </cell>
        </row>
        <row r="205">
          <cell r="D205">
            <v>6421.87</v>
          </cell>
          <cell r="E205">
            <v>56942721.289999992</v>
          </cell>
          <cell r="F205">
            <v>12734.41</v>
          </cell>
          <cell r="G205">
            <v>113094295.20999999</v>
          </cell>
          <cell r="H205">
            <v>19230.650000000001</v>
          </cell>
          <cell r="I205">
            <v>171191246.30000001</v>
          </cell>
          <cell r="J205">
            <v>25460.74</v>
          </cell>
          <cell r="K205">
            <v>220884649.87</v>
          </cell>
          <cell r="L205">
            <v>32036.69</v>
          </cell>
          <cell r="M205">
            <v>267105902.87499997</v>
          </cell>
          <cell r="N205">
            <v>38407.800000000003</v>
          </cell>
          <cell r="O205">
            <v>317440466.99999994</v>
          </cell>
          <cell r="P205">
            <v>41038.65</v>
          </cell>
          <cell r="Q205">
            <v>371194589.25</v>
          </cell>
          <cell r="R205">
            <v>46582.71</v>
          </cell>
          <cell r="S205">
            <v>411697990.98000002</v>
          </cell>
          <cell r="T205">
            <v>52172.9</v>
          </cell>
          <cell r="U205">
            <v>468616987.80000007</v>
          </cell>
          <cell r="V205">
            <v>58362.29</v>
          </cell>
          <cell r="W205">
            <v>538538030.9749999</v>
          </cell>
          <cell r="X205">
            <v>64532.55</v>
          </cell>
          <cell r="Y205">
            <v>578340713.0999999</v>
          </cell>
          <cell r="Z205">
            <v>71074.64</v>
          </cell>
          <cell r="AA205">
            <v>636118028</v>
          </cell>
        </row>
        <row r="206">
          <cell r="D206">
            <v>5418.61</v>
          </cell>
          <cell r="E206">
            <v>48046814.869999997</v>
          </cell>
          <cell r="F206">
            <v>10597.08</v>
          </cell>
          <cell r="G206">
            <v>94112667.479999989</v>
          </cell>
          <cell r="H206">
            <v>15780.48</v>
          </cell>
          <cell r="I206">
            <v>140477832.96000001</v>
          </cell>
          <cell r="J206">
            <v>21025.97</v>
          </cell>
          <cell r="K206">
            <v>182410802.73499998</v>
          </cell>
          <cell r="L206">
            <v>26416.98</v>
          </cell>
          <cell r="M206">
            <v>220251570.75000003</v>
          </cell>
          <cell r="N206">
            <v>31839.200000000001</v>
          </cell>
          <cell r="O206">
            <v>263150987.99999997</v>
          </cell>
          <cell r="P206">
            <v>19499.25</v>
          </cell>
          <cell r="Q206">
            <v>176370716.25</v>
          </cell>
          <cell r="R206">
            <v>24557.14</v>
          </cell>
          <cell r="S206">
            <v>217036003.31999999</v>
          </cell>
          <cell r="T206">
            <v>29672.41</v>
          </cell>
          <cell r="U206">
            <v>266517586.62000003</v>
          </cell>
          <cell r="V206">
            <v>34799.64</v>
          </cell>
          <cell r="W206">
            <v>321113678.10000002</v>
          </cell>
          <cell r="X206">
            <v>39902.89</v>
          </cell>
          <cell r="Y206">
            <v>357609700.18000001</v>
          </cell>
          <cell r="Z206">
            <v>47764.81</v>
          </cell>
          <cell r="AA206">
            <v>427495049.50000006</v>
          </cell>
        </row>
        <row r="207">
          <cell r="D207">
            <v>3933.68</v>
          </cell>
          <cell r="E207">
            <v>34879940.559999995</v>
          </cell>
          <cell r="F207">
            <v>7693</v>
          </cell>
          <cell r="G207">
            <v>68321533</v>
          </cell>
          <cell r="H207">
            <v>11687.61</v>
          </cell>
          <cell r="I207">
            <v>104043104.22000003</v>
          </cell>
          <cell r="J207">
            <v>15730.07</v>
          </cell>
          <cell r="K207">
            <v>136466222.285</v>
          </cell>
          <cell r="L207">
            <v>19884.66</v>
          </cell>
          <cell r="M207">
            <v>165788352.74999997</v>
          </cell>
          <cell r="N207">
            <v>24360.43</v>
          </cell>
          <cell r="O207">
            <v>201338953.94999996</v>
          </cell>
          <cell r="P207">
            <v>36277.360000000001</v>
          </cell>
          <cell r="Q207">
            <v>328128721.19999999</v>
          </cell>
          <cell r="R207">
            <v>38159.480000000003</v>
          </cell>
          <cell r="S207">
            <v>337253484.24000001</v>
          </cell>
          <cell r="T207">
            <v>42270.05</v>
          </cell>
          <cell r="U207">
            <v>379669589.10000002</v>
          </cell>
          <cell r="V207">
            <v>45992.09</v>
          </cell>
          <cell r="W207">
            <v>424392010.47499996</v>
          </cell>
          <cell r="X207">
            <v>49696.71</v>
          </cell>
          <cell r="Y207">
            <v>445381915.01999998</v>
          </cell>
          <cell r="Z207">
            <v>53912.65</v>
          </cell>
          <cell r="AA207">
            <v>482518217.5</v>
          </cell>
        </row>
        <row r="208"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-2.09</v>
          </cell>
          <cell r="Q208">
            <v>-18904.05</v>
          </cell>
          <cell r="R208">
            <v>-2.09</v>
          </cell>
          <cell r="S208">
            <v>-18471.419999999998</v>
          </cell>
          <cell r="T208">
            <v>-2.09</v>
          </cell>
          <cell r="U208">
            <v>-18772.38</v>
          </cell>
          <cell r="V208">
            <v>-2.37</v>
          </cell>
          <cell r="W208">
            <v>-21869.174999999999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</row>
        <row r="209">
          <cell r="D209">
            <v>1952.08</v>
          </cell>
          <cell r="E209">
            <v>17309093.359999996</v>
          </cell>
          <cell r="F209">
            <v>3977.76</v>
          </cell>
          <cell r="G209">
            <v>35326486.560000002</v>
          </cell>
          <cell r="H209">
            <v>8411.66</v>
          </cell>
          <cell r="I209">
            <v>74880597.319999993</v>
          </cell>
          <cell r="J209">
            <v>10802.12</v>
          </cell>
          <cell r="K209">
            <v>93713792.060000002</v>
          </cell>
          <cell r="L209">
            <v>11647.42</v>
          </cell>
          <cell r="M209">
            <v>97110364.25</v>
          </cell>
          <cell r="N209">
            <v>12263.8</v>
          </cell>
          <cell r="O209">
            <v>101360307</v>
          </cell>
          <cell r="P209">
            <v>4182.74</v>
          </cell>
          <cell r="Q209">
            <v>37832883.299999997</v>
          </cell>
          <cell r="R209">
            <v>4182.74</v>
          </cell>
          <cell r="S209">
            <v>36967056.119999997</v>
          </cell>
          <cell r="T209">
            <v>7407.24</v>
          </cell>
          <cell r="U209">
            <v>66531829.68</v>
          </cell>
          <cell r="V209">
            <v>8953.56</v>
          </cell>
          <cell r="W209">
            <v>82618974.899999991</v>
          </cell>
          <cell r="X209">
            <v>11886.73</v>
          </cell>
          <cell r="Y209">
            <v>106528874.25999999</v>
          </cell>
          <cell r="Z209">
            <v>12763.85</v>
          </cell>
          <cell r="AA209">
            <v>114236457.49999999</v>
          </cell>
        </row>
        <row r="210">
          <cell r="D210">
            <v>20624.21</v>
          </cell>
          <cell r="E210">
            <v>182874870.07000002</v>
          </cell>
          <cell r="F210">
            <v>23634.18</v>
          </cell>
          <cell r="G210">
            <v>209895152.58000001</v>
          </cell>
          <cell r="H210">
            <v>56527.8</v>
          </cell>
          <cell r="I210">
            <v>503210475.60000002</v>
          </cell>
          <cell r="J210">
            <v>91843.58</v>
          </cell>
          <cell r="K210">
            <v>796788978.28999996</v>
          </cell>
          <cell r="L210">
            <v>110179.31</v>
          </cell>
          <cell r="M210">
            <v>918619997.12500012</v>
          </cell>
          <cell r="N210">
            <v>122200.35</v>
          </cell>
          <cell r="O210">
            <v>1009985892.7499999</v>
          </cell>
          <cell r="P210">
            <v>114415.45</v>
          </cell>
          <cell r="Q210">
            <v>1034887745.25</v>
          </cell>
          <cell r="R210">
            <v>125919.07</v>
          </cell>
          <cell r="S210">
            <v>1112872740.6600001</v>
          </cell>
          <cell r="T210">
            <v>132827.21</v>
          </cell>
          <cell r="U210">
            <v>1193054000.2199996</v>
          </cell>
          <cell r="V210">
            <v>146366.74</v>
          </cell>
          <cell r="W210">
            <v>1350599093.3499997</v>
          </cell>
          <cell r="X210">
            <v>176189.12</v>
          </cell>
          <cell r="Y210">
            <v>1579006893.4400001</v>
          </cell>
          <cell r="Z210">
            <v>186696.39</v>
          </cell>
          <cell r="AA210">
            <v>1670932690.5000002</v>
          </cell>
        </row>
        <row r="212">
          <cell r="D212">
            <v>21408.22</v>
          </cell>
          <cell r="E212">
            <v>189826686.74000001</v>
          </cell>
          <cell r="F212">
            <v>41131.39</v>
          </cell>
          <cell r="G212">
            <v>365287874.59000003</v>
          </cell>
          <cell r="H212">
            <v>62188.49</v>
          </cell>
          <cell r="I212">
            <v>553601937.98000014</v>
          </cell>
          <cell r="J212">
            <v>87036.85</v>
          </cell>
          <cell r="K212">
            <v>755088192.17499971</v>
          </cell>
          <cell r="L212">
            <v>107775.02</v>
          </cell>
          <cell r="M212">
            <v>898574229.24999988</v>
          </cell>
          <cell r="N212">
            <v>129068.61</v>
          </cell>
          <cell r="O212">
            <v>1066752061.6499999</v>
          </cell>
          <cell r="P212">
            <v>165072.58000000002</v>
          </cell>
          <cell r="Q212">
            <v>1493081486.0999999</v>
          </cell>
          <cell r="R212">
            <v>187563.66</v>
          </cell>
          <cell r="S212">
            <v>1657687627.0799999</v>
          </cell>
          <cell r="T212">
            <v>208125.52</v>
          </cell>
          <cell r="U212">
            <v>1869383420.6399999</v>
          </cell>
          <cell r="V212">
            <v>230969.17</v>
          </cell>
          <cell r="W212">
            <v>2131268016.1750002</v>
          </cell>
          <cell r="X212">
            <v>249122.88</v>
          </cell>
          <cell r="Y212">
            <v>2232639250.5599995</v>
          </cell>
          <cell r="Z212">
            <v>270638.99</v>
          </cell>
          <cell r="AA212">
            <v>2422218960.5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1992.23</v>
          </cell>
          <cell r="Q213">
            <v>18019720.350000001</v>
          </cell>
          <cell r="R213">
            <v>1992.23</v>
          </cell>
          <cell r="S213">
            <v>17607328.739999998</v>
          </cell>
          <cell r="T213">
            <v>1992.23</v>
          </cell>
          <cell r="U213">
            <v>17894209.859999999</v>
          </cell>
          <cell r="V213">
            <v>1992.23</v>
          </cell>
          <cell r="W213">
            <v>18383302.324999999</v>
          </cell>
          <cell r="X213">
            <v>1992.23</v>
          </cell>
          <cell r="Y213">
            <v>17854365.259999998</v>
          </cell>
          <cell r="Z213">
            <v>1992.23</v>
          </cell>
          <cell r="AA213">
            <v>17830458.500000004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253.89</v>
          </cell>
          <cell r="K214">
            <v>2202622.6949999998</v>
          </cell>
          <cell r="L214">
            <v>404.87</v>
          </cell>
          <cell r="M214">
            <v>3375603.6249999995</v>
          </cell>
          <cell r="N214">
            <v>404.87</v>
          </cell>
          <cell r="O214">
            <v>3346250.55</v>
          </cell>
          <cell r="P214">
            <v>31978.78</v>
          </cell>
          <cell r="Q214">
            <v>289248065.09999996</v>
          </cell>
          <cell r="R214">
            <v>33541.230000000003</v>
          </cell>
          <cell r="S214">
            <v>296437390.74000001</v>
          </cell>
          <cell r="T214">
            <v>33728.959999999999</v>
          </cell>
          <cell r="U214">
            <v>302953518.71999997</v>
          </cell>
          <cell r="V214">
            <v>33986.49</v>
          </cell>
          <cell r="W214">
            <v>313610336.4749999</v>
          </cell>
          <cell r="X214">
            <v>33986.49</v>
          </cell>
          <cell r="Y214">
            <v>304586923.38000005</v>
          </cell>
          <cell r="Z214">
            <v>33986.49</v>
          </cell>
          <cell r="AA214">
            <v>304179085.5</v>
          </cell>
        </row>
        <row r="215">
          <cell r="D215">
            <v>552.58000000000004</v>
          </cell>
          <cell r="E215">
            <v>4899726.8600000003</v>
          </cell>
          <cell r="F215">
            <v>663.24</v>
          </cell>
          <cell r="G215">
            <v>5890234.4400000004</v>
          </cell>
          <cell r="H215">
            <v>1552.43</v>
          </cell>
          <cell r="I215">
            <v>13819731.860000001</v>
          </cell>
          <cell r="J215">
            <v>1627.16</v>
          </cell>
          <cell r="K215">
            <v>14116426.58</v>
          </cell>
          <cell r="L215">
            <v>867.33</v>
          </cell>
          <cell r="M215">
            <v>7231363.875</v>
          </cell>
          <cell r="N215">
            <v>1277.9000000000001</v>
          </cell>
          <cell r="O215">
            <v>10561843.5</v>
          </cell>
          <cell r="P215">
            <v>199.13</v>
          </cell>
          <cell r="Q215">
            <v>1801130.8499999999</v>
          </cell>
          <cell r="R215">
            <v>387.85</v>
          </cell>
          <cell r="S215">
            <v>3427818.3000000003</v>
          </cell>
          <cell r="T215">
            <v>387.85</v>
          </cell>
          <cell r="U215">
            <v>3483668.7</v>
          </cell>
          <cell r="V215">
            <v>1021.02</v>
          </cell>
          <cell r="W215">
            <v>9421462.049999997</v>
          </cell>
          <cell r="X215">
            <v>1021.02</v>
          </cell>
          <cell r="Y215">
            <v>9150381.2400000002</v>
          </cell>
          <cell r="Z215">
            <v>1523.41</v>
          </cell>
          <cell r="AA215">
            <v>13634519.5</v>
          </cell>
        </row>
        <row r="216">
          <cell r="D216">
            <v>20855.64</v>
          </cell>
          <cell r="E216">
            <v>184926959.88</v>
          </cell>
          <cell r="F216">
            <v>40468.15</v>
          </cell>
          <cell r="G216">
            <v>359397640.15000004</v>
          </cell>
          <cell r="H216">
            <v>60636.06</v>
          </cell>
          <cell r="I216">
            <v>539782206.12000012</v>
          </cell>
          <cell r="J216">
            <v>85155.8</v>
          </cell>
          <cell r="K216">
            <v>738769142.89999974</v>
          </cell>
          <cell r="L216">
            <v>106502.82</v>
          </cell>
          <cell r="M216">
            <v>887967261.74999988</v>
          </cell>
          <cell r="N216">
            <v>127385.84</v>
          </cell>
          <cell r="O216">
            <v>1052843967.5999999</v>
          </cell>
          <cell r="P216">
            <v>130902.44</v>
          </cell>
          <cell r="Q216">
            <v>1184012569.8</v>
          </cell>
          <cell r="R216">
            <v>151642.35</v>
          </cell>
          <cell r="S216">
            <v>1340215089.3</v>
          </cell>
          <cell r="T216">
            <v>172016.48</v>
          </cell>
          <cell r="U216">
            <v>1545052023.3599999</v>
          </cell>
          <cell r="V216">
            <v>193969.43</v>
          </cell>
          <cell r="W216">
            <v>1789852915.3250003</v>
          </cell>
          <cell r="X216">
            <v>212123.14</v>
          </cell>
          <cell r="Y216">
            <v>1901047580.6799996</v>
          </cell>
          <cell r="Z216">
            <v>233136.86</v>
          </cell>
          <cell r="AA216">
            <v>2086574896.9999998</v>
          </cell>
        </row>
        <row r="217"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</row>
        <row r="219">
          <cell r="D219">
            <v>10881.76</v>
          </cell>
          <cell r="E219">
            <v>96488565.920000002</v>
          </cell>
          <cell r="F219">
            <v>22171.279999999999</v>
          </cell>
          <cell r="G219">
            <v>196903137.68000001</v>
          </cell>
          <cell r="H219">
            <v>35536.629999999997</v>
          </cell>
          <cell r="I219">
            <v>316347080.25999999</v>
          </cell>
          <cell r="J219">
            <v>48915.8</v>
          </cell>
          <cell r="K219">
            <v>424369022.89999998</v>
          </cell>
          <cell r="L219">
            <v>62372.5</v>
          </cell>
          <cell r="M219">
            <v>520030718.75</v>
          </cell>
          <cell r="N219">
            <v>76160.929999999993</v>
          </cell>
          <cell r="O219">
            <v>629470086.45000005</v>
          </cell>
          <cell r="P219">
            <v>49675.35</v>
          </cell>
          <cell r="Q219">
            <v>449313540.75</v>
          </cell>
          <cell r="R219">
            <v>56821.759999999995</v>
          </cell>
          <cell r="S219">
            <v>502190714.88</v>
          </cell>
          <cell r="T219">
            <v>63844.07</v>
          </cell>
          <cell r="U219">
            <v>573447436.74000001</v>
          </cell>
          <cell r="V219">
            <v>95578.06</v>
          </cell>
          <cell r="W219">
            <v>881946548.64999998</v>
          </cell>
          <cell r="X219">
            <v>104716.06</v>
          </cell>
          <cell r="Y219">
            <v>938465329.72000003</v>
          </cell>
          <cell r="Z219">
            <v>114107.92</v>
          </cell>
          <cell r="AA219">
            <v>1021265884</v>
          </cell>
        </row>
        <row r="220"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6391.21</v>
          </cell>
          <cell r="Q220">
            <v>57808494.450000003</v>
          </cell>
          <cell r="R220">
            <v>7304.24</v>
          </cell>
          <cell r="S220">
            <v>64554873.119999997</v>
          </cell>
          <cell r="T220">
            <v>8217.27</v>
          </cell>
          <cell r="U220">
            <v>73807519.140000001</v>
          </cell>
          <cell r="V220">
            <v>9130.2999999999993</v>
          </cell>
          <cell r="W220">
            <v>84249843.25</v>
          </cell>
          <cell r="X220">
            <v>10043.33</v>
          </cell>
          <cell r="Y220">
            <v>90008323.459999993</v>
          </cell>
          <cell r="Z220">
            <v>10955.98</v>
          </cell>
          <cell r="AA220">
            <v>98056021</v>
          </cell>
        </row>
        <row r="221">
          <cell r="D221">
            <v>6983.09</v>
          </cell>
          <cell r="E221">
            <v>61919059.030000001</v>
          </cell>
          <cell r="F221">
            <v>14306.84</v>
          </cell>
          <cell r="G221">
            <v>127059046.04000001</v>
          </cell>
          <cell r="H221">
            <v>23739.87</v>
          </cell>
          <cell r="I221">
            <v>211332322.73999998</v>
          </cell>
          <cell r="J221">
            <v>33202.959999999999</v>
          </cell>
          <cell r="K221">
            <v>288052279.48000002</v>
          </cell>
          <cell r="L221">
            <v>42743.58</v>
          </cell>
          <cell r="M221">
            <v>356374598.25</v>
          </cell>
          <cell r="N221">
            <v>52615.93</v>
          </cell>
          <cell r="O221">
            <v>434870661.44999999</v>
          </cell>
          <cell r="P221">
            <v>37280.449999999997</v>
          </cell>
          <cell r="Q221">
            <v>337201670.25</v>
          </cell>
          <cell r="R221">
            <v>42656.35</v>
          </cell>
          <cell r="S221">
            <v>376996821.30000001</v>
          </cell>
          <cell r="T221">
            <v>47906.64</v>
          </cell>
          <cell r="U221">
            <v>430297440.48000002</v>
          </cell>
          <cell r="V221">
            <v>53180.56</v>
          </cell>
          <cell r="W221">
            <v>490723617.39999998</v>
          </cell>
          <cell r="X221">
            <v>58559.29</v>
          </cell>
          <cell r="Y221">
            <v>524808356.98000002</v>
          </cell>
          <cell r="Z221">
            <v>64192.05</v>
          </cell>
          <cell r="AA221">
            <v>574518847.5</v>
          </cell>
        </row>
        <row r="222">
          <cell r="D222">
            <v>425.11</v>
          </cell>
          <cell r="E222">
            <v>3769450.37</v>
          </cell>
          <cell r="F222">
            <v>850.22</v>
          </cell>
          <cell r="G222">
            <v>7550803.8200000003</v>
          </cell>
          <cell r="H222">
            <v>1275.43</v>
          </cell>
          <cell r="I222">
            <v>11353877.860000001</v>
          </cell>
          <cell r="J222">
            <v>1684.4</v>
          </cell>
          <cell r="K222">
            <v>14613012.200000001</v>
          </cell>
          <cell r="L222">
            <v>2093.37</v>
          </cell>
          <cell r="M222">
            <v>17453472.375</v>
          </cell>
          <cell r="N222">
            <v>2502.34</v>
          </cell>
          <cell r="O222">
            <v>20681840.100000001</v>
          </cell>
          <cell r="P222">
            <v>6003.69</v>
          </cell>
          <cell r="Q222">
            <v>54303376.049999997</v>
          </cell>
          <cell r="R222">
            <v>6861.17</v>
          </cell>
          <cell r="S222">
            <v>60639020.460000001</v>
          </cell>
          <cell r="T222">
            <v>7720.16</v>
          </cell>
          <cell r="U222">
            <v>69342477.120000005</v>
          </cell>
          <cell r="V222">
            <v>8579.15</v>
          </cell>
          <cell r="W222">
            <v>79164106.625</v>
          </cell>
          <cell r="X222">
            <v>9438.14</v>
          </cell>
          <cell r="Y222">
            <v>84584610.679999992</v>
          </cell>
          <cell r="Z222">
            <v>10297.34</v>
          </cell>
          <cell r="AA222">
            <v>92161193</v>
          </cell>
        </row>
        <row r="223">
          <cell r="D223">
            <v>3473.56</v>
          </cell>
          <cell r="E223">
            <v>30800056.52</v>
          </cell>
          <cell r="F223">
            <v>7014.22</v>
          </cell>
          <cell r="G223">
            <v>62293287.82</v>
          </cell>
          <cell r="H223">
            <v>10521.33</v>
          </cell>
          <cell r="I223">
            <v>93660879.659999996</v>
          </cell>
          <cell r="J223">
            <v>14028.44</v>
          </cell>
          <cell r="K223">
            <v>121703731.22</v>
          </cell>
          <cell r="L223">
            <v>17535.55</v>
          </cell>
          <cell r="M223">
            <v>146202648.125</v>
          </cell>
          <cell r="N223">
            <v>21042.66</v>
          </cell>
          <cell r="O223">
            <v>173917584.90000001</v>
          </cell>
          <cell r="V223">
            <v>24688.05</v>
          </cell>
          <cell r="W223">
            <v>227808981.375</v>
          </cell>
          <cell r="X223">
            <v>26675.3</v>
          </cell>
          <cell r="Y223">
            <v>239064038.59999999</v>
          </cell>
          <cell r="Z223">
            <v>28662.55</v>
          </cell>
          <cell r="AA223">
            <v>256529822.5</v>
          </cell>
        </row>
        <row r="225"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200000</v>
          </cell>
          <cell r="AA225">
            <v>1790000000</v>
          </cell>
        </row>
        <row r="226"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200000</v>
          </cell>
          <cell r="AA226">
            <v>1790000000</v>
          </cell>
        </row>
        <row r="227"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</row>
        <row r="228"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</row>
        <row r="229"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</row>
        <row r="231">
          <cell r="D231">
            <v>229606.32</v>
          </cell>
          <cell r="E231">
            <v>2035919239.4400001</v>
          </cell>
          <cell r="F231">
            <v>472694.53</v>
          </cell>
          <cell r="G231">
            <v>4198000120.9300003</v>
          </cell>
          <cell r="H231">
            <v>741712.73</v>
          </cell>
          <cell r="I231">
            <v>6602726722.46</v>
          </cell>
          <cell r="J231">
            <v>1018854.37</v>
          </cell>
          <cell r="K231">
            <v>8839071086.9349995</v>
          </cell>
          <cell r="L231">
            <v>1302769.32</v>
          </cell>
          <cell r="M231">
            <v>10861839205.5</v>
          </cell>
          <cell r="N231">
            <v>1597695.67</v>
          </cell>
          <cell r="O231">
            <v>13204954712.550001</v>
          </cell>
          <cell r="P231">
            <v>1635594.2499999998</v>
          </cell>
          <cell r="Q231">
            <v>14793949991.25</v>
          </cell>
          <cell r="R231">
            <v>1897281.1800000002</v>
          </cell>
          <cell r="S231">
            <v>16768171068.840002</v>
          </cell>
          <cell r="T231">
            <v>2141801.16</v>
          </cell>
          <cell r="U231">
            <v>19237658019.119995</v>
          </cell>
          <cell r="V231">
            <v>2399762.54</v>
          </cell>
          <cell r="W231">
            <v>22143808837.850002</v>
          </cell>
          <cell r="X231">
            <v>2667354.65</v>
          </cell>
          <cell r="Y231">
            <v>23904832373.299999</v>
          </cell>
          <cell r="Z231">
            <v>3001898.01</v>
          </cell>
          <cell r="AA231">
            <v>26866987189.5</v>
          </cell>
        </row>
        <row r="232">
          <cell r="D232">
            <v>154847.65</v>
          </cell>
          <cell r="E232">
            <v>1373034112.55</v>
          </cell>
          <cell r="F232">
            <v>327616.53000000003</v>
          </cell>
          <cell r="G232">
            <v>2909562402.9300003</v>
          </cell>
          <cell r="H232">
            <v>513475.94</v>
          </cell>
          <cell r="I232">
            <v>4570962817.8800001</v>
          </cell>
          <cell r="J232">
            <v>690733.43</v>
          </cell>
          <cell r="K232">
            <v>5992457871.9650002</v>
          </cell>
          <cell r="L232">
            <v>868549.21</v>
          </cell>
          <cell r="M232">
            <v>7241529038.374999</v>
          </cell>
          <cell r="N232">
            <v>1063197.9099999999</v>
          </cell>
          <cell r="O232">
            <v>8787330726.1500015</v>
          </cell>
          <cell r="P232">
            <v>1132238.8899999999</v>
          </cell>
          <cell r="Q232">
            <v>10241100760.049999</v>
          </cell>
          <cell r="R232">
            <v>1307746.6200000001</v>
          </cell>
          <cell r="S232">
            <v>11557864627.560001</v>
          </cell>
          <cell r="T232">
            <v>1487311.91</v>
          </cell>
          <cell r="U232">
            <v>13359035575.619999</v>
          </cell>
          <cell r="V232">
            <v>1677050.08</v>
          </cell>
          <cell r="W232">
            <v>15474979613.200003</v>
          </cell>
          <cell r="X232">
            <v>1876524.09</v>
          </cell>
          <cell r="Y232">
            <v>16817408894.58</v>
          </cell>
          <cell r="Z232">
            <v>2064816.41</v>
          </cell>
          <cell r="AA232">
            <v>18480106869.5</v>
          </cell>
        </row>
        <row r="233">
          <cell r="D233">
            <v>0</v>
          </cell>
          <cell r="E233">
            <v>0</v>
          </cell>
          <cell r="F233">
            <v>894.54</v>
          </cell>
          <cell r="G233">
            <v>7944409.7399999993</v>
          </cell>
          <cell r="H233">
            <v>1789.94</v>
          </cell>
          <cell r="I233">
            <v>15934045.880000001</v>
          </cell>
          <cell r="J233">
            <v>2696.06</v>
          </cell>
          <cell r="K233">
            <v>23389668.530000001</v>
          </cell>
          <cell r="L233">
            <v>3627.32</v>
          </cell>
          <cell r="M233">
            <v>30242780.5</v>
          </cell>
          <cell r="N233">
            <v>4563.97</v>
          </cell>
          <cell r="O233">
            <v>37721212.050000012</v>
          </cell>
          <cell r="P233">
            <v>8539.16</v>
          </cell>
          <cell r="Q233">
            <v>77236702.200000003</v>
          </cell>
          <cell r="R233">
            <v>10267.950000000001</v>
          </cell>
          <cell r="S233">
            <v>90748142.100000009</v>
          </cell>
          <cell r="T233">
            <v>11988.33</v>
          </cell>
          <cell r="U233">
            <v>107679180.06000002</v>
          </cell>
          <cell r="V233">
            <v>13727.48</v>
          </cell>
          <cell r="W233">
            <v>126670321.69999997</v>
          </cell>
          <cell r="X233">
            <v>15430.75</v>
          </cell>
          <cell r="Y233">
            <v>138290381.5</v>
          </cell>
          <cell r="Z233">
            <v>11781.64</v>
          </cell>
          <cell r="AA233">
            <v>105445678</v>
          </cell>
        </row>
        <row r="234">
          <cell r="D234">
            <v>34885.870000000003</v>
          </cell>
          <cell r="E234">
            <v>309333009.29000002</v>
          </cell>
          <cell r="F234">
            <v>65484</v>
          </cell>
          <cell r="G234">
            <v>581563404</v>
          </cell>
          <cell r="H234">
            <v>110354.63</v>
          </cell>
          <cell r="I234">
            <v>982376916.25999999</v>
          </cell>
          <cell r="J234">
            <v>168569.53</v>
          </cell>
          <cell r="K234">
            <v>1462424957.5150001</v>
          </cell>
          <cell r="L234">
            <v>221189.4</v>
          </cell>
          <cell r="M234">
            <v>1844166622.5</v>
          </cell>
          <cell r="N234">
            <v>254725.63</v>
          </cell>
          <cell r="O234">
            <v>2105307331.95</v>
          </cell>
          <cell r="P234">
            <v>223146.93</v>
          </cell>
          <cell r="Q234">
            <v>2018363981.8499999</v>
          </cell>
          <cell r="R234">
            <v>268847.59999999998</v>
          </cell>
          <cell r="S234">
            <v>2376075088.7999997</v>
          </cell>
          <cell r="T234">
            <v>294045.81</v>
          </cell>
          <cell r="U234">
            <v>2641119465.4200001</v>
          </cell>
          <cell r="V234">
            <v>322866.06</v>
          </cell>
          <cell r="W234">
            <v>2979246568.6500001</v>
          </cell>
          <cell r="X234">
            <v>351539.66</v>
          </cell>
          <cell r="Y234">
            <v>3150498432.9199996</v>
          </cell>
          <cell r="Z234">
            <v>436794.29</v>
          </cell>
          <cell r="AA234">
            <v>3909308895.5</v>
          </cell>
        </row>
        <row r="235">
          <cell r="D235">
            <v>1020.1</v>
          </cell>
          <cell r="E235">
            <v>9045226.7000000011</v>
          </cell>
          <cell r="F235">
            <v>2102.83</v>
          </cell>
          <cell r="G235">
            <v>18675233.23</v>
          </cell>
          <cell r="H235">
            <v>2587.73</v>
          </cell>
          <cell r="I235">
            <v>23035972.459999997</v>
          </cell>
          <cell r="J235">
            <v>2746.4</v>
          </cell>
          <cell r="K235">
            <v>23826393.199999999</v>
          </cell>
          <cell r="L235">
            <v>3138.46</v>
          </cell>
          <cell r="M235">
            <v>26166910.25</v>
          </cell>
          <cell r="N235">
            <v>4322.95</v>
          </cell>
          <cell r="O235">
            <v>35729181.75</v>
          </cell>
          <cell r="P235">
            <v>3408.05</v>
          </cell>
          <cell r="Q235">
            <v>30825812.25</v>
          </cell>
          <cell r="R235">
            <v>4089.55</v>
          </cell>
          <cell r="S235">
            <v>36143442.899999999</v>
          </cell>
          <cell r="T235">
            <v>4800.71</v>
          </cell>
          <cell r="U235">
            <v>43119977.219999999</v>
          </cell>
          <cell r="V235">
            <v>5681.28</v>
          </cell>
          <cell r="W235">
            <v>52424011.199999996</v>
          </cell>
          <cell r="X235">
            <v>6100.63</v>
          </cell>
          <cell r="Y235">
            <v>54673846.060000002</v>
          </cell>
          <cell r="Z235">
            <v>6951.29</v>
          </cell>
          <cell r="AA235">
            <v>62214045.5</v>
          </cell>
        </row>
        <row r="236">
          <cell r="D236">
            <v>19829.84</v>
          </cell>
          <cell r="E236">
            <v>175831191.28</v>
          </cell>
          <cell r="F236">
            <v>38780.9</v>
          </cell>
          <cell r="G236">
            <v>344413172.9000001</v>
          </cell>
          <cell r="H236">
            <v>57749.99</v>
          </cell>
          <cell r="I236">
            <v>514090410.97999996</v>
          </cell>
          <cell r="J236">
            <v>76357.740000000005</v>
          </cell>
          <cell r="K236">
            <v>662441573.37000012</v>
          </cell>
          <cell r="L236">
            <v>96508.68</v>
          </cell>
          <cell r="M236">
            <v>804641119.50000012</v>
          </cell>
          <cell r="N236">
            <v>116657.60000000001</v>
          </cell>
          <cell r="O236">
            <v>964175064</v>
          </cell>
          <cell r="P236">
            <v>116956.18</v>
          </cell>
          <cell r="Q236">
            <v>1057868648.0999999</v>
          </cell>
          <cell r="R236">
            <v>135998.57999999999</v>
          </cell>
          <cell r="S236">
            <v>1201955450.04</v>
          </cell>
          <cell r="T236">
            <v>154387.46</v>
          </cell>
          <cell r="U236">
            <v>1386708165.72</v>
          </cell>
          <cell r="V236">
            <v>172825.39</v>
          </cell>
          <cell r="W236">
            <v>1594746286.2250001</v>
          </cell>
          <cell r="X236">
            <v>191177.09</v>
          </cell>
          <cell r="Y236">
            <v>1713329080.5799999</v>
          </cell>
          <cell r="Z236">
            <v>210189.14</v>
          </cell>
          <cell r="AA236">
            <v>1881192803.0000002</v>
          </cell>
        </row>
        <row r="237">
          <cell r="D237">
            <v>19022.86</v>
          </cell>
          <cell r="E237">
            <v>168675699.62</v>
          </cell>
          <cell r="F237">
            <v>37815.730000000003</v>
          </cell>
          <cell r="G237">
            <v>335841498.13000005</v>
          </cell>
          <cell r="H237">
            <v>55754.5</v>
          </cell>
          <cell r="I237">
            <v>496326559</v>
          </cell>
          <cell r="J237">
            <v>77751.210000000006</v>
          </cell>
          <cell r="K237">
            <v>674530622.35500002</v>
          </cell>
          <cell r="L237">
            <v>109756.25</v>
          </cell>
          <cell r="M237">
            <v>915092734.375</v>
          </cell>
          <cell r="N237">
            <v>154227.60999999999</v>
          </cell>
          <cell r="O237">
            <v>1274691196.6499999</v>
          </cell>
          <cell r="P237">
            <v>151305.04</v>
          </cell>
          <cell r="Q237">
            <v>1368554086.8000002</v>
          </cell>
          <cell r="R237">
            <v>170330.88</v>
          </cell>
          <cell r="S237">
            <v>1505384317.4400001</v>
          </cell>
          <cell r="T237">
            <v>189266.94</v>
          </cell>
          <cell r="U237">
            <v>1699995655.0799999</v>
          </cell>
          <cell r="V237">
            <v>207612.25</v>
          </cell>
          <cell r="W237">
            <v>1915742036.8750002</v>
          </cell>
          <cell r="X237">
            <v>226582.43</v>
          </cell>
          <cell r="Y237">
            <v>2030631737.6599998</v>
          </cell>
          <cell r="Z237">
            <v>271365.24</v>
          </cell>
          <cell r="AA237">
            <v>2428718898</v>
          </cell>
        </row>
        <row r="239"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</row>
        <row r="240"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</row>
        <row r="242">
          <cell r="D242">
            <v>-19796.8</v>
          </cell>
          <cell r="E242">
            <v>-175538225.59999996</v>
          </cell>
          <cell r="F242">
            <v>-14352.34</v>
          </cell>
          <cell r="G242">
            <v>-127463131.53999999</v>
          </cell>
          <cell r="H242">
            <v>14613.12</v>
          </cell>
          <cell r="I242">
            <v>130085994.23999995</v>
          </cell>
          <cell r="J242">
            <v>-5160.5999999999913</v>
          </cell>
          <cell r="K242">
            <v>-44770785.299999952</v>
          </cell>
          <cell r="L242">
            <v>-41533.43</v>
          </cell>
          <cell r="M242">
            <v>-346284972.625</v>
          </cell>
          <cell r="N242">
            <v>-62764.68</v>
          </cell>
          <cell r="O242">
            <v>-518750080.19999993</v>
          </cell>
          <cell r="P242">
            <v>5775.2200000000012</v>
          </cell>
          <cell r="Q242">
            <v>52236864.900000095</v>
          </cell>
          <cell r="R242">
            <v>-29698.449999999997</v>
          </cell>
          <cell r="S242">
            <v>-262474901.10000002</v>
          </cell>
          <cell r="T242">
            <v>-1488209.99</v>
          </cell>
          <cell r="U242">
            <v>-13367102130.179998</v>
          </cell>
          <cell r="V242">
            <v>-1520359.93</v>
          </cell>
          <cell r="W242">
            <v>-14029121254.075001</v>
          </cell>
          <cell r="X242">
            <v>-1543554.71</v>
          </cell>
          <cell r="Y242">
            <v>-13833337311.02</v>
          </cell>
          <cell r="Z242">
            <v>-1595785.96</v>
          </cell>
          <cell r="AA242">
            <v>-14282284342</v>
          </cell>
        </row>
        <row r="243">
          <cell r="D243">
            <v>990.79</v>
          </cell>
          <cell r="E243">
            <v>8785334.9299999997</v>
          </cell>
          <cell r="F243">
            <v>2118.23</v>
          </cell>
          <cell r="G243">
            <v>18812000.629999999</v>
          </cell>
          <cell r="H243">
            <v>3012.27</v>
          </cell>
          <cell r="I243">
            <v>26815227.539999999</v>
          </cell>
          <cell r="J243">
            <v>4576.58</v>
          </cell>
          <cell r="K243">
            <v>39704119.789999999</v>
          </cell>
          <cell r="L243">
            <v>5947.03</v>
          </cell>
          <cell r="M243">
            <v>49583362.625</v>
          </cell>
          <cell r="N243">
            <v>7675.64</v>
          </cell>
          <cell r="O243">
            <v>63439164.600000001</v>
          </cell>
          <cell r="P243">
            <v>9135.7999999999993</v>
          </cell>
          <cell r="Q243">
            <v>82633311</v>
          </cell>
          <cell r="R243">
            <v>10201.48</v>
          </cell>
          <cell r="S243">
            <v>90160680.239999995</v>
          </cell>
          <cell r="T243">
            <v>11257.92</v>
          </cell>
          <cell r="U243">
            <v>101118637.44</v>
          </cell>
          <cell r="V243">
            <v>14183.47</v>
          </cell>
          <cell r="W243">
            <v>130877969.425</v>
          </cell>
          <cell r="X243">
            <v>15204.9</v>
          </cell>
          <cell r="Y243">
            <v>136266313.79999998</v>
          </cell>
          <cell r="Z243">
            <v>17427.580000000002</v>
          </cell>
          <cell r="AA243">
            <v>155976841.00000003</v>
          </cell>
        </row>
        <row r="244"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</row>
        <row r="245">
          <cell r="D245">
            <v>8672.86</v>
          </cell>
          <cell r="E245">
            <v>76902249.620000005</v>
          </cell>
          <cell r="F245">
            <v>13383.71</v>
          </cell>
          <cell r="G245">
            <v>118860728.50999999</v>
          </cell>
          <cell r="H245">
            <v>53414.65</v>
          </cell>
          <cell r="I245">
            <v>475497214.30000001</v>
          </cell>
          <cell r="J245">
            <v>56647.64</v>
          </cell>
          <cell r="K245">
            <v>491446600.81999999</v>
          </cell>
          <cell r="L245">
            <v>58124.29</v>
          </cell>
          <cell r="M245">
            <v>484611267.875</v>
          </cell>
          <cell r="N245">
            <v>76266.880000000005</v>
          </cell>
          <cell r="O245">
            <v>630345763.20000005</v>
          </cell>
          <cell r="P245">
            <v>91626.77</v>
          </cell>
          <cell r="Q245">
            <v>828764134.6500001</v>
          </cell>
          <cell r="R245">
            <v>92885.6</v>
          </cell>
          <cell r="S245">
            <v>820922932.80000007</v>
          </cell>
          <cell r="T245">
            <v>-1324970.8899999999</v>
          </cell>
          <cell r="U245">
            <v>-11900888533.98</v>
          </cell>
          <cell r="V245">
            <v>-1319683.6599999999</v>
          </cell>
          <cell r="W245">
            <v>-12177380972.65</v>
          </cell>
          <cell r="X245">
            <v>-1306922.25</v>
          </cell>
          <cell r="Y245">
            <v>-11712637204.5</v>
          </cell>
          <cell r="Z245">
            <v>-1299808.19</v>
          </cell>
          <cell r="AA245">
            <v>-11633283300.5</v>
          </cell>
        </row>
        <row r="246">
          <cell r="D246">
            <v>-29460.45</v>
          </cell>
          <cell r="E246">
            <v>-261225810.14999998</v>
          </cell>
          <cell r="F246">
            <v>-29854.28</v>
          </cell>
          <cell r="G246">
            <v>-265135860.67999998</v>
          </cell>
          <cell r="H246">
            <v>-41813.800000000003</v>
          </cell>
          <cell r="I246">
            <v>-372226447.60000008</v>
          </cell>
          <cell r="J246">
            <v>-66384.820000000007</v>
          </cell>
          <cell r="K246">
            <v>-575921505.90999997</v>
          </cell>
          <cell r="L246">
            <v>-105604.75</v>
          </cell>
          <cell r="M246">
            <v>-880479603.125</v>
          </cell>
          <cell r="N246">
            <v>-146707.20000000001</v>
          </cell>
          <cell r="O246">
            <v>-1212535008</v>
          </cell>
          <cell r="P246">
            <v>-94987.35</v>
          </cell>
          <cell r="Q246">
            <v>-859160580.75</v>
          </cell>
          <cell r="R246">
            <v>-132785.53</v>
          </cell>
          <cell r="S246">
            <v>-1173558514.1400001</v>
          </cell>
          <cell r="T246">
            <v>-174497.02</v>
          </cell>
          <cell r="U246">
            <v>-1567332233.6399999</v>
          </cell>
          <cell r="V246">
            <v>-214859.74</v>
          </cell>
          <cell r="W246">
            <v>-1982618250.8499999</v>
          </cell>
          <cell r="X246">
            <v>-251837.36</v>
          </cell>
          <cell r="Y246">
            <v>-2256966420.3200002</v>
          </cell>
          <cell r="Z246">
            <v>-313405.34999999998</v>
          </cell>
          <cell r="AA246">
            <v>-2804977882.5</v>
          </cell>
        </row>
        <row r="248">
          <cell r="D248">
            <v>-370328.01</v>
          </cell>
          <cell r="E248">
            <v>-3283698464.6700001</v>
          </cell>
          <cell r="F248">
            <v>-774545.97</v>
          </cell>
          <cell r="G248">
            <v>-6878742759.5699978</v>
          </cell>
          <cell r="H248">
            <v>-1258265.53</v>
          </cell>
          <cell r="I248">
            <v>-11201079748.060003</v>
          </cell>
          <cell r="J248">
            <v>-1701789.58</v>
          </cell>
          <cell r="K248">
            <v>-14763875501.289995</v>
          </cell>
          <cell r="L248">
            <v>-2119210.79</v>
          </cell>
          <cell r="M248">
            <v>-17668919961.625</v>
          </cell>
          <cell r="N248">
            <v>-2545154.0699999998</v>
          </cell>
          <cell r="O248">
            <v>-21035698388.549999</v>
          </cell>
          <cell r="P248">
            <v>-2719819.4999999991</v>
          </cell>
          <cell r="Q248">
            <v>-24600767377.499992</v>
          </cell>
          <cell r="R248">
            <v>-3107307.7999999993</v>
          </cell>
          <cell r="S248">
            <v>-27462386336.400005</v>
          </cell>
          <cell r="T248">
            <v>-2057243.2</v>
          </cell>
          <cell r="U248">
            <v>-18478158422.39999</v>
          </cell>
          <cell r="V248">
            <v>-2443637.1800000002</v>
          </cell>
          <cell r="W248">
            <v>-22548662078.450005</v>
          </cell>
          <cell r="X248">
            <v>-2855355.49</v>
          </cell>
          <cell r="Y248">
            <v>-25589695901.380001</v>
          </cell>
          <cell r="Z248">
            <v>-3505219.96</v>
          </cell>
          <cell r="AA248">
            <v>-31371718642</v>
          </cell>
        </row>
        <row r="251">
          <cell r="D251">
            <v>150346.67000000001</v>
          </cell>
          <cell r="E251">
            <v>1333123922.8900003</v>
          </cell>
          <cell r="F251">
            <v>269256.26</v>
          </cell>
          <cell r="G251">
            <v>2391264845.0600033</v>
          </cell>
          <cell r="H251">
            <v>422560.04</v>
          </cell>
          <cell r="I251">
            <v>3761629476.079998</v>
          </cell>
          <cell r="J251">
            <v>578485.15</v>
          </cell>
          <cell r="K251">
            <v>5018647918.8250103</v>
          </cell>
          <cell r="L251">
            <v>735020.07999999914</v>
          </cell>
          <cell r="M251">
            <v>6128229917</v>
          </cell>
          <cell r="N251">
            <v>979190.69</v>
          </cell>
          <cell r="O251">
            <v>8093011052.8500061</v>
          </cell>
          <cell r="P251">
            <v>1016100.2200000016</v>
          </cell>
          <cell r="Q251">
            <v>9190626489.9000015</v>
          </cell>
          <cell r="R251">
            <v>1199288.7400000007</v>
          </cell>
          <cell r="S251">
            <v>10599313884.119999</v>
          </cell>
          <cell r="T251">
            <v>2737043.25</v>
          </cell>
          <cell r="U251">
            <v>24584122471.500011</v>
          </cell>
          <cell r="V251">
            <v>2999668.31</v>
          </cell>
          <cell r="W251">
            <v>27679439330.524986</v>
          </cell>
          <cell r="X251">
            <v>3131875.32</v>
          </cell>
          <cell r="Y251">
            <v>28067866617.84</v>
          </cell>
          <cell r="Z251">
            <v>3125881.67</v>
          </cell>
          <cell r="AA251">
            <v>27976640946.5</v>
          </cell>
        </row>
        <row r="256"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18729.599999999999</v>
          </cell>
          <cell r="W256">
            <v>172827384</v>
          </cell>
          <cell r="X256">
            <v>18729.599999999999</v>
          </cell>
          <cell r="Y256">
            <v>167854675.19999999</v>
          </cell>
          <cell r="Z256">
            <v>18729.599999999999</v>
          </cell>
          <cell r="AA256">
            <v>167629920</v>
          </cell>
        </row>
        <row r="259"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18729.599999999999</v>
          </cell>
          <cell r="W259">
            <v>172827384</v>
          </cell>
          <cell r="X259">
            <v>18729.599999999999</v>
          </cell>
          <cell r="Y259">
            <v>167854675.19999999</v>
          </cell>
          <cell r="Z259">
            <v>18729.599999999999</v>
          </cell>
          <cell r="AA259">
            <v>167629920</v>
          </cell>
        </row>
        <row r="260"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18729.599999999999</v>
          </cell>
          <cell r="W260">
            <v>172827384</v>
          </cell>
          <cell r="X260">
            <v>18729.599999999999</v>
          </cell>
          <cell r="Y260">
            <v>167854675.19999999</v>
          </cell>
          <cell r="Z260">
            <v>18729.599999999999</v>
          </cell>
          <cell r="AA260">
            <v>167629920</v>
          </cell>
        </row>
        <row r="263">
          <cell r="D263">
            <v>30.78</v>
          </cell>
          <cell r="E263">
            <v>272926.26</v>
          </cell>
          <cell r="F263">
            <v>30.78</v>
          </cell>
          <cell r="G263">
            <v>273357.18</v>
          </cell>
          <cell r="H263">
            <v>109.68</v>
          </cell>
          <cell r="I263">
            <v>976371.36</v>
          </cell>
          <cell r="J263">
            <v>109.68</v>
          </cell>
          <cell r="K263">
            <v>951528.84</v>
          </cell>
          <cell r="L263">
            <v>109.68</v>
          </cell>
          <cell r="M263">
            <v>914457</v>
          </cell>
          <cell r="N263">
            <v>109.68</v>
          </cell>
          <cell r="O263">
            <v>906505.2</v>
          </cell>
          <cell r="P263">
            <v>1294.69</v>
          </cell>
          <cell r="Q263">
            <v>11710471.050000001</v>
          </cell>
          <cell r="R263">
            <v>1294.69</v>
          </cell>
          <cell r="S263">
            <v>11442470.220000001</v>
          </cell>
          <cell r="T263">
            <v>1690.1</v>
          </cell>
          <cell r="U263">
            <v>15180478.200000001</v>
          </cell>
          <cell r="V263">
            <v>2464.04</v>
          </cell>
          <cell r="W263">
            <v>22736929.100000001</v>
          </cell>
          <cell r="X263">
            <v>2495.11</v>
          </cell>
          <cell r="Y263">
            <v>22361175.82</v>
          </cell>
          <cell r="Z263">
            <v>2897.46</v>
          </cell>
          <cell r="AA263">
            <v>25932267.000000004</v>
          </cell>
        </row>
        <row r="265"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</row>
        <row r="266"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</row>
        <row r="268"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</row>
        <row r="269"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</row>
        <row r="271">
          <cell r="D271">
            <v>30.78</v>
          </cell>
          <cell r="E271">
            <v>272926.26</v>
          </cell>
          <cell r="F271">
            <v>30.78</v>
          </cell>
          <cell r="G271">
            <v>273357.18</v>
          </cell>
          <cell r="H271">
            <v>109.68</v>
          </cell>
          <cell r="I271">
            <v>976371.36</v>
          </cell>
          <cell r="J271">
            <v>109.68</v>
          </cell>
          <cell r="K271">
            <v>951528.84</v>
          </cell>
          <cell r="L271">
            <v>109.68</v>
          </cell>
          <cell r="M271">
            <v>914457</v>
          </cell>
          <cell r="N271">
            <v>109.68</v>
          </cell>
          <cell r="O271">
            <v>906505.2</v>
          </cell>
          <cell r="P271">
            <v>1294.69</v>
          </cell>
          <cell r="Q271">
            <v>11710471.050000001</v>
          </cell>
          <cell r="R271">
            <v>1294.69</v>
          </cell>
          <cell r="S271">
            <v>11442470.220000001</v>
          </cell>
          <cell r="T271">
            <v>1690.1</v>
          </cell>
          <cell r="U271">
            <v>15180478.200000001</v>
          </cell>
          <cell r="V271">
            <v>2464.04</v>
          </cell>
          <cell r="W271">
            <v>22736929.100000001</v>
          </cell>
          <cell r="X271">
            <v>2495.11</v>
          </cell>
          <cell r="Y271">
            <v>22361175.82</v>
          </cell>
          <cell r="Z271">
            <v>2897.46</v>
          </cell>
          <cell r="AA271">
            <v>25932267.000000004</v>
          </cell>
        </row>
        <row r="272">
          <cell r="D272">
            <v>30.78</v>
          </cell>
          <cell r="E272">
            <v>272926.26</v>
          </cell>
          <cell r="F272">
            <v>30.78</v>
          </cell>
          <cell r="G272">
            <v>273357.18</v>
          </cell>
          <cell r="H272">
            <v>109.68</v>
          </cell>
          <cell r="I272">
            <v>976371.36</v>
          </cell>
          <cell r="J272">
            <v>109.68</v>
          </cell>
          <cell r="K272">
            <v>951528.84</v>
          </cell>
          <cell r="L272">
            <v>109.68</v>
          </cell>
          <cell r="M272">
            <v>914457</v>
          </cell>
          <cell r="N272">
            <v>109.68</v>
          </cell>
          <cell r="O272">
            <v>906505.2</v>
          </cell>
          <cell r="P272">
            <v>1294.69</v>
          </cell>
          <cell r="Q272">
            <v>11710471.050000001</v>
          </cell>
          <cell r="R272">
            <v>1294.69</v>
          </cell>
          <cell r="S272">
            <v>11442470.220000001</v>
          </cell>
          <cell r="T272">
            <v>1690.1</v>
          </cell>
          <cell r="U272">
            <v>15180478.200000001</v>
          </cell>
          <cell r="V272">
            <v>2464.04</v>
          </cell>
          <cell r="W272">
            <v>22736929.100000001</v>
          </cell>
          <cell r="X272">
            <v>2495.11</v>
          </cell>
          <cell r="Y272">
            <v>22361175.82</v>
          </cell>
          <cell r="Z272">
            <v>2897.46</v>
          </cell>
          <cell r="AA272">
            <v>25932267.000000004</v>
          </cell>
        </row>
        <row r="274">
          <cell r="D274">
            <v>-30.78</v>
          </cell>
          <cell r="E274">
            <v>-272926.26</v>
          </cell>
          <cell r="F274">
            <v>-30.78</v>
          </cell>
          <cell r="G274">
            <v>-273357.18</v>
          </cell>
          <cell r="H274">
            <v>-109.68</v>
          </cell>
          <cell r="I274">
            <v>-976371.36</v>
          </cell>
          <cell r="J274">
            <v>-109.68</v>
          </cell>
          <cell r="K274">
            <v>-951528.84</v>
          </cell>
          <cell r="L274">
            <v>-109.68</v>
          </cell>
          <cell r="M274">
            <v>-914457</v>
          </cell>
          <cell r="N274">
            <v>-109.68</v>
          </cell>
          <cell r="O274">
            <v>-906505.2</v>
          </cell>
          <cell r="P274">
            <v>-1294.69</v>
          </cell>
          <cell r="Q274">
            <v>-11710471.050000001</v>
          </cell>
          <cell r="R274">
            <v>-1294.69</v>
          </cell>
          <cell r="S274">
            <v>-11442470.220000001</v>
          </cell>
          <cell r="T274">
            <v>-1690.1</v>
          </cell>
          <cell r="U274">
            <v>-15180478.200000001</v>
          </cell>
          <cell r="V274">
            <v>16265.56</v>
          </cell>
          <cell r="W274">
            <v>150090454.90000001</v>
          </cell>
          <cell r="X274">
            <v>16234.49</v>
          </cell>
          <cell r="Y274">
            <v>145493499.38</v>
          </cell>
          <cell r="Z274">
            <v>15832.14</v>
          </cell>
          <cell r="AA274">
            <v>141697653</v>
          </cell>
        </row>
        <row r="277">
          <cell r="D277">
            <v>150315.89000000001</v>
          </cell>
          <cell r="E277">
            <v>1332850996.6300004</v>
          </cell>
          <cell r="F277">
            <v>269225.48</v>
          </cell>
          <cell r="G277">
            <v>2390991487.8800035</v>
          </cell>
          <cell r="H277">
            <v>422450.36</v>
          </cell>
          <cell r="I277">
            <v>3760653104.7199979</v>
          </cell>
          <cell r="J277">
            <v>578375.47</v>
          </cell>
          <cell r="K277">
            <v>5017696389.9850101</v>
          </cell>
          <cell r="L277">
            <v>734910.39999999909</v>
          </cell>
          <cell r="M277">
            <v>6127315460</v>
          </cell>
          <cell r="N277">
            <v>979081.01</v>
          </cell>
          <cell r="O277">
            <v>8092104547.6500063</v>
          </cell>
          <cell r="P277">
            <v>1014805.5300000017</v>
          </cell>
          <cell r="Q277">
            <v>9178916018.8500023</v>
          </cell>
          <cell r="R277">
            <v>1197994.0500000007</v>
          </cell>
          <cell r="S277">
            <v>10587871413.9</v>
          </cell>
          <cell r="T277">
            <v>2735353.15</v>
          </cell>
          <cell r="U277">
            <v>24568941993.300011</v>
          </cell>
          <cell r="V277">
            <v>3015933.87</v>
          </cell>
          <cell r="W277">
            <v>27829529785.424988</v>
          </cell>
          <cell r="X277">
            <v>3148109.81</v>
          </cell>
          <cell r="Y277">
            <v>28213360117.220001</v>
          </cell>
          <cell r="Z277">
            <v>3141713.81</v>
          </cell>
          <cell r="AA277">
            <v>28118338599.5</v>
          </cell>
        </row>
        <row r="280">
          <cell r="E280">
            <v>1332850996.6300001</v>
          </cell>
          <cell r="F280" t="str">
            <v xml:space="preserve"> </v>
          </cell>
          <cell r="G280">
            <v>2390991487.8799996</v>
          </cell>
          <cell r="I280">
            <v>3760653104.7199998</v>
          </cell>
          <cell r="K280">
            <v>5017696389.9849997</v>
          </cell>
          <cell r="M280">
            <v>6127315459.9999924</v>
          </cell>
          <cell r="O280">
            <v>8092104547.6499996</v>
          </cell>
          <cell r="Q280">
            <v>9178916018.8500156</v>
          </cell>
          <cell r="S280">
            <v>10587871413.900007</v>
          </cell>
          <cell r="U280">
            <v>24568941993.299999</v>
          </cell>
          <cell r="W280">
            <v>27829529785.424999</v>
          </cell>
          <cell r="Y280">
            <v>28213360117.220001</v>
          </cell>
          <cell r="AA280">
            <v>28118338599.5</v>
          </cell>
        </row>
        <row r="282">
          <cell r="E282">
            <v>0</v>
          </cell>
          <cell r="G282">
            <v>-3.814697265625E-6</v>
          </cell>
          <cell r="I282">
            <v>0</v>
          </cell>
          <cell r="K282">
            <v>1.049041748046875E-5</v>
          </cell>
          <cell r="M282">
            <v>7.62939453125E-6</v>
          </cell>
          <cell r="O282">
            <v>0</v>
          </cell>
          <cell r="Q282">
            <v>0</v>
          </cell>
          <cell r="S282">
            <v>0</v>
          </cell>
          <cell r="U282">
            <v>0</v>
          </cell>
          <cell r="W282">
            <v>0</v>
          </cell>
          <cell r="Y282">
            <v>0</v>
          </cell>
          <cell r="AA282">
            <v>0</v>
          </cell>
        </row>
      </sheetData>
      <sheetData sheetId="4" refreshError="1">
        <row r="1">
          <cell r="A1">
            <v>255612</v>
          </cell>
          <cell r="B1" t="str">
            <v>Int Paid Depos on Call Non Banks Res</v>
          </cell>
          <cell r="C1" t="str">
            <v>INT PD NB CALL IND</v>
          </cell>
          <cell r="D1">
            <v>95812021</v>
          </cell>
          <cell r="E1" t="str">
            <v>USD</v>
          </cell>
          <cell r="F1" t="str">
            <v>INT PAID CALL DEPO NON BANK RES IND</v>
          </cell>
          <cell r="H1">
            <v>-6103.91</v>
          </cell>
        </row>
        <row r="2">
          <cell r="A2">
            <v>255631</v>
          </cell>
          <cell r="B2" t="str">
            <v>Int Paid Term Depos Fgn Ccy Bks Non Res</v>
          </cell>
          <cell r="C2" t="str">
            <v>INT PD BK TD UK</v>
          </cell>
          <cell r="D2">
            <v>95021021</v>
          </cell>
          <cell r="E2" t="str">
            <v>USD</v>
          </cell>
          <cell r="F2" t="str">
            <v>INT PAID BANK TERM DEPOSIT RES UK</v>
          </cell>
          <cell r="H2">
            <v>-10796.67</v>
          </cell>
        </row>
        <row r="3">
          <cell r="A3">
            <v>255631</v>
          </cell>
          <cell r="B3" t="str">
            <v>Int Paid Term Depos Fgn Ccy Bks Non Res</v>
          </cell>
          <cell r="C3" t="str">
            <v>INT PD BK TD UK</v>
          </cell>
          <cell r="D3">
            <v>95021041</v>
          </cell>
          <cell r="E3" t="str">
            <v>GBP</v>
          </cell>
          <cell r="F3" t="str">
            <v>INT PAID BANK TERM DEPOSIT RES UK</v>
          </cell>
          <cell r="H3">
            <v>-76824.52</v>
          </cell>
        </row>
        <row r="4">
          <cell r="A4">
            <v>255631</v>
          </cell>
          <cell r="B4" t="str">
            <v>Int Paid Term Depos Fgn Ccy Bks Non Res</v>
          </cell>
          <cell r="C4" t="str">
            <v>SHD-INT PD BK TD UK</v>
          </cell>
          <cell r="D4">
            <v>98021021</v>
          </cell>
          <cell r="E4" t="str">
            <v>USD</v>
          </cell>
          <cell r="F4" t="str">
            <v>SHD - INT PAID BK TERM DEP RES UK</v>
          </cell>
          <cell r="H4">
            <v>-75196.94</v>
          </cell>
        </row>
        <row r="5">
          <cell r="A5">
            <v>255631</v>
          </cell>
          <cell r="B5" t="str">
            <v>Int Paid Term Depos Fgn Ccy Bks Non Res</v>
          </cell>
          <cell r="C5" t="str">
            <v>SHD-INT PD BK TD UK</v>
          </cell>
          <cell r="D5">
            <v>98021041</v>
          </cell>
          <cell r="E5" t="str">
            <v>GBP</v>
          </cell>
          <cell r="F5" t="str">
            <v>SHD - INT PAID BK TERM DEP RES UK</v>
          </cell>
          <cell r="H5">
            <v>76824.52</v>
          </cell>
        </row>
        <row r="6">
          <cell r="A6">
            <v>255642</v>
          </cell>
          <cell r="B6" t="str">
            <v>Int Paid Depos on Call Fgn Ccy NBk N Res</v>
          </cell>
          <cell r="C6" t="str">
            <v>INT PD NB CALL OTEEC</v>
          </cell>
          <cell r="D6">
            <v>95813021</v>
          </cell>
          <cell r="E6" t="str">
            <v>USD</v>
          </cell>
          <cell r="F6" t="str">
            <v>INT PAID CALL DEPO NON BANK RES OTH EEC</v>
          </cell>
          <cell r="H6">
            <v>-1060.44</v>
          </cell>
        </row>
        <row r="7">
          <cell r="A7">
            <v>255642</v>
          </cell>
          <cell r="B7" t="str">
            <v>Int Paid Depos on Call Fgn Ccy NBk N Res</v>
          </cell>
          <cell r="C7" t="str">
            <v>INT PD NB CALL OTHER</v>
          </cell>
          <cell r="D7">
            <v>95814021</v>
          </cell>
          <cell r="E7" t="str">
            <v>USD</v>
          </cell>
          <cell r="F7" t="str">
            <v>INT PAID CALL DEPO NON BANK RES OTHER</v>
          </cell>
          <cell r="H7">
            <v>-81208.77</v>
          </cell>
        </row>
        <row r="8">
          <cell r="A8">
            <v>255642</v>
          </cell>
          <cell r="B8" t="str">
            <v>Int Paid Depos on Call Fgn Ccy NBk N Res</v>
          </cell>
          <cell r="C8" t="str">
            <v>INT PD NB CALL UK</v>
          </cell>
          <cell r="D8">
            <v>95811021</v>
          </cell>
          <cell r="E8" t="str">
            <v>USD</v>
          </cell>
          <cell r="F8" t="str">
            <v>INT PAID CALL DEPO NON BANK RES UK</v>
          </cell>
          <cell r="H8">
            <v>-11208.14</v>
          </cell>
        </row>
        <row r="9">
          <cell r="A9">
            <v>255642</v>
          </cell>
          <cell r="B9" t="str">
            <v>Int Paid Depos on Call Fgn Ccy NBk N Res</v>
          </cell>
          <cell r="C9" t="str">
            <v>INT PD NB CALL UK</v>
          </cell>
          <cell r="D9">
            <v>95811041</v>
          </cell>
          <cell r="E9" t="str">
            <v>GBP</v>
          </cell>
          <cell r="F9" t="str">
            <v>INT PAID CALL DEPO NON BANK RES UK</v>
          </cell>
          <cell r="H9">
            <v>-9479.99</v>
          </cell>
        </row>
        <row r="10">
          <cell r="A10">
            <v>255642</v>
          </cell>
          <cell r="B10" t="str">
            <v>Int Paid Depos on Call Fgn Ccy NBk N Res</v>
          </cell>
          <cell r="C10" t="str">
            <v>SHD-IP CL DEP NBK UK</v>
          </cell>
          <cell r="D10">
            <v>98811021</v>
          </cell>
          <cell r="E10" t="str">
            <v>USD</v>
          </cell>
          <cell r="F10" t="str">
            <v>SHD - INT PAID CALL DEPO NON BANK RES UK</v>
          </cell>
          <cell r="H10">
            <v>-9366.86</v>
          </cell>
        </row>
        <row r="11">
          <cell r="A11">
            <v>255642</v>
          </cell>
          <cell r="B11" t="str">
            <v>Int Paid Depos on Call Fgn Ccy NBk N Res</v>
          </cell>
          <cell r="C11" t="str">
            <v>SHD-IP CL DEP NBK UK</v>
          </cell>
          <cell r="D11">
            <v>98811041</v>
          </cell>
          <cell r="E11" t="str">
            <v>GBP</v>
          </cell>
          <cell r="F11" t="str">
            <v>SHD - INT PAID CALL DEPO NON BANK RES UK</v>
          </cell>
          <cell r="H11">
            <v>9479.99</v>
          </cell>
        </row>
        <row r="12">
          <cell r="A12">
            <v>255701</v>
          </cell>
          <cell r="B12" t="str">
            <v>Int Paid Term Depos Fgn Ccy Inter Branch</v>
          </cell>
          <cell r="C12" t="str">
            <v>INT PD H&amp;B TD OTHER</v>
          </cell>
          <cell r="D12">
            <v>95009021</v>
          </cell>
          <cell r="E12" t="str">
            <v>USD</v>
          </cell>
          <cell r="F12" t="str">
            <v>INT PAID HO&amp;BRS TERM DEPOSIT RES OTHER</v>
          </cell>
          <cell r="H12">
            <v>-531351.24</v>
          </cell>
        </row>
        <row r="13">
          <cell r="A13">
            <v>255833</v>
          </cell>
          <cell r="B13" t="str">
            <v>Int Paid Other Depos Fgn Ccy Banks N Res</v>
          </cell>
          <cell r="C13" t="str">
            <v>INT PAID INV ARB SWP</v>
          </cell>
          <cell r="D13">
            <v>95100021</v>
          </cell>
          <cell r="E13" t="str">
            <v>USD</v>
          </cell>
          <cell r="F13" t="str">
            <v>INTEREST PAID INVESTMENT ARB SWAP</v>
          </cell>
          <cell r="H13">
            <v>-89957.5</v>
          </cell>
        </row>
        <row r="14">
          <cell r="A14">
            <v>255833</v>
          </cell>
          <cell r="B14" t="str">
            <v>Int Paid Other Depos Fgn Ccy Banks N Res</v>
          </cell>
          <cell r="C14" t="str">
            <v>INT PAID INV ARB SWP</v>
          </cell>
          <cell r="D14">
            <v>95100041</v>
          </cell>
          <cell r="E14" t="str">
            <v>GBP</v>
          </cell>
          <cell r="F14" t="str">
            <v>INTEREST PAID INVESTMENT ARB SWAP</v>
          </cell>
          <cell r="H14">
            <v>-137710.15</v>
          </cell>
        </row>
        <row r="15">
          <cell r="A15">
            <v>255833</v>
          </cell>
          <cell r="B15" t="str">
            <v>Int Paid Other Depos Fgn Ccy Banks N Res</v>
          </cell>
          <cell r="C15" t="str">
            <v>INT PAID INV ARB SWP</v>
          </cell>
          <cell r="D15">
            <v>95100101</v>
          </cell>
          <cell r="E15" t="str">
            <v>EUR</v>
          </cell>
          <cell r="F15" t="str">
            <v>INTEREST PAID INVESTMENT ARB SWAP</v>
          </cell>
          <cell r="H15">
            <v>-6350.59</v>
          </cell>
        </row>
        <row r="16">
          <cell r="A16">
            <v>255833</v>
          </cell>
          <cell r="B16" t="str">
            <v>Int Paid Other Depos Fgn Ccy Banks N Res</v>
          </cell>
          <cell r="C16" t="str">
            <v>SHD-IP INV ARB SWAP</v>
          </cell>
          <cell r="D16">
            <v>98100021</v>
          </cell>
          <cell r="E16" t="str">
            <v>USD</v>
          </cell>
          <cell r="F16" t="str">
            <v>SHD - INT PAID INVESTMENT ARBITRAGE SWAP</v>
          </cell>
          <cell r="H16">
            <v>-141374.98000000001</v>
          </cell>
        </row>
        <row r="17">
          <cell r="A17">
            <v>255833</v>
          </cell>
          <cell r="B17" t="str">
            <v>Int Paid Other Depos Fgn Ccy Banks N Res</v>
          </cell>
          <cell r="C17" t="str">
            <v>SHD-IP INV ARB SWAP</v>
          </cell>
          <cell r="D17">
            <v>98100041</v>
          </cell>
          <cell r="E17" t="str">
            <v>GBP</v>
          </cell>
          <cell r="F17" t="str">
            <v>SHD - INT PAID INVESTMENT ARBITRAGE SWAP</v>
          </cell>
          <cell r="H17">
            <v>137710.15</v>
          </cell>
        </row>
        <row r="18">
          <cell r="A18">
            <v>255833</v>
          </cell>
          <cell r="B18" t="str">
            <v>Int Paid Other Depos Fgn Ccy Banks N Res</v>
          </cell>
          <cell r="C18" t="str">
            <v>SHD-IP INV ARB SWAP</v>
          </cell>
          <cell r="D18">
            <v>98100101</v>
          </cell>
          <cell r="E18" t="str">
            <v>EUR</v>
          </cell>
          <cell r="F18" t="str">
            <v>SHD - INT PAID INVESTMENT ARBITRAGE SWAP</v>
          </cell>
          <cell r="H18">
            <v>6350.59</v>
          </cell>
        </row>
        <row r="19">
          <cell r="A19">
            <v>277106</v>
          </cell>
          <cell r="B19" t="str">
            <v>Money Transfer Fees Paid - Rupiah</v>
          </cell>
          <cell r="C19" t="str">
            <v>MONEY TRANSFER</v>
          </cell>
          <cell r="D19">
            <v>95981011</v>
          </cell>
          <cell r="E19" t="str">
            <v>IDR</v>
          </cell>
          <cell r="F19" t="str">
            <v>MONEY TRANSFER FEE PAID</v>
          </cell>
          <cell r="H19">
            <v>-26.74</v>
          </cell>
        </row>
        <row r="20">
          <cell r="A20">
            <v>277106</v>
          </cell>
          <cell r="B20" t="str">
            <v>Money Transfer Fees Paid - Rupiah</v>
          </cell>
          <cell r="C20" t="str">
            <v>SHD-MONEY TFR FEE PD</v>
          </cell>
          <cell r="D20">
            <v>98981011</v>
          </cell>
          <cell r="E20" t="str">
            <v>IDR</v>
          </cell>
          <cell r="F20" t="str">
            <v>SHD - MONEY TRANSFER FEE PAID</v>
          </cell>
          <cell r="H20">
            <v>26.74</v>
          </cell>
        </row>
        <row r="21">
          <cell r="A21">
            <v>278136</v>
          </cell>
          <cell r="B21" t="str">
            <v>Money Transfer Fees Paid Fgn Ccy Non Res</v>
          </cell>
          <cell r="C21" t="str">
            <v>MONEY TRANSFER</v>
          </cell>
          <cell r="D21">
            <v>95981021</v>
          </cell>
          <cell r="E21" t="str">
            <v>USD</v>
          </cell>
          <cell r="F21" t="str">
            <v>MONEY TRANSFER FEE PAID</v>
          </cell>
          <cell r="H21">
            <v>-35397.040000000001</v>
          </cell>
        </row>
        <row r="22">
          <cell r="A22">
            <v>278136</v>
          </cell>
          <cell r="B22" t="str">
            <v>Money Transfer Fees Paid Fgn Ccy Non Res</v>
          </cell>
          <cell r="C22" t="str">
            <v>MONEY TRANSFER</v>
          </cell>
          <cell r="D22">
            <v>95981041</v>
          </cell>
          <cell r="E22" t="str">
            <v>GBP</v>
          </cell>
          <cell r="F22" t="str">
            <v>MONEY TRANSFER FEE PAID</v>
          </cell>
          <cell r="H22">
            <v>-652.20000000000005</v>
          </cell>
        </row>
        <row r="23">
          <cell r="A23">
            <v>278136</v>
          </cell>
          <cell r="B23" t="str">
            <v>Money Transfer Fees Paid Fgn Ccy Non Res</v>
          </cell>
          <cell r="C23" t="str">
            <v>MONEY TRANSFER</v>
          </cell>
          <cell r="D23">
            <v>95981101</v>
          </cell>
          <cell r="E23" t="str">
            <v>EUR</v>
          </cell>
          <cell r="F23" t="str">
            <v>MONEY TRANSFER FEE PAID</v>
          </cell>
          <cell r="H23">
            <v>-12871.88</v>
          </cell>
        </row>
        <row r="24">
          <cell r="A24">
            <v>278136</v>
          </cell>
          <cell r="B24" t="str">
            <v>Money Transfer Fees Paid Fgn Ccy Non Res</v>
          </cell>
          <cell r="C24" t="str">
            <v>SHD-MONEY TFR FEE PD</v>
          </cell>
          <cell r="D24">
            <v>98981021</v>
          </cell>
          <cell r="E24" t="str">
            <v>USD</v>
          </cell>
          <cell r="F24" t="str">
            <v>SHD - MONEY TRANSFER FEE PAID</v>
          </cell>
          <cell r="H24">
            <v>-13221.88</v>
          </cell>
        </row>
        <row r="25">
          <cell r="A25">
            <v>278136</v>
          </cell>
          <cell r="B25" t="str">
            <v>Money Transfer Fees Paid Fgn Ccy Non Res</v>
          </cell>
          <cell r="C25" t="str">
            <v>SHD-MONEY TFR FEE PD</v>
          </cell>
          <cell r="D25">
            <v>98981041</v>
          </cell>
          <cell r="E25" t="str">
            <v>GBP</v>
          </cell>
          <cell r="F25" t="str">
            <v>SHD - MONEY TRANSFER FEE PAID</v>
          </cell>
          <cell r="H25">
            <v>652.20000000000005</v>
          </cell>
        </row>
        <row r="26">
          <cell r="A26">
            <v>278136</v>
          </cell>
          <cell r="B26" t="str">
            <v>Money Transfer Fees Paid Fgn Ccy Non Res</v>
          </cell>
          <cell r="C26" t="str">
            <v>SHD-MONEY TFR FEE PD</v>
          </cell>
          <cell r="D26">
            <v>98981101</v>
          </cell>
          <cell r="E26" t="str">
            <v>EUR</v>
          </cell>
          <cell r="F26" t="str">
            <v>SHD - MONEY TRANSFER FEE PAID</v>
          </cell>
          <cell r="H26">
            <v>12871.88</v>
          </cell>
        </row>
        <row r="27">
          <cell r="A27">
            <v>278349</v>
          </cell>
          <cell r="B27" t="str">
            <v>Other Transaction Expenses Non Resident</v>
          </cell>
          <cell r="C27" t="str">
            <v>OTHER COMMISSION PD</v>
          </cell>
          <cell r="D27">
            <v>95983001</v>
          </cell>
          <cell r="E27" t="str">
            <v>GBP</v>
          </cell>
          <cell r="F27" t="str">
            <v>OTHER COMMISSIONS PAID</v>
          </cell>
          <cell r="H27">
            <v>-24.76</v>
          </cell>
        </row>
        <row r="28">
          <cell r="A28">
            <v>278349</v>
          </cell>
          <cell r="B28" t="str">
            <v>Other Transaction Expenses Non Resident</v>
          </cell>
          <cell r="C28" t="str">
            <v>OTHER COMMISSION PD</v>
          </cell>
          <cell r="D28">
            <v>95983021</v>
          </cell>
          <cell r="E28" t="str">
            <v>USD</v>
          </cell>
          <cell r="F28" t="str">
            <v>OTHER COMMISSIONS PAID</v>
          </cell>
          <cell r="H28">
            <v>-21842.880000000001</v>
          </cell>
        </row>
        <row r="29">
          <cell r="A29">
            <v>278349</v>
          </cell>
          <cell r="B29" t="str">
            <v>Other Transaction Expenses Non Resident</v>
          </cell>
          <cell r="C29" t="str">
            <v>SHD-OTH COMMISSIONPD</v>
          </cell>
          <cell r="D29">
            <v>98983021</v>
          </cell>
          <cell r="E29" t="str">
            <v>USD</v>
          </cell>
          <cell r="F29" t="str">
            <v>SHD - OTHER COMMISSION PAID</v>
          </cell>
          <cell r="H29">
            <v>-24.76</v>
          </cell>
        </row>
        <row r="30">
          <cell r="A30">
            <v>278349</v>
          </cell>
          <cell r="B30" t="str">
            <v>Other Transaction Expenses Non Resident</v>
          </cell>
          <cell r="C30" t="str">
            <v>SHD-OTH COMMISSIONPD</v>
          </cell>
          <cell r="D30">
            <v>98983041</v>
          </cell>
          <cell r="E30" t="str">
            <v>GBP</v>
          </cell>
          <cell r="F30" t="str">
            <v>SHD - OTHER COMMISSION PAID</v>
          </cell>
          <cell r="H30">
            <v>24.76</v>
          </cell>
        </row>
        <row r="31">
          <cell r="A31">
            <v>285101</v>
          </cell>
          <cell r="B31" t="str">
            <v>Communications Expenses Fgn Ccy</v>
          </cell>
          <cell r="C31" t="str">
            <v>COMMUNICATIONS FAX</v>
          </cell>
          <cell r="D31">
            <v>95931041</v>
          </cell>
          <cell r="E31" t="str">
            <v>GBP</v>
          </cell>
          <cell r="F31" t="str">
            <v>COMMUNICATIONS FAX</v>
          </cell>
          <cell r="H31">
            <v>-1556.6</v>
          </cell>
        </row>
        <row r="32">
          <cell r="A32">
            <v>285101</v>
          </cell>
          <cell r="B32" t="str">
            <v>Communications Expenses Fgn Ccy</v>
          </cell>
          <cell r="C32" t="str">
            <v>COMMUNICATIONS PHONE</v>
          </cell>
          <cell r="D32">
            <v>95933041</v>
          </cell>
          <cell r="E32" t="str">
            <v>GBP</v>
          </cell>
          <cell r="F32" t="str">
            <v>COMMUNICATIONS TELEPHONE</v>
          </cell>
          <cell r="H32">
            <v>-25499.279999999999</v>
          </cell>
        </row>
        <row r="33">
          <cell r="A33">
            <v>285101</v>
          </cell>
          <cell r="B33" t="str">
            <v>Communications Expenses Fgn Ccy</v>
          </cell>
          <cell r="C33" t="str">
            <v>COMMUNICATIONS SWIFT</v>
          </cell>
          <cell r="D33">
            <v>95930041</v>
          </cell>
          <cell r="E33" t="str">
            <v>GBP</v>
          </cell>
          <cell r="F33" t="str">
            <v>COMMUNICATIONS SWIFT</v>
          </cell>
          <cell r="H33">
            <v>-4054.85</v>
          </cell>
        </row>
        <row r="34">
          <cell r="A34">
            <v>285101</v>
          </cell>
          <cell r="B34" t="str">
            <v>Communications Expenses Fgn Ccy</v>
          </cell>
          <cell r="C34" t="str">
            <v>COMMUNICATIONS SWIFT</v>
          </cell>
          <cell r="D34">
            <v>95930101</v>
          </cell>
          <cell r="E34" t="str">
            <v>EUR</v>
          </cell>
          <cell r="F34" t="str">
            <v>COMMUNICATIONS SWIFT</v>
          </cell>
          <cell r="H34">
            <v>-12892.42</v>
          </cell>
        </row>
        <row r="35">
          <cell r="A35">
            <v>285101</v>
          </cell>
          <cell r="B35" t="str">
            <v>Communications Expenses Fgn Ccy</v>
          </cell>
          <cell r="C35" t="str">
            <v>COMMUNICATIONS TELEX</v>
          </cell>
          <cell r="D35">
            <v>95932041</v>
          </cell>
          <cell r="E35" t="str">
            <v>GBP</v>
          </cell>
          <cell r="F35" t="str">
            <v>COMMUNICATIONS TELEX</v>
          </cell>
          <cell r="H35">
            <v>-582.79</v>
          </cell>
        </row>
        <row r="36">
          <cell r="A36">
            <v>285101</v>
          </cell>
          <cell r="B36" t="str">
            <v>Communications Expenses Fgn Ccy</v>
          </cell>
          <cell r="C36" t="str">
            <v>SHD-COMMS FAX</v>
          </cell>
          <cell r="D36">
            <v>98931021</v>
          </cell>
          <cell r="E36" t="str">
            <v>USD</v>
          </cell>
          <cell r="F36" t="str">
            <v>SHD - COMMUNICATIONS FAX</v>
          </cell>
          <cell r="H36">
            <v>-1523.61</v>
          </cell>
        </row>
        <row r="37">
          <cell r="A37">
            <v>285101</v>
          </cell>
          <cell r="B37" t="str">
            <v>Communications Expenses Fgn Ccy</v>
          </cell>
          <cell r="C37" t="str">
            <v>SHD-COMMS FAX</v>
          </cell>
          <cell r="D37">
            <v>98931041</v>
          </cell>
          <cell r="E37" t="str">
            <v>GBP</v>
          </cell>
          <cell r="F37" t="str">
            <v>SHD - COMMUNICATIONS FAX</v>
          </cell>
          <cell r="H37">
            <v>1556.6</v>
          </cell>
        </row>
        <row r="38">
          <cell r="A38">
            <v>285101</v>
          </cell>
          <cell r="B38" t="str">
            <v>Communications Expenses Fgn Ccy</v>
          </cell>
          <cell r="C38" t="str">
            <v>SHD-COMMS SWIFT</v>
          </cell>
          <cell r="D38">
            <v>98930021</v>
          </cell>
          <cell r="E38" t="str">
            <v>USD</v>
          </cell>
          <cell r="F38" t="str">
            <v>SHD - COMMUNICATIONS SWIFT</v>
          </cell>
          <cell r="H38">
            <v>-16508.189999999999</v>
          </cell>
        </row>
        <row r="39">
          <cell r="A39">
            <v>285101</v>
          </cell>
          <cell r="B39" t="str">
            <v>Communications Expenses Fgn Ccy</v>
          </cell>
          <cell r="C39" t="str">
            <v>SHD-COMMS SWIFT</v>
          </cell>
          <cell r="D39">
            <v>98930041</v>
          </cell>
          <cell r="E39" t="str">
            <v>GBP</v>
          </cell>
          <cell r="F39" t="str">
            <v>SHD - COMMUNICATIONS SWIFT</v>
          </cell>
          <cell r="H39">
            <v>4054.85</v>
          </cell>
        </row>
        <row r="40">
          <cell r="A40">
            <v>285101</v>
          </cell>
          <cell r="B40" t="str">
            <v>Communications Expenses Fgn Ccy</v>
          </cell>
          <cell r="C40" t="str">
            <v>SHD-COMMS SWIFT</v>
          </cell>
          <cell r="D40">
            <v>98930101</v>
          </cell>
          <cell r="E40" t="str">
            <v>EUR</v>
          </cell>
          <cell r="F40" t="str">
            <v>SHD - COMMUNICATIONS SWIFT</v>
          </cell>
          <cell r="H40">
            <v>12892.42</v>
          </cell>
        </row>
        <row r="41">
          <cell r="A41">
            <v>285101</v>
          </cell>
          <cell r="B41" t="str">
            <v>Communications Expenses Fgn Ccy</v>
          </cell>
          <cell r="C41" t="str">
            <v>SHD-COMMS TELEPHONE</v>
          </cell>
          <cell r="D41">
            <v>98933021</v>
          </cell>
          <cell r="E41" t="str">
            <v>USD</v>
          </cell>
          <cell r="F41" t="str">
            <v>SHD - COMMUNICATIONS TELEPHONE</v>
          </cell>
          <cell r="H41">
            <v>-24865.77</v>
          </cell>
        </row>
        <row r="42">
          <cell r="A42">
            <v>285101</v>
          </cell>
          <cell r="B42" t="str">
            <v>Communications Expenses Fgn Ccy</v>
          </cell>
          <cell r="C42" t="str">
            <v>SHD-COMMS TELEPHONE</v>
          </cell>
          <cell r="D42">
            <v>98933041</v>
          </cell>
          <cell r="E42" t="str">
            <v>GBP</v>
          </cell>
          <cell r="F42" t="str">
            <v>SHD - COMMUNICATIONS TELEPHONE</v>
          </cell>
          <cell r="H42">
            <v>25499.279999999999</v>
          </cell>
        </row>
        <row r="43">
          <cell r="A43">
            <v>285101</v>
          </cell>
          <cell r="B43" t="str">
            <v>Communications Expenses Fgn Ccy</v>
          </cell>
          <cell r="C43" t="str">
            <v>SHD-COMMS TELEX</v>
          </cell>
          <cell r="D43">
            <v>98932021</v>
          </cell>
          <cell r="E43" t="str">
            <v>USD</v>
          </cell>
          <cell r="F43" t="str">
            <v>SHD - COMMUNICATIONS TELEX</v>
          </cell>
          <cell r="H43">
            <v>-569.15</v>
          </cell>
        </row>
        <row r="44">
          <cell r="A44">
            <v>285101</v>
          </cell>
          <cell r="B44" t="str">
            <v>Communications Expenses Fgn Ccy</v>
          </cell>
          <cell r="C44" t="str">
            <v>SHD-COMMS TELEX</v>
          </cell>
          <cell r="D44">
            <v>98932041</v>
          </cell>
          <cell r="E44" t="str">
            <v>GBP</v>
          </cell>
          <cell r="F44" t="str">
            <v>SHD - COMMUNICATIONS TELEX</v>
          </cell>
          <cell r="H44">
            <v>582.79</v>
          </cell>
        </row>
        <row r="45">
          <cell r="A45">
            <v>285102</v>
          </cell>
          <cell r="B45" t="str">
            <v>Office Utility Expenses Fgn Ccy</v>
          </cell>
          <cell r="C45" t="str">
            <v>SHD-UTILITIES OFF</v>
          </cell>
          <cell r="D45">
            <v>98934021</v>
          </cell>
          <cell r="E45" t="str">
            <v>USD</v>
          </cell>
          <cell r="F45" t="str">
            <v>SHD - UTILITIES OFFICE</v>
          </cell>
          <cell r="H45">
            <v>-13146.62</v>
          </cell>
        </row>
        <row r="46">
          <cell r="A46">
            <v>285102</v>
          </cell>
          <cell r="B46" t="str">
            <v>Office Utility Expenses Fgn Ccy</v>
          </cell>
          <cell r="C46" t="str">
            <v>SHD-UTILITIES OFF</v>
          </cell>
          <cell r="D46">
            <v>98934041</v>
          </cell>
          <cell r="E46" t="str">
            <v>GBP</v>
          </cell>
          <cell r="F46" t="str">
            <v>SHD - UTILITIES OFFICE</v>
          </cell>
          <cell r="H46">
            <v>13261.32</v>
          </cell>
        </row>
        <row r="47">
          <cell r="A47">
            <v>285102</v>
          </cell>
          <cell r="B47" t="str">
            <v>Office Utility Expenses Fgn Ccy</v>
          </cell>
          <cell r="C47" t="str">
            <v>UTILITIES - OFFICE</v>
          </cell>
          <cell r="D47">
            <v>95934041</v>
          </cell>
          <cell r="E47" t="str">
            <v>GBP</v>
          </cell>
          <cell r="F47" t="str">
            <v>UTILITIES OFFICE</v>
          </cell>
          <cell r="H47">
            <v>-13261.32</v>
          </cell>
        </row>
        <row r="48">
          <cell r="A48">
            <v>285103</v>
          </cell>
          <cell r="B48" t="str">
            <v>Office Supplies Fgn Ccy</v>
          </cell>
          <cell r="C48" t="str">
            <v>OFF SUP NON CAP F/A</v>
          </cell>
          <cell r="D48">
            <v>95929041</v>
          </cell>
          <cell r="E48" t="str">
            <v>GBP</v>
          </cell>
          <cell r="F48" t="str">
            <v>OFF SUPPLIES NON CAPITALISED FIXED ASSET</v>
          </cell>
          <cell r="H48">
            <v>-4755.08</v>
          </cell>
        </row>
        <row r="49">
          <cell r="A49">
            <v>285103</v>
          </cell>
          <cell r="B49" t="str">
            <v>Office Supplies Fgn Ccy</v>
          </cell>
          <cell r="C49" t="str">
            <v>OFF SUP STATIONARY</v>
          </cell>
          <cell r="D49">
            <v>95937041</v>
          </cell>
          <cell r="E49" t="str">
            <v>GBP</v>
          </cell>
          <cell r="F49" t="str">
            <v>OFF SUP STATIONARY &amp; PRINTING</v>
          </cell>
          <cell r="H49">
            <v>-10124.4</v>
          </cell>
        </row>
        <row r="50">
          <cell r="A50">
            <v>285103</v>
          </cell>
          <cell r="B50" t="str">
            <v>Office Supplies Fgn Ccy</v>
          </cell>
          <cell r="C50" t="str">
            <v>OFF SUP-STAFF RELATN</v>
          </cell>
          <cell r="D50">
            <v>95928041</v>
          </cell>
          <cell r="E50" t="str">
            <v>GBP</v>
          </cell>
          <cell r="F50" t="str">
            <v>OFFICE SUPPLIES - STAFF RELATIONS</v>
          </cell>
          <cell r="H50">
            <v>-1503.78</v>
          </cell>
        </row>
        <row r="51">
          <cell r="A51">
            <v>285103</v>
          </cell>
          <cell r="B51" t="str">
            <v>Office Supplies Fgn Ccy</v>
          </cell>
          <cell r="C51" t="str">
            <v>OFF SUPP DATA PROCES</v>
          </cell>
          <cell r="D51">
            <v>95936041</v>
          </cell>
          <cell r="E51" t="str">
            <v>GBP</v>
          </cell>
          <cell r="F51" t="str">
            <v>OFF SUP DATA PROCESSING &amp; PROTECTION</v>
          </cell>
          <cell r="H51">
            <v>-28819.84</v>
          </cell>
        </row>
        <row r="52">
          <cell r="A52">
            <v>285103</v>
          </cell>
          <cell r="B52" t="str">
            <v>Office Supplies Fgn Ccy</v>
          </cell>
          <cell r="C52" t="str">
            <v>SHD-OFF SUP DATA PRO</v>
          </cell>
          <cell r="D52">
            <v>98936021</v>
          </cell>
          <cell r="E52" t="str">
            <v>USD</v>
          </cell>
          <cell r="F52" t="str">
            <v>SHD - OFF SUP DATA PROCESSING &amp; PROTECT</v>
          </cell>
          <cell r="H52">
            <v>-28185.7</v>
          </cell>
        </row>
        <row r="53">
          <cell r="A53">
            <v>285103</v>
          </cell>
          <cell r="B53" t="str">
            <v>Office Supplies Fgn Ccy</v>
          </cell>
          <cell r="C53" t="str">
            <v>SHD-OFF SUP DATA PRO</v>
          </cell>
          <cell r="D53">
            <v>98936041</v>
          </cell>
          <cell r="E53" t="str">
            <v>GBP</v>
          </cell>
          <cell r="F53" t="str">
            <v>SHD - OFF SUP DATA PROCESSING &amp; PROTECT</v>
          </cell>
          <cell r="H53">
            <v>28819.84</v>
          </cell>
        </row>
        <row r="54">
          <cell r="A54">
            <v>285103</v>
          </cell>
          <cell r="B54" t="str">
            <v>Office Supplies Fgn Ccy</v>
          </cell>
          <cell r="C54" t="str">
            <v>SHD-OFF SUP NON CAP</v>
          </cell>
          <cell r="D54">
            <v>98929021</v>
          </cell>
          <cell r="E54" t="str">
            <v>USD</v>
          </cell>
          <cell r="F54" t="str">
            <v>SHD - OFF SUPPLIES NON CAP FIXED ASSETS</v>
          </cell>
          <cell r="H54">
            <v>-4595.24</v>
          </cell>
        </row>
        <row r="55">
          <cell r="A55">
            <v>285103</v>
          </cell>
          <cell r="B55" t="str">
            <v>Office Supplies Fgn Ccy</v>
          </cell>
          <cell r="C55" t="str">
            <v>SHD-OFF SUP NON CAP</v>
          </cell>
          <cell r="D55">
            <v>98929041</v>
          </cell>
          <cell r="E55" t="str">
            <v>GBP</v>
          </cell>
          <cell r="F55" t="str">
            <v>SHD - OFF SUPPLIES NON CAP FIXED ASSETS</v>
          </cell>
          <cell r="H55">
            <v>4755.08</v>
          </cell>
        </row>
        <row r="56">
          <cell r="A56">
            <v>285103</v>
          </cell>
          <cell r="B56" t="str">
            <v>Office Supplies Fgn Ccy</v>
          </cell>
          <cell r="C56" t="str">
            <v>SHD-OFF SUP STAFF</v>
          </cell>
          <cell r="D56">
            <v>98928021</v>
          </cell>
          <cell r="E56" t="str">
            <v>USD</v>
          </cell>
          <cell r="F56" t="str">
            <v>SHD - OFFICE SUPPLIES STAFF RELATIONS</v>
          </cell>
          <cell r="H56">
            <v>-1465.42</v>
          </cell>
        </row>
        <row r="57">
          <cell r="A57">
            <v>285103</v>
          </cell>
          <cell r="B57" t="str">
            <v>Office Supplies Fgn Ccy</v>
          </cell>
          <cell r="C57" t="str">
            <v>SHD-OFF SUP STAFF</v>
          </cell>
          <cell r="D57">
            <v>98928041</v>
          </cell>
          <cell r="E57" t="str">
            <v>GBP</v>
          </cell>
          <cell r="F57" t="str">
            <v>SHD - OFFICE SUPPLIES STAFF RELATIONS</v>
          </cell>
          <cell r="H57">
            <v>1503.78</v>
          </cell>
        </row>
        <row r="58">
          <cell r="A58">
            <v>285103</v>
          </cell>
          <cell r="B58" t="str">
            <v>Office Supplies Fgn Ccy</v>
          </cell>
          <cell r="C58" t="str">
            <v>SHD-OFFSUP STATIONRY</v>
          </cell>
          <cell r="D58">
            <v>98937021</v>
          </cell>
          <cell r="E58" t="str">
            <v>USD</v>
          </cell>
          <cell r="F58" t="str">
            <v>SHD - OFF SUP STATIONARY &amp; PRINTING</v>
          </cell>
          <cell r="H58">
            <v>-9874.52</v>
          </cell>
        </row>
        <row r="59">
          <cell r="A59">
            <v>285103</v>
          </cell>
          <cell r="B59" t="str">
            <v>Office Supplies Fgn Ccy</v>
          </cell>
          <cell r="C59" t="str">
            <v>SHD-OFFSUP STATIONRY</v>
          </cell>
          <cell r="D59">
            <v>98937041</v>
          </cell>
          <cell r="E59" t="str">
            <v>GBP</v>
          </cell>
          <cell r="F59" t="str">
            <v>SHD - OFF SUP STATIONARY &amp; PRINTING</v>
          </cell>
          <cell r="H59">
            <v>10124.4</v>
          </cell>
        </row>
        <row r="60">
          <cell r="A60">
            <v>285104</v>
          </cell>
          <cell r="B60" t="str">
            <v>Business Trip Expenses Fgn Ccy</v>
          </cell>
          <cell r="C60" t="str">
            <v>SHD-TRAVEL BUS TRIPS</v>
          </cell>
          <cell r="D60">
            <v>98938021</v>
          </cell>
          <cell r="E60" t="str">
            <v>USD</v>
          </cell>
          <cell r="F60" t="str">
            <v>SHD - TRAVEL BUSINESS TRIPS</v>
          </cell>
          <cell r="H60">
            <v>-12237.63</v>
          </cell>
        </row>
        <row r="61">
          <cell r="A61">
            <v>285104</v>
          </cell>
          <cell r="B61" t="str">
            <v>Business Trip Expenses Fgn Ccy</v>
          </cell>
          <cell r="C61" t="str">
            <v>SHD-TRAVEL BUS TRIPS</v>
          </cell>
          <cell r="D61">
            <v>98938041</v>
          </cell>
          <cell r="E61" t="str">
            <v>GBP</v>
          </cell>
          <cell r="F61" t="str">
            <v>SHD - TRAVEL BUSINESS TRIPS</v>
          </cell>
          <cell r="H61">
            <v>12766.5</v>
          </cell>
        </row>
        <row r="62">
          <cell r="A62">
            <v>285104</v>
          </cell>
          <cell r="B62" t="str">
            <v>Business Trip Expenses Fgn Ccy</v>
          </cell>
          <cell r="C62" t="str">
            <v>SHD-TRAVEL-SUB/BOARD</v>
          </cell>
          <cell r="D62">
            <v>98995021</v>
          </cell>
          <cell r="E62" t="str">
            <v>USD</v>
          </cell>
          <cell r="F62" t="str">
            <v>SHD-TRAVEL-SUBSISTENCE COSTS - BOARD</v>
          </cell>
          <cell r="H62">
            <v>-30908.37</v>
          </cell>
        </row>
        <row r="63">
          <cell r="A63">
            <v>285104</v>
          </cell>
          <cell r="B63" t="str">
            <v>Business Trip Expenses Fgn Ccy</v>
          </cell>
          <cell r="C63" t="str">
            <v>SHD-TRAVEL-SUB/BOARD</v>
          </cell>
          <cell r="D63">
            <v>98995041</v>
          </cell>
          <cell r="E63" t="str">
            <v>GBP</v>
          </cell>
          <cell r="F63" t="str">
            <v>SHD-TRAVEL-SUBSISTENCE COSTS - BOARD</v>
          </cell>
          <cell r="H63">
            <v>31399.17</v>
          </cell>
        </row>
        <row r="64">
          <cell r="A64">
            <v>285104</v>
          </cell>
          <cell r="B64" t="str">
            <v>Business Trip Expenses Fgn Ccy</v>
          </cell>
          <cell r="C64" t="str">
            <v>TRAVEL - SUBS/BOARD</v>
          </cell>
          <cell r="D64">
            <v>95995041</v>
          </cell>
          <cell r="E64" t="str">
            <v>GBP</v>
          </cell>
          <cell r="F64" t="str">
            <v>TRAVEL - SUBSISTENCE COSTS - BOARD</v>
          </cell>
          <cell r="H64">
            <v>-31399.17</v>
          </cell>
        </row>
        <row r="65">
          <cell r="A65">
            <v>285104</v>
          </cell>
          <cell r="B65" t="str">
            <v>Business Trip Expenses Fgn Ccy</v>
          </cell>
          <cell r="C65" t="str">
            <v>TRAVEL BUSINESS TRIP</v>
          </cell>
          <cell r="D65">
            <v>95938021</v>
          </cell>
          <cell r="E65" t="str">
            <v>USD</v>
          </cell>
          <cell r="F65" t="str">
            <v>TRAVEL BUSINESS TRIPS</v>
          </cell>
          <cell r="H65">
            <v>-3564</v>
          </cell>
        </row>
        <row r="66">
          <cell r="A66">
            <v>285104</v>
          </cell>
          <cell r="B66" t="str">
            <v>Business Trip Expenses Fgn Ccy</v>
          </cell>
          <cell r="C66" t="str">
            <v>TRAVEL BUSINESS TRIP</v>
          </cell>
          <cell r="D66">
            <v>95938041</v>
          </cell>
          <cell r="E66" t="str">
            <v>GBP</v>
          </cell>
          <cell r="F66" t="str">
            <v>TRAVEL BUSINESS TRIPS</v>
          </cell>
          <cell r="H66">
            <v>-12766.5</v>
          </cell>
        </row>
        <row r="67">
          <cell r="A67">
            <v>285106</v>
          </cell>
          <cell r="B67" t="str">
            <v>Public Relation Expenses Fgn Ccy</v>
          </cell>
          <cell r="C67" t="str">
            <v>ADVERT &amp; PROMOTION</v>
          </cell>
          <cell r="D67">
            <v>95948041</v>
          </cell>
          <cell r="E67" t="str">
            <v>GBP</v>
          </cell>
          <cell r="F67" t="str">
            <v>ADVERTISEMENT &amp; PROMOTION</v>
          </cell>
          <cell r="H67">
            <v>-1138.9100000000001</v>
          </cell>
        </row>
        <row r="68">
          <cell r="A68">
            <v>285106</v>
          </cell>
          <cell r="B68" t="str">
            <v>Public Relation Expenses Fgn Ccy</v>
          </cell>
          <cell r="C68" t="str">
            <v>ADVERT &amp; PROMOTION</v>
          </cell>
          <cell r="D68">
            <v>95948101</v>
          </cell>
          <cell r="E68" t="str">
            <v>EUR</v>
          </cell>
          <cell r="F68" t="str">
            <v>ADVERTISEMENT &amp; PROMOTION</v>
          </cell>
          <cell r="H68">
            <v>-2288.6</v>
          </cell>
        </row>
        <row r="69">
          <cell r="A69">
            <v>285106</v>
          </cell>
          <cell r="B69" t="str">
            <v>Public Relation Expenses Fgn Ccy</v>
          </cell>
          <cell r="C69" t="str">
            <v>ENTERTAINMENT CLIENT</v>
          </cell>
          <cell r="D69">
            <v>95940041</v>
          </cell>
          <cell r="E69" t="str">
            <v>GBP</v>
          </cell>
          <cell r="F69" t="str">
            <v>ENTERTAINMENT CLIENTS</v>
          </cell>
          <cell r="H69">
            <v>-17591.3</v>
          </cell>
        </row>
        <row r="70">
          <cell r="A70">
            <v>285106</v>
          </cell>
          <cell r="B70" t="str">
            <v>Public Relation Expenses Fgn Ccy</v>
          </cell>
          <cell r="C70" t="str">
            <v>SHD-ADVERT &amp; PROMOTN</v>
          </cell>
          <cell r="D70">
            <v>98948021</v>
          </cell>
          <cell r="E70" t="str">
            <v>USD</v>
          </cell>
          <cell r="F70" t="str">
            <v>SHD - ADVERTISING AND PROMOTION</v>
          </cell>
          <cell r="H70">
            <v>-3340.82</v>
          </cell>
        </row>
        <row r="71">
          <cell r="A71">
            <v>285106</v>
          </cell>
          <cell r="B71" t="str">
            <v>Public Relation Expenses Fgn Ccy</v>
          </cell>
          <cell r="C71" t="str">
            <v>SHD-ADVERT &amp; PROMOTN</v>
          </cell>
          <cell r="D71">
            <v>98948041</v>
          </cell>
          <cell r="E71" t="str">
            <v>GBP</v>
          </cell>
          <cell r="F71" t="str">
            <v>SHD - ADVERTISING AND PROMOTION</v>
          </cell>
          <cell r="H71">
            <v>1138.9100000000001</v>
          </cell>
        </row>
        <row r="72">
          <cell r="A72">
            <v>285106</v>
          </cell>
          <cell r="B72" t="str">
            <v>Public Relation Expenses Fgn Ccy</v>
          </cell>
          <cell r="C72" t="str">
            <v>SHD-ADVERT &amp; PROMOTN</v>
          </cell>
          <cell r="D72">
            <v>98948101</v>
          </cell>
          <cell r="E72" t="str">
            <v>EUR</v>
          </cell>
          <cell r="F72" t="str">
            <v>SHD-ADVERTISEMENT &amp; PROMOTION</v>
          </cell>
          <cell r="H72">
            <v>2288.6</v>
          </cell>
        </row>
        <row r="73">
          <cell r="A73">
            <v>285106</v>
          </cell>
          <cell r="B73" t="str">
            <v>Public Relation Expenses Fgn Ccy</v>
          </cell>
          <cell r="C73" t="str">
            <v>SHD-ENT CLIENTS</v>
          </cell>
          <cell r="D73">
            <v>98940021</v>
          </cell>
          <cell r="E73" t="str">
            <v>USD</v>
          </cell>
          <cell r="F73" t="str">
            <v>SHD - ENTERTAINMENT CLIENTS</v>
          </cell>
          <cell r="H73">
            <v>-17225.2</v>
          </cell>
        </row>
        <row r="74">
          <cell r="A74">
            <v>285106</v>
          </cell>
          <cell r="B74" t="str">
            <v>Public Relation Expenses Fgn Ccy</v>
          </cell>
          <cell r="C74" t="str">
            <v>SHD-ENT CLIENTS</v>
          </cell>
          <cell r="D74">
            <v>98940041</v>
          </cell>
          <cell r="E74" t="str">
            <v>GBP</v>
          </cell>
          <cell r="F74" t="str">
            <v>SHD - ENTERTAINMENT CLIENTS</v>
          </cell>
          <cell r="H74">
            <v>17591.3</v>
          </cell>
        </row>
        <row r="75">
          <cell r="A75">
            <v>285107</v>
          </cell>
          <cell r="B75" t="str">
            <v>Postage &amp; Courier Expenses Fgn Ccy</v>
          </cell>
          <cell r="C75" t="str">
            <v>COURIER EXPENSES</v>
          </cell>
          <cell r="D75">
            <v>95942021</v>
          </cell>
          <cell r="E75" t="str">
            <v>USD</v>
          </cell>
          <cell r="F75" t="str">
            <v>COURIER EXPENSES</v>
          </cell>
          <cell r="H75">
            <v>6598.21</v>
          </cell>
        </row>
        <row r="76">
          <cell r="A76">
            <v>285107</v>
          </cell>
          <cell r="B76" t="str">
            <v>Postage &amp; Courier Expenses Fgn Ccy</v>
          </cell>
          <cell r="C76" t="str">
            <v>COURIER EXPENSES</v>
          </cell>
          <cell r="D76">
            <v>95942041</v>
          </cell>
          <cell r="E76" t="str">
            <v>GBP</v>
          </cell>
          <cell r="F76" t="str">
            <v>COURIER EXPENSES</v>
          </cell>
          <cell r="H76">
            <v>-20889.400000000001</v>
          </cell>
        </row>
        <row r="77">
          <cell r="A77">
            <v>285107</v>
          </cell>
          <cell r="B77" t="str">
            <v>Postage &amp; Courier Expenses Fgn Ccy</v>
          </cell>
          <cell r="C77" t="str">
            <v>POSTAGE EXPENSE</v>
          </cell>
          <cell r="D77">
            <v>95941041</v>
          </cell>
          <cell r="E77" t="str">
            <v>GBP</v>
          </cell>
          <cell r="F77" t="str">
            <v>POSTAGE EXPENSE</v>
          </cell>
          <cell r="H77">
            <v>-5288.37</v>
          </cell>
        </row>
        <row r="78">
          <cell r="A78">
            <v>285107</v>
          </cell>
          <cell r="B78" t="str">
            <v>Postage &amp; Courier Expenses Fgn Ccy</v>
          </cell>
          <cell r="C78" t="str">
            <v>POSTAGE EXPENSE</v>
          </cell>
          <cell r="D78">
            <v>98941021</v>
          </cell>
          <cell r="E78" t="str">
            <v>USD</v>
          </cell>
          <cell r="F78" t="str">
            <v>SHD - POSTAGE EXPENSE</v>
          </cell>
          <cell r="H78">
            <v>-5224.1400000000003</v>
          </cell>
        </row>
        <row r="79">
          <cell r="A79">
            <v>285107</v>
          </cell>
          <cell r="B79" t="str">
            <v>Postage &amp; Courier Expenses Fgn Ccy</v>
          </cell>
          <cell r="C79" t="str">
            <v>POSTAGE EXPENSE</v>
          </cell>
          <cell r="D79">
            <v>98941041</v>
          </cell>
          <cell r="E79" t="str">
            <v>GBP</v>
          </cell>
          <cell r="F79" t="str">
            <v>SHD - POSTAGE EXPENSE</v>
          </cell>
          <cell r="H79">
            <v>5288.37</v>
          </cell>
        </row>
        <row r="80">
          <cell r="A80">
            <v>285107</v>
          </cell>
          <cell r="B80" t="str">
            <v>Postage &amp; Courier Expenses Fgn Ccy</v>
          </cell>
          <cell r="C80" t="str">
            <v>SHD-COURIER EXPENSES</v>
          </cell>
          <cell r="D80">
            <v>98942021</v>
          </cell>
          <cell r="E80" t="str">
            <v>USD</v>
          </cell>
          <cell r="F80" t="str">
            <v>SHD - EXPEDITION COURIER</v>
          </cell>
          <cell r="H80">
            <v>-20360.87</v>
          </cell>
        </row>
        <row r="81">
          <cell r="A81">
            <v>285107</v>
          </cell>
          <cell r="B81" t="str">
            <v>Postage &amp; Courier Expenses Fgn Ccy</v>
          </cell>
          <cell r="C81" t="str">
            <v>SHD-COURIER EXPENSES</v>
          </cell>
          <cell r="D81">
            <v>98942041</v>
          </cell>
          <cell r="E81" t="str">
            <v>GBP</v>
          </cell>
          <cell r="F81" t="str">
            <v>SHD - COURIER EXPENSES</v>
          </cell>
          <cell r="H81">
            <v>20889.400000000001</v>
          </cell>
        </row>
        <row r="82">
          <cell r="A82">
            <v>285112</v>
          </cell>
          <cell r="B82" t="str">
            <v>Residential Utility Expenses Fgn Ccy</v>
          </cell>
          <cell r="C82" t="str">
            <v>SHD-UTILITIES RES</v>
          </cell>
          <cell r="D82">
            <v>98935021</v>
          </cell>
          <cell r="E82" t="str">
            <v>USD</v>
          </cell>
          <cell r="F82" t="str">
            <v>SHD - UTILITIES RESIDENT</v>
          </cell>
          <cell r="H82">
            <v>-14458.91</v>
          </cell>
        </row>
        <row r="83">
          <cell r="A83">
            <v>285112</v>
          </cell>
          <cell r="B83" t="str">
            <v>Residential Utility Expenses Fgn Ccy</v>
          </cell>
          <cell r="C83" t="str">
            <v>SHD-UTILITIES RES</v>
          </cell>
          <cell r="D83">
            <v>98935041</v>
          </cell>
          <cell r="E83" t="str">
            <v>GBP</v>
          </cell>
          <cell r="F83" t="str">
            <v>SHD - UTILITIES RESIDENT</v>
          </cell>
          <cell r="H83">
            <v>14822.54</v>
          </cell>
        </row>
        <row r="84">
          <cell r="A84">
            <v>285112</v>
          </cell>
          <cell r="B84" t="str">
            <v>Residential Utility Expenses Fgn Ccy</v>
          </cell>
          <cell r="C84" t="str">
            <v>UTILITIES - RESIDENT</v>
          </cell>
          <cell r="D84">
            <v>95935041</v>
          </cell>
          <cell r="E84" t="str">
            <v>GBP</v>
          </cell>
          <cell r="F84" t="str">
            <v>UTILITIES RESIDENTIAL</v>
          </cell>
          <cell r="H84">
            <v>-14822.54</v>
          </cell>
        </row>
        <row r="85">
          <cell r="A85">
            <v>285113</v>
          </cell>
          <cell r="B85" t="str">
            <v>Oth Insurance Premium Paid Fgn Ccy</v>
          </cell>
          <cell r="C85" t="str">
            <v>INS PREM PERSONNEL</v>
          </cell>
          <cell r="D85">
            <v>95910041</v>
          </cell>
          <cell r="E85" t="str">
            <v>GBP</v>
          </cell>
          <cell r="F85" t="str">
            <v>INSURANCE PREMIUM PERSONNEL</v>
          </cell>
          <cell r="H85">
            <v>-47683.54</v>
          </cell>
        </row>
        <row r="86">
          <cell r="A86">
            <v>285113</v>
          </cell>
          <cell r="B86" t="str">
            <v>Oth Insurance Premium Paid Fgn Ccy</v>
          </cell>
          <cell r="C86" t="str">
            <v>INS RES BUILD</v>
          </cell>
          <cell r="D86">
            <v>95958041</v>
          </cell>
          <cell r="E86" t="str">
            <v>GBP</v>
          </cell>
          <cell r="F86" t="str">
            <v>INSURANCE RESIDENTIAL BUILDING &amp; CONTENT</v>
          </cell>
          <cell r="H86">
            <v>-1046.9100000000001</v>
          </cell>
        </row>
        <row r="87">
          <cell r="A87">
            <v>285113</v>
          </cell>
          <cell r="B87" t="str">
            <v>Oth Insurance Premium Paid Fgn Ccy</v>
          </cell>
          <cell r="C87" t="str">
            <v>INSCE PREMIUM OTHERS</v>
          </cell>
          <cell r="D87">
            <v>95976041</v>
          </cell>
          <cell r="E87" t="str">
            <v>GBP</v>
          </cell>
          <cell r="F87" t="str">
            <v>INSURANCE PREMIUM OTHERS</v>
          </cell>
          <cell r="H87">
            <v>-27215.56</v>
          </cell>
        </row>
        <row r="88">
          <cell r="A88">
            <v>285113</v>
          </cell>
          <cell r="B88" t="str">
            <v>Oth Insurance Premium Paid Fgn Ccy</v>
          </cell>
          <cell r="C88" t="str">
            <v>SHD-INS PREM PERSNNL</v>
          </cell>
          <cell r="D88">
            <v>98910021</v>
          </cell>
          <cell r="E88" t="str">
            <v>USD</v>
          </cell>
          <cell r="F88" t="str">
            <v>SHD - INSURANCE PREMIUM PERSONNEL</v>
          </cell>
          <cell r="H88">
            <v>-46711.6</v>
          </cell>
        </row>
        <row r="89">
          <cell r="A89">
            <v>285113</v>
          </cell>
          <cell r="B89" t="str">
            <v>Oth Insurance Premium Paid Fgn Ccy</v>
          </cell>
          <cell r="C89" t="str">
            <v>SHD-INS PREM PERSNNL</v>
          </cell>
          <cell r="D89">
            <v>98910041</v>
          </cell>
          <cell r="E89" t="str">
            <v>GBP</v>
          </cell>
          <cell r="F89" t="str">
            <v>SHD - INSURANCE PREMIUM PERSONNEL</v>
          </cell>
          <cell r="H89">
            <v>47683.54</v>
          </cell>
        </row>
        <row r="90">
          <cell r="A90">
            <v>285113</v>
          </cell>
          <cell r="B90" t="str">
            <v>Oth Insurance Premium Paid Fgn Ccy</v>
          </cell>
          <cell r="C90" t="str">
            <v>SHD-INS RES BUILD</v>
          </cell>
          <cell r="D90">
            <v>98958021</v>
          </cell>
          <cell r="E90" t="str">
            <v>USD</v>
          </cell>
          <cell r="F90" t="str">
            <v>SHD - INSURANCE RESID BUILD &amp; CONTENT</v>
          </cell>
          <cell r="H90">
            <v>-1024.57</v>
          </cell>
        </row>
        <row r="91">
          <cell r="A91">
            <v>285113</v>
          </cell>
          <cell r="B91" t="str">
            <v>Oth Insurance Premium Paid Fgn Ccy</v>
          </cell>
          <cell r="C91" t="str">
            <v>SHD-INS RES BUILD</v>
          </cell>
          <cell r="D91">
            <v>98958041</v>
          </cell>
          <cell r="E91" t="str">
            <v>GBP</v>
          </cell>
          <cell r="F91" t="str">
            <v>SHD - INSURANCE RESIDENT BUILD &amp; CONTENT</v>
          </cell>
          <cell r="H91">
            <v>1046.9100000000001</v>
          </cell>
        </row>
        <row r="92">
          <cell r="A92">
            <v>285113</v>
          </cell>
          <cell r="B92" t="str">
            <v>Oth Insurance Premium Paid Fgn Ccy</v>
          </cell>
          <cell r="C92" t="str">
            <v>SHD-INSCE PREM OTHER</v>
          </cell>
          <cell r="D92">
            <v>98976021</v>
          </cell>
          <cell r="E92" t="str">
            <v>USD</v>
          </cell>
          <cell r="F92" t="str">
            <v>SHD - INSURANCE PREMIUM OTHER</v>
          </cell>
          <cell r="H92">
            <v>-26642.959999999999</v>
          </cell>
        </row>
        <row r="93">
          <cell r="A93">
            <v>285113</v>
          </cell>
          <cell r="B93" t="str">
            <v>Oth Insurance Premium Paid Fgn Ccy</v>
          </cell>
          <cell r="C93" t="str">
            <v>SHD-INSCE PREM OTHER</v>
          </cell>
          <cell r="D93">
            <v>98976041</v>
          </cell>
          <cell r="E93" t="str">
            <v>GBP</v>
          </cell>
          <cell r="F93" t="str">
            <v>SHD - INSURANCE PREMIUM OTHER</v>
          </cell>
          <cell r="H93">
            <v>27215.56</v>
          </cell>
        </row>
        <row r="94">
          <cell r="A94">
            <v>285114</v>
          </cell>
          <cell r="B94" t="str">
            <v>Rental Expenses Office Building Fgn Ccy</v>
          </cell>
          <cell r="C94" t="str">
            <v>RENTAL-OFFICE BUILDG</v>
          </cell>
          <cell r="D94">
            <v>95920041</v>
          </cell>
          <cell r="E94" t="str">
            <v>GBP</v>
          </cell>
          <cell r="F94" t="str">
            <v>RENTAL OFFICE BUILDING</v>
          </cell>
          <cell r="H94">
            <v>-344466.54</v>
          </cell>
        </row>
        <row r="95">
          <cell r="A95">
            <v>285114</v>
          </cell>
          <cell r="B95" t="str">
            <v>Rental Expenses Office Building Fgn Ccy</v>
          </cell>
          <cell r="C95" t="str">
            <v>SHD-RENTAL OFF BLDG</v>
          </cell>
          <cell r="D95">
            <v>98920021</v>
          </cell>
          <cell r="E95" t="str">
            <v>USD</v>
          </cell>
          <cell r="F95" t="str">
            <v>SHD - RENTAL OFFICE BUILDINGS</v>
          </cell>
          <cell r="H95">
            <v>-337181.95</v>
          </cell>
        </row>
        <row r="96">
          <cell r="A96">
            <v>285114</v>
          </cell>
          <cell r="B96" t="str">
            <v>Rental Expenses Office Building Fgn Ccy</v>
          </cell>
          <cell r="C96" t="str">
            <v>SHD-RENTAL OFF BLDG</v>
          </cell>
          <cell r="D96">
            <v>98920041</v>
          </cell>
          <cell r="E96" t="str">
            <v>GBP</v>
          </cell>
          <cell r="F96" t="str">
            <v>SHD - RENTAL OFFICE BUILDING</v>
          </cell>
          <cell r="H96">
            <v>344466.54</v>
          </cell>
        </row>
        <row r="97">
          <cell r="A97">
            <v>285115</v>
          </cell>
          <cell r="B97" t="str">
            <v>Rental Expenses Vehicles Fgn Ccy</v>
          </cell>
          <cell r="C97" t="str">
            <v>RENTAL-VEHICLE</v>
          </cell>
          <cell r="D97">
            <v>95921041</v>
          </cell>
          <cell r="E97" t="str">
            <v>GBP</v>
          </cell>
          <cell r="F97" t="str">
            <v>RENTAL VEHICLES</v>
          </cell>
          <cell r="H97">
            <v>825.3</v>
          </cell>
        </row>
        <row r="98">
          <cell r="A98">
            <v>285115</v>
          </cell>
          <cell r="B98" t="str">
            <v>Rental Expenses Vehicles Fgn Ccy</v>
          </cell>
          <cell r="C98" t="str">
            <v>SHD-RENTAL VEHICLES</v>
          </cell>
          <cell r="D98">
            <v>98921021</v>
          </cell>
          <cell r="E98" t="str">
            <v>USD</v>
          </cell>
          <cell r="F98" t="str">
            <v>SHD - RENTAL VEHICLES</v>
          </cell>
          <cell r="H98">
            <v>811.67</v>
          </cell>
        </row>
        <row r="99">
          <cell r="A99">
            <v>285115</v>
          </cell>
          <cell r="B99" t="str">
            <v>Rental Expenses Vehicles Fgn Ccy</v>
          </cell>
          <cell r="C99" t="str">
            <v>SHD-RENTAL VEHICLES</v>
          </cell>
          <cell r="D99">
            <v>98921041</v>
          </cell>
          <cell r="E99" t="str">
            <v>GBP</v>
          </cell>
          <cell r="F99" t="str">
            <v>SHD - RENTAL VEHICLES</v>
          </cell>
          <cell r="H99">
            <v>-825.3</v>
          </cell>
        </row>
        <row r="100">
          <cell r="A100">
            <v>285116</v>
          </cell>
          <cell r="B100" t="str">
            <v>Rental Expenses Reuters &amp; Telex Fgn Ccy</v>
          </cell>
          <cell r="C100" t="str">
            <v>DEALING ROOM COMMS</v>
          </cell>
          <cell r="D100">
            <v>95922021</v>
          </cell>
          <cell r="E100" t="str">
            <v>USD</v>
          </cell>
          <cell r="F100" t="str">
            <v>DEALING ROOM COMMS</v>
          </cell>
          <cell r="H100">
            <v>-12553.71</v>
          </cell>
        </row>
        <row r="101">
          <cell r="A101">
            <v>285116</v>
          </cell>
          <cell r="B101" t="str">
            <v>Rental Expenses Reuters &amp; Telex Fgn Ccy</v>
          </cell>
          <cell r="C101" t="str">
            <v>DEALING ROOM COMMS</v>
          </cell>
          <cell r="D101">
            <v>95922041</v>
          </cell>
          <cell r="E101" t="str">
            <v>GBP</v>
          </cell>
          <cell r="F101" t="str">
            <v>DEALING ROOM COMMS</v>
          </cell>
          <cell r="H101">
            <v>-26419.4</v>
          </cell>
        </row>
        <row r="102">
          <cell r="A102">
            <v>285116</v>
          </cell>
          <cell r="B102" t="str">
            <v>Rental Expenses Reuters &amp; Telex Fgn Ccy</v>
          </cell>
          <cell r="C102" t="str">
            <v>SHD-DEALING ROOM COM</v>
          </cell>
          <cell r="D102">
            <v>98922021</v>
          </cell>
          <cell r="E102" t="str">
            <v>USD</v>
          </cell>
          <cell r="F102" t="str">
            <v>SHD - DEALING ROOM COMMS</v>
          </cell>
          <cell r="H102">
            <v>-25854.09</v>
          </cell>
        </row>
        <row r="103">
          <cell r="A103">
            <v>285116</v>
          </cell>
          <cell r="B103" t="str">
            <v>Rental Expenses Reuters &amp; Telex Fgn Ccy</v>
          </cell>
          <cell r="C103" t="str">
            <v>SHD-DEALING ROOM COM</v>
          </cell>
          <cell r="D103">
            <v>98922041</v>
          </cell>
          <cell r="E103" t="str">
            <v>GBP</v>
          </cell>
          <cell r="F103" t="str">
            <v>SHD - DEALING ROOM COMMS</v>
          </cell>
          <cell r="H103">
            <v>26419.4</v>
          </cell>
        </row>
        <row r="104">
          <cell r="A104">
            <v>285117</v>
          </cell>
          <cell r="B104" t="str">
            <v>Rental Expenses Residential Prem Fgn Ccy</v>
          </cell>
          <cell r="C104" t="str">
            <v>RENTAL-RES BUILDING</v>
          </cell>
          <cell r="D104">
            <v>95924041</v>
          </cell>
          <cell r="E104" t="str">
            <v>GBP</v>
          </cell>
          <cell r="F104" t="str">
            <v>RENTAL RESIDENTIAL BUILDING</v>
          </cell>
          <cell r="H104">
            <v>-32533.33</v>
          </cell>
        </row>
        <row r="105">
          <cell r="A105">
            <v>285117</v>
          </cell>
          <cell r="B105" t="str">
            <v>Rental Expenses Residential Prem Fgn Ccy</v>
          </cell>
          <cell r="C105" t="str">
            <v>SHD-RENTAL RES BLDG</v>
          </cell>
          <cell r="D105">
            <v>98924021</v>
          </cell>
          <cell r="E105" t="str">
            <v>USD</v>
          </cell>
          <cell r="F105" t="str">
            <v>SHD - RENTAL RESIDENTIAL BUILDING</v>
          </cell>
          <cell r="H105">
            <v>-31839.200000000001</v>
          </cell>
        </row>
        <row r="106">
          <cell r="A106">
            <v>285117</v>
          </cell>
          <cell r="B106" t="str">
            <v>Rental Expenses Residential Prem Fgn Ccy</v>
          </cell>
          <cell r="C106" t="str">
            <v>SHD-RENTAL RES BLDG</v>
          </cell>
          <cell r="D106">
            <v>98924041</v>
          </cell>
          <cell r="E106" t="str">
            <v>GBP</v>
          </cell>
          <cell r="F106" t="str">
            <v>SHD - RENTAL RESIDENTIAL BUILDING</v>
          </cell>
          <cell r="H106">
            <v>32533.33</v>
          </cell>
        </row>
        <row r="107">
          <cell r="A107">
            <v>285118</v>
          </cell>
          <cell r="B107" t="str">
            <v>Rental Expenses Office Equipment Fgn Ccy</v>
          </cell>
          <cell r="C107" t="str">
            <v>RENTAL-OFFICE EQUIPT</v>
          </cell>
          <cell r="D107">
            <v>95923041</v>
          </cell>
          <cell r="E107" t="str">
            <v>GBP</v>
          </cell>
          <cell r="F107" t="str">
            <v>RENTAL OFFICE EQUIPMENT</v>
          </cell>
          <cell r="H107">
            <v>-24884.3</v>
          </cell>
        </row>
        <row r="108">
          <cell r="A108">
            <v>285118</v>
          </cell>
          <cell r="B108" t="str">
            <v>Rental Expenses Office Equipment Fgn Ccy</v>
          </cell>
          <cell r="C108" t="str">
            <v>SHD-RENTAL OFF EQUIP</v>
          </cell>
          <cell r="D108">
            <v>98923021</v>
          </cell>
          <cell r="E108" t="str">
            <v>USD</v>
          </cell>
          <cell r="F108" t="str">
            <v>SHD - RENTAL OFFICE EQUIPMENT</v>
          </cell>
          <cell r="H108">
            <v>-24360.43</v>
          </cell>
        </row>
        <row r="109">
          <cell r="A109">
            <v>285118</v>
          </cell>
          <cell r="B109" t="str">
            <v>Rental Expenses Office Equipment Fgn Ccy</v>
          </cell>
          <cell r="C109" t="str">
            <v>SHD-RENTAL OFF EQUIP</v>
          </cell>
          <cell r="D109">
            <v>98923041</v>
          </cell>
          <cell r="E109" t="str">
            <v>GBP</v>
          </cell>
          <cell r="F109" t="str">
            <v>SHD - RENTAL OFFICE EQUIPMENT</v>
          </cell>
          <cell r="H109">
            <v>24884.3</v>
          </cell>
        </row>
        <row r="110">
          <cell r="A110">
            <v>285120</v>
          </cell>
          <cell r="B110" t="str">
            <v>Training &amp; Development Expenses Fgn Ccy</v>
          </cell>
          <cell r="C110" t="str">
            <v>PERSONNEL SEMINAR EX</v>
          </cell>
          <cell r="D110">
            <v>95979041</v>
          </cell>
          <cell r="E110" t="str">
            <v>GBP</v>
          </cell>
          <cell r="F110" t="str">
            <v>PERSONNEL SEMINAR EXPENSES</v>
          </cell>
          <cell r="H110">
            <v>-6005.72</v>
          </cell>
        </row>
        <row r="111">
          <cell r="A111">
            <v>285120</v>
          </cell>
          <cell r="B111" t="str">
            <v>Training &amp; Development Expenses Fgn Ccy</v>
          </cell>
          <cell r="C111" t="str">
            <v>PERSONNEL TRANING EX</v>
          </cell>
          <cell r="D111">
            <v>95978041</v>
          </cell>
          <cell r="E111" t="str">
            <v>GBP</v>
          </cell>
          <cell r="F111" t="str">
            <v>PERSONNEL TRAINING EXPENSES</v>
          </cell>
          <cell r="H111">
            <v>-5265.41</v>
          </cell>
        </row>
        <row r="112">
          <cell r="A112">
            <v>285120</v>
          </cell>
          <cell r="B112" t="str">
            <v>Training &amp; Development Expenses Fgn Ccy</v>
          </cell>
          <cell r="C112" t="str">
            <v>PERSONNEL TRANING EX</v>
          </cell>
          <cell r="D112">
            <v>95978101</v>
          </cell>
          <cell r="E112" t="str">
            <v>EUR</v>
          </cell>
          <cell r="F112" t="str">
            <v>PERSONNEL TRAINING EXPENSES</v>
          </cell>
          <cell r="H112">
            <v>-1438.39</v>
          </cell>
        </row>
        <row r="113">
          <cell r="A113">
            <v>285120</v>
          </cell>
          <cell r="B113" t="str">
            <v>Training &amp; Development Expenses Fgn Ccy</v>
          </cell>
          <cell r="C113" t="str">
            <v>SHD-PERSNL SEMNR EXP</v>
          </cell>
          <cell r="D113">
            <v>98979021</v>
          </cell>
          <cell r="E113" t="str">
            <v>USD</v>
          </cell>
          <cell r="F113" t="str">
            <v>SHD - PERSONNEL SEMINAR EXPENSES</v>
          </cell>
          <cell r="H113">
            <v>-5829.53</v>
          </cell>
        </row>
        <row r="114">
          <cell r="A114">
            <v>285120</v>
          </cell>
          <cell r="B114" t="str">
            <v>Training &amp; Development Expenses Fgn Ccy</v>
          </cell>
          <cell r="C114" t="str">
            <v>SHD-PERSNL SEMNR EXP</v>
          </cell>
          <cell r="D114">
            <v>98979041</v>
          </cell>
          <cell r="E114" t="str">
            <v>GBP</v>
          </cell>
          <cell r="F114" t="str">
            <v>SHD - PERSONNEL SEMINAR EXPENSES</v>
          </cell>
          <cell r="H114">
            <v>6005.72</v>
          </cell>
        </row>
        <row r="115">
          <cell r="A115">
            <v>285120</v>
          </cell>
          <cell r="B115" t="str">
            <v>Training &amp; Development Expenses Fgn Ccy</v>
          </cell>
          <cell r="C115" t="str">
            <v>SHD-PERSNL TRNG EXPS</v>
          </cell>
          <cell r="D115">
            <v>98978021</v>
          </cell>
          <cell r="E115" t="str">
            <v>USD</v>
          </cell>
          <cell r="F115" t="str">
            <v>SHD - PERSONNEL TRAINING EXPENSES</v>
          </cell>
          <cell r="H115">
            <v>-6434.27</v>
          </cell>
        </row>
        <row r="116">
          <cell r="A116">
            <v>285120</v>
          </cell>
          <cell r="B116" t="str">
            <v>Training &amp; Development Expenses Fgn Ccy</v>
          </cell>
          <cell r="C116" t="str">
            <v>SHD-PERSNL TRNG EXPS</v>
          </cell>
          <cell r="D116">
            <v>98978041</v>
          </cell>
          <cell r="E116" t="str">
            <v>GBP</v>
          </cell>
          <cell r="F116" t="str">
            <v>SHD - PERSONNEL TRAINING EXPENSES</v>
          </cell>
          <cell r="H116">
            <v>5265.41</v>
          </cell>
        </row>
        <row r="117">
          <cell r="A117">
            <v>285120</v>
          </cell>
          <cell r="B117" t="str">
            <v>Training &amp; Development Expenses Fgn Ccy</v>
          </cell>
          <cell r="C117" t="str">
            <v>SHD-PERSNL TRNG EXPS</v>
          </cell>
          <cell r="D117">
            <v>98978101</v>
          </cell>
          <cell r="E117" t="str">
            <v>EUR</v>
          </cell>
          <cell r="F117" t="str">
            <v>SHD - PERSONNEL TRAINING EXPENSES</v>
          </cell>
          <cell r="H117">
            <v>1438.39</v>
          </cell>
        </row>
        <row r="118">
          <cell r="A118">
            <v>285129</v>
          </cell>
          <cell r="B118" t="str">
            <v>Other Third Party Expenses Fgn Ccy</v>
          </cell>
          <cell r="C118" t="str">
            <v>BANKING SUPERVISION</v>
          </cell>
          <cell r="D118">
            <v>95949041</v>
          </cell>
          <cell r="E118" t="str">
            <v>GBP</v>
          </cell>
          <cell r="F118" t="str">
            <v>BANKING SUPERVISION FEES</v>
          </cell>
          <cell r="H118">
            <v>-2368.66</v>
          </cell>
        </row>
        <row r="119">
          <cell r="A119">
            <v>285129</v>
          </cell>
          <cell r="B119" t="str">
            <v>Other Third Party Expenses Fgn Ccy</v>
          </cell>
          <cell r="C119" t="str">
            <v>BANKING SUPERVISION</v>
          </cell>
          <cell r="D119">
            <v>98949021</v>
          </cell>
          <cell r="E119" t="str">
            <v>USD</v>
          </cell>
          <cell r="F119" t="str">
            <v>SHD-BANKING SUPERVISION</v>
          </cell>
          <cell r="H119">
            <v>-2356.3200000000002</v>
          </cell>
        </row>
        <row r="120">
          <cell r="A120">
            <v>285129</v>
          </cell>
          <cell r="B120" t="str">
            <v>Other Third Party Expenses Fgn Ccy</v>
          </cell>
          <cell r="C120" t="str">
            <v>BANKING SUPERVISION</v>
          </cell>
          <cell r="D120">
            <v>98949041</v>
          </cell>
          <cell r="E120" t="str">
            <v>GBP</v>
          </cell>
          <cell r="F120" t="str">
            <v>SHD-BANKING SUPERVISION FEES</v>
          </cell>
          <cell r="H120">
            <v>2368.66</v>
          </cell>
        </row>
        <row r="121">
          <cell r="A121">
            <v>285129</v>
          </cell>
          <cell r="B121" t="str">
            <v>Other Third Party Expenses Fgn Ccy</v>
          </cell>
          <cell r="C121" t="str">
            <v>BOARD MEETING EXP</v>
          </cell>
          <cell r="D121">
            <v>95944041</v>
          </cell>
          <cell r="E121" t="str">
            <v>GBP</v>
          </cell>
          <cell r="F121" t="str">
            <v>BOARD MEETING EXPENSES</v>
          </cell>
          <cell r="H121">
            <v>-82.46</v>
          </cell>
        </row>
        <row r="122">
          <cell r="A122">
            <v>285129</v>
          </cell>
          <cell r="B122" t="str">
            <v>Other Third Party Expenses Fgn Ccy</v>
          </cell>
          <cell r="C122" t="str">
            <v>LEGAL PROF &amp; AUDIT</v>
          </cell>
          <cell r="D122">
            <v>95947021</v>
          </cell>
          <cell r="E122" t="str">
            <v>USD</v>
          </cell>
          <cell r="F122" t="str">
            <v>LEGAL PROFESSIONAL &amp; AUDIT FEES</v>
          </cell>
          <cell r="H122">
            <v>-7350</v>
          </cell>
        </row>
        <row r="123">
          <cell r="A123">
            <v>285129</v>
          </cell>
          <cell r="B123" t="str">
            <v>Other Third Party Expenses Fgn Ccy</v>
          </cell>
          <cell r="C123" t="str">
            <v>LEGAL PROF &amp; AUDIT</v>
          </cell>
          <cell r="D123">
            <v>95947041</v>
          </cell>
          <cell r="E123" t="str">
            <v>GBP</v>
          </cell>
          <cell r="F123" t="str">
            <v>LEGAL PROFESSIONAL &amp; AUDIT FEES</v>
          </cell>
          <cell r="H123">
            <v>-111862.48</v>
          </cell>
        </row>
        <row r="124">
          <cell r="A124">
            <v>285129</v>
          </cell>
          <cell r="B124" t="str">
            <v>Other Third Party Expenses Fgn Ccy</v>
          </cell>
          <cell r="C124" t="str">
            <v>LEGAL PROF &amp; AUDIT</v>
          </cell>
          <cell r="D124">
            <v>95947101</v>
          </cell>
          <cell r="E124" t="str">
            <v>EUR</v>
          </cell>
          <cell r="F124" t="str">
            <v>LEGAL PROFESSIONAL &amp; AUDIT FEES</v>
          </cell>
          <cell r="H124">
            <v>-143.04</v>
          </cell>
        </row>
        <row r="125">
          <cell r="A125">
            <v>285129</v>
          </cell>
          <cell r="B125" t="str">
            <v>Other Third Party Expenses Fgn Ccy</v>
          </cell>
          <cell r="C125" t="str">
            <v>MEMB - BUS SOC</v>
          </cell>
          <cell r="D125">
            <v>95950041</v>
          </cell>
          <cell r="E125" t="str">
            <v>GBP</v>
          </cell>
          <cell r="F125" t="str">
            <v>MEMBERSHIP FEES - BUSINESS SOCIETIES</v>
          </cell>
          <cell r="H125">
            <v>-2224.83</v>
          </cell>
        </row>
        <row r="126">
          <cell r="A126">
            <v>285129</v>
          </cell>
          <cell r="B126" t="str">
            <v>Other Third Party Expenses Fgn Ccy</v>
          </cell>
          <cell r="C126" t="str">
            <v>MISC EXPENSES</v>
          </cell>
          <cell r="D126">
            <v>95951041</v>
          </cell>
          <cell r="E126" t="str">
            <v>GBP</v>
          </cell>
          <cell r="F126" t="str">
            <v>MISCELLANEOUS EXPENSES</v>
          </cell>
          <cell r="H126">
            <v>-813.04</v>
          </cell>
        </row>
        <row r="127">
          <cell r="A127">
            <v>285129</v>
          </cell>
          <cell r="B127" t="str">
            <v>Other Third Party Expenses Fgn Ccy</v>
          </cell>
          <cell r="C127" t="str">
            <v>SHD - MISC EXPENSES</v>
          </cell>
          <cell r="D127">
            <v>98951021</v>
          </cell>
          <cell r="E127" t="str">
            <v>USD</v>
          </cell>
          <cell r="F127" t="str">
            <v>SHD - MISCELLANEOUS EXPENSES</v>
          </cell>
          <cell r="H127">
            <v>-788.96</v>
          </cell>
        </row>
        <row r="128">
          <cell r="A128">
            <v>285129</v>
          </cell>
          <cell r="B128" t="str">
            <v>Other Third Party Expenses Fgn Ccy</v>
          </cell>
          <cell r="C128" t="str">
            <v>SHD - MISC EXPENSES</v>
          </cell>
          <cell r="D128">
            <v>98951041</v>
          </cell>
          <cell r="E128" t="str">
            <v>GBP</v>
          </cell>
          <cell r="F128" t="str">
            <v>SHD - MISCELLANEOUS EXPENSES</v>
          </cell>
          <cell r="H128">
            <v>813.04</v>
          </cell>
        </row>
        <row r="129">
          <cell r="A129">
            <v>285129</v>
          </cell>
          <cell r="B129" t="str">
            <v>Other Third Party Expenses Fgn Ccy</v>
          </cell>
          <cell r="C129" t="str">
            <v>SHD BOARD MEET EXP</v>
          </cell>
          <cell r="D129">
            <v>98944021</v>
          </cell>
          <cell r="E129" t="str">
            <v>USD</v>
          </cell>
          <cell r="F129" t="str">
            <v>SHD - BOARD MEETING EXPENSES</v>
          </cell>
          <cell r="H129">
            <v>-78.83</v>
          </cell>
        </row>
        <row r="130">
          <cell r="A130">
            <v>285129</v>
          </cell>
          <cell r="B130" t="str">
            <v>Other Third Party Expenses Fgn Ccy</v>
          </cell>
          <cell r="C130" t="str">
            <v>SHD BOARD MEET EXP</v>
          </cell>
          <cell r="D130">
            <v>98944041</v>
          </cell>
          <cell r="E130" t="str">
            <v>GBP</v>
          </cell>
          <cell r="F130" t="str">
            <v>SHD - BOARD MEETING EXPENSES</v>
          </cell>
          <cell r="H130">
            <v>82.46</v>
          </cell>
        </row>
        <row r="131">
          <cell r="A131">
            <v>285129</v>
          </cell>
          <cell r="B131" t="str">
            <v>Other Third Party Expenses Fgn Ccy</v>
          </cell>
          <cell r="C131" t="str">
            <v>SHD-LEGAL PROF AUDIT</v>
          </cell>
          <cell r="D131">
            <v>98947021</v>
          </cell>
          <cell r="E131" t="str">
            <v>USD</v>
          </cell>
          <cell r="F131" t="str">
            <v>SHD - LEGAL PROFESSIONAL &amp; AUDIT FEES</v>
          </cell>
          <cell r="H131">
            <v>-109431.81</v>
          </cell>
        </row>
        <row r="132">
          <cell r="A132">
            <v>285129</v>
          </cell>
          <cell r="B132" t="str">
            <v>Other Third Party Expenses Fgn Ccy</v>
          </cell>
          <cell r="C132" t="str">
            <v>SHD-LEGAL PROF AUDIT</v>
          </cell>
          <cell r="D132">
            <v>98947041</v>
          </cell>
          <cell r="E132" t="str">
            <v>GBP</v>
          </cell>
          <cell r="F132" t="str">
            <v>SHD - LEGAL PROFESSIONAL &amp; AUDIT FEES</v>
          </cell>
          <cell r="H132">
            <v>111862.48</v>
          </cell>
        </row>
        <row r="133">
          <cell r="A133">
            <v>285129</v>
          </cell>
          <cell r="B133" t="str">
            <v>Other Third Party Expenses Fgn Ccy</v>
          </cell>
          <cell r="C133" t="str">
            <v>SHD-LEGAL PROF AUDIT</v>
          </cell>
          <cell r="D133">
            <v>98947101</v>
          </cell>
          <cell r="E133" t="str">
            <v>EUR</v>
          </cell>
          <cell r="F133" t="str">
            <v>SHD- LEGAL PROFESSIONAL &amp; AUDIT FEES</v>
          </cell>
          <cell r="H133">
            <v>143.04</v>
          </cell>
        </row>
        <row r="134">
          <cell r="A134">
            <v>285129</v>
          </cell>
          <cell r="B134" t="str">
            <v>Other Third Party Expenses Fgn Ccy</v>
          </cell>
          <cell r="C134" t="str">
            <v>SHD-MEMB BUS SOC</v>
          </cell>
          <cell r="D134">
            <v>98950021</v>
          </cell>
          <cell r="E134" t="str">
            <v>USD</v>
          </cell>
          <cell r="F134" t="str">
            <v>SHD - MEMBERSHIP FEES BUS SOCIETIES</v>
          </cell>
          <cell r="H134">
            <v>-2194.4299999999998</v>
          </cell>
        </row>
        <row r="135">
          <cell r="A135">
            <v>285129</v>
          </cell>
          <cell r="B135" t="str">
            <v>Other Third Party Expenses Fgn Ccy</v>
          </cell>
          <cell r="C135" t="str">
            <v>SHD-MEMB BUS SOC</v>
          </cell>
          <cell r="D135">
            <v>98950041</v>
          </cell>
          <cell r="E135" t="str">
            <v>GBP</v>
          </cell>
          <cell r="F135" t="str">
            <v>SHD - MEMBERSHIP FEES BUS SOCIETIES</v>
          </cell>
          <cell r="H135">
            <v>2224.83</v>
          </cell>
        </row>
        <row r="136">
          <cell r="A136">
            <v>285202</v>
          </cell>
          <cell r="B136" t="str">
            <v>Rep/Maint Exps Fgn Ccy Res Premises</v>
          </cell>
          <cell r="C136" t="str">
            <v>RESIDENTIAL BUILDING</v>
          </cell>
          <cell r="D136">
            <v>95953041</v>
          </cell>
          <cell r="E136" t="str">
            <v>GBP</v>
          </cell>
          <cell r="F136" t="str">
            <v>REPAIRS &amp; MAINTENANCE RESIDENTIAL BLDING</v>
          </cell>
          <cell r="H136">
            <v>-414.3</v>
          </cell>
        </row>
        <row r="137">
          <cell r="A137">
            <v>285202</v>
          </cell>
          <cell r="B137" t="str">
            <v>Rep/Maint Exps Fgn Ccy Res Premises</v>
          </cell>
          <cell r="C137" t="str">
            <v>SHD-REP/MAINT RESBLD</v>
          </cell>
          <cell r="D137">
            <v>98953021</v>
          </cell>
          <cell r="E137" t="str">
            <v>USD</v>
          </cell>
          <cell r="F137" t="str">
            <v>SHD - REPAIRS AND MAINTENANCE RES BLDING</v>
          </cell>
          <cell r="H137">
            <v>-404.87</v>
          </cell>
        </row>
        <row r="138">
          <cell r="A138">
            <v>285202</v>
          </cell>
          <cell r="B138" t="str">
            <v>Rep/Maint Exps Fgn Ccy Res Premises</v>
          </cell>
          <cell r="C138" t="str">
            <v>SHD-REP/MAINT RESBLD</v>
          </cell>
          <cell r="D138">
            <v>98953041</v>
          </cell>
          <cell r="E138" t="str">
            <v>GBP</v>
          </cell>
          <cell r="F138" t="str">
            <v>SHD - REPAIRS AND MAINTENANCE RES BLDING</v>
          </cell>
          <cell r="H138">
            <v>414.3</v>
          </cell>
        </row>
        <row r="139">
          <cell r="A139">
            <v>285204</v>
          </cell>
          <cell r="B139" t="str">
            <v>Rep/Maint Exps Fgn Ccy Vehicles</v>
          </cell>
          <cell r="C139" t="str">
            <v>SHD-REP&amp;MAINT VEHICL</v>
          </cell>
          <cell r="D139">
            <v>98955021</v>
          </cell>
          <cell r="E139" t="str">
            <v>USD</v>
          </cell>
          <cell r="F139" t="str">
            <v>SHD - REPAIRS &amp; MAINTENANCE VEHICLES</v>
          </cell>
          <cell r="H139">
            <v>-1277.9000000000001</v>
          </cell>
        </row>
        <row r="140">
          <cell r="A140">
            <v>285204</v>
          </cell>
          <cell r="B140" t="str">
            <v>Rep/Maint Exps Fgn Ccy Vehicles</v>
          </cell>
          <cell r="C140" t="str">
            <v>SHD-REP&amp;MAINT VEHICL</v>
          </cell>
          <cell r="D140">
            <v>98955041</v>
          </cell>
          <cell r="E140" t="str">
            <v>GBP</v>
          </cell>
          <cell r="F140" t="str">
            <v>SHD - REPAIRS &amp; MAINTENANCE VEHICLES</v>
          </cell>
          <cell r="H140">
            <v>1322.58</v>
          </cell>
        </row>
        <row r="141">
          <cell r="A141">
            <v>285204</v>
          </cell>
          <cell r="B141" t="str">
            <v>Rep/Maint Exps Fgn Ccy Vehicles</v>
          </cell>
          <cell r="C141" t="str">
            <v>VEHICLE</v>
          </cell>
          <cell r="D141">
            <v>95955041</v>
          </cell>
          <cell r="E141" t="str">
            <v>GBP</v>
          </cell>
          <cell r="F141" t="str">
            <v>REPAIRS &amp; MAINTENANCE VEHICLES</v>
          </cell>
          <cell r="H141">
            <v>-1322.58</v>
          </cell>
        </row>
        <row r="142">
          <cell r="A142">
            <v>285205</v>
          </cell>
          <cell r="B142" t="str">
            <v>Rep/Maint Exps Fgn Ccy Office Machinery</v>
          </cell>
          <cell r="C142" t="str">
            <v>REP/MNT OFF HDWR/EQP</v>
          </cell>
          <cell r="D142">
            <v>95959041</v>
          </cell>
          <cell r="E142" t="str">
            <v>GBP</v>
          </cell>
          <cell r="F142" t="str">
            <v>REP/MAINT OFFICE HARDWARE &amp; OFFICE EQUIP</v>
          </cell>
          <cell r="H142">
            <v>-20752.28</v>
          </cell>
        </row>
        <row r="143">
          <cell r="A143">
            <v>285205</v>
          </cell>
          <cell r="B143" t="str">
            <v>Rep/Maint Exps Fgn Ccy Office Machinery</v>
          </cell>
          <cell r="C143" t="str">
            <v>REP/MNT OFF SOFTWARE</v>
          </cell>
          <cell r="D143">
            <v>95956041</v>
          </cell>
          <cell r="E143" t="str">
            <v>GBP</v>
          </cell>
          <cell r="F143" t="str">
            <v>REPAIRS &amp; MAINTENANCE OFFICE SOFTWARE</v>
          </cell>
          <cell r="H143">
            <v>-109449.52</v>
          </cell>
        </row>
        <row r="144">
          <cell r="A144">
            <v>285205</v>
          </cell>
          <cell r="B144" t="str">
            <v>Rep/Maint Exps Fgn Ccy Office Machinery</v>
          </cell>
          <cell r="C144" t="str">
            <v>SHD-REP/MNT OFF HDWR</v>
          </cell>
          <cell r="D144">
            <v>98959041</v>
          </cell>
          <cell r="E144" t="str">
            <v>GBP</v>
          </cell>
          <cell r="F144" t="str">
            <v>SHD - REP/MAINT OFF HARDWARE &amp; OFF EQUIP</v>
          </cell>
          <cell r="H144">
            <v>20752.28</v>
          </cell>
        </row>
        <row r="145">
          <cell r="A145">
            <v>285205</v>
          </cell>
          <cell r="B145" t="str">
            <v>Rep/Maint Exps Fgn Ccy Office Machinery</v>
          </cell>
          <cell r="C145" t="str">
            <v>SHD-REP/MNT OFF HDWR</v>
          </cell>
          <cell r="D145">
            <v>98959391</v>
          </cell>
          <cell r="E145" t="str">
            <v>USD</v>
          </cell>
          <cell r="F145" t="str">
            <v>SHD - REP/MAINT OFF HARDWARE &amp; OFF EQUIP</v>
          </cell>
          <cell r="H145">
            <v>-20302.05</v>
          </cell>
        </row>
        <row r="146">
          <cell r="A146">
            <v>285205</v>
          </cell>
          <cell r="B146" t="str">
            <v>Rep/Maint Exps Fgn Ccy Office Machinery</v>
          </cell>
          <cell r="C146" t="str">
            <v>SHD-REP/MNT OFF SOFT</v>
          </cell>
          <cell r="D146">
            <v>98956021</v>
          </cell>
          <cell r="E146" t="str">
            <v>USD</v>
          </cell>
          <cell r="F146" t="str">
            <v>SHD - REPAIRS &amp; MAINT OFFICE SOFTWARE</v>
          </cell>
          <cell r="H146">
            <v>-107083.79</v>
          </cell>
        </row>
        <row r="147">
          <cell r="A147">
            <v>285205</v>
          </cell>
          <cell r="B147" t="str">
            <v>Rep/Maint Exps Fgn Ccy Office Machinery</v>
          </cell>
          <cell r="C147" t="str">
            <v>SHD-REP/MNT OFF SOFT</v>
          </cell>
          <cell r="D147">
            <v>98956041</v>
          </cell>
          <cell r="E147" t="str">
            <v>GBP</v>
          </cell>
          <cell r="F147" t="str">
            <v>SHD - REPAIRS &amp; MAINT OFFICE SOFTWARE</v>
          </cell>
          <cell r="H147">
            <v>109449.52</v>
          </cell>
        </row>
        <row r="148">
          <cell r="A148">
            <v>285302</v>
          </cell>
          <cell r="B148" t="str">
            <v>Depn Exps Fgn Ccy Office Machinery</v>
          </cell>
          <cell r="C148" t="str">
            <v>DEPN OFF/RES EQUIP</v>
          </cell>
          <cell r="D148">
            <v>95961021</v>
          </cell>
          <cell r="E148" t="str">
            <v>USD</v>
          </cell>
          <cell r="F148" t="str">
            <v>DEPRECIATION OFFICE MACHINERY</v>
          </cell>
          <cell r="H148">
            <v>-52615.93</v>
          </cell>
        </row>
        <row r="149">
          <cell r="A149">
            <v>285303</v>
          </cell>
          <cell r="B149" t="str">
            <v>Depn Exps Fgn Ccy Office/Res Furniture</v>
          </cell>
          <cell r="C149" t="str">
            <v>DEPREC  OFF/RES FURN</v>
          </cell>
          <cell r="D149">
            <v>95962021</v>
          </cell>
          <cell r="E149" t="str">
            <v>USD</v>
          </cell>
          <cell r="F149" t="str">
            <v>DEPRECIATION OFFICE/RESIDENT FURNITURE</v>
          </cell>
          <cell r="H149">
            <v>-2502.34</v>
          </cell>
        </row>
        <row r="150">
          <cell r="A150">
            <v>285321</v>
          </cell>
          <cell r="B150" t="str">
            <v>Depreciation Expenses Fgn Ccy - Vehicles</v>
          </cell>
          <cell r="C150" t="str">
            <v>DEPRECIATION VEHICLE</v>
          </cell>
          <cell r="D150">
            <v>95963021</v>
          </cell>
          <cell r="E150" t="str">
            <v>USD</v>
          </cell>
          <cell r="F150" t="str">
            <v>DEPRECIATION OF VEHICLES</v>
          </cell>
          <cell r="H150">
            <v>-21042.66</v>
          </cell>
        </row>
        <row r="151">
          <cell r="A151">
            <v>287101</v>
          </cell>
          <cell r="B151" t="str">
            <v>Persnl Exps Fgn Ccy Salaries</v>
          </cell>
          <cell r="C151" t="str">
            <v>SALARIES</v>
          </cell>
          <cell r="D151">
            <v>95900041</v>
          </cell>
          <cell r="E151" t="str">
            <v>GBP</v>
          </cell>
          <cell r="F151" t="str">
            <v>SALARIES</v>
          </cell>
          <cell r="H151">
            <v>-1082279.78</v>
          </cell>
        </row>
        <row r="152">
          <cell r="A152">
            <v>287101</v>
          </cell>
          <cell r="B152" t="str">
            <v>Persnl Exps Fgn Ccy Salaries</v>
          </cell>
          <cell r="C152" t="str">
            <v>SHD - TEMP SALARIES</v>
          </cell>
          <cell r="D152">
            <v>98902021</v>
          </cell>
          <cell r="E152" t="str">
            <v>USD</v>
          </cell>
          <cell r="F152" t="str">
            <v>SHD - TEMP SALARIES</v>
          </cell>
          <cell r="H152">
            <v>-4648.37</v>
          </cell>
        </row>
        <row r="153">
          <cell r="A153">
            <v>287101</v>
          </cell>
          <cell r="B153" t="str">
            <v>Persnl Exps Fgn Ccy Salaries</v>
          </cell>
          <cell r="C153" t="str">
            <v>SHD - TEMP SALARIES</v>
          </cell>
          <cell r="D153">
            <v>98902041</v>
          </cell>
          <cell r="E153" t="str">
            <v>GBP</v>
          </cell>
          <cell r="F153" t="str">
            <v>SHD - TEMPORARY SALARIES</v>
          </cell>
          <cell r="H153">
            <v>4718.34</v>
          </cell>
        </row>
        <row r="154">
          <cell r="A154">
            <v>287101</v>
          </cell>
          <cell r="B154" t="str">
            <v>Persnl Exps Fgn Ccy Salaries</v>
          </cell>
          <cell r="C154" t="str">
            <v>SHD-SALARIES</v>
          </cell>
          <cell r="D154">
            <v>98900021</v>
          </cell>
          <cell r="E154" t="str">
            <v>USD</v>
          </cell>
          <cell r="F154" t="str">
            <v>SHD - SALARIES</v>
          </cell>
          <cell r="H154">
            <v>-1058549.54</v>
          </cell>
        </row>
        <row r="155">
          <cell r="A155">
            <v>287101</v>
          </cell>
          <cell r="B155" t="str">
            <v>Persnl Exps Fgn Ccy Salaries</v>
          </cell>
          <cell r="C155" t="str">
            <v>SHD-SALARIES</v>
          </cell>
          <cell r="D155">
            <v>98900041</v>
          </cell>
          <cell r="E155" t="str">
            <v>GBP</v>
          </cell>
          <cell r="F155" t="str">
            <v>SHD - SALARIES</v>
          </cell>
          <cell r="H155">
            <v>1082279.78</v>
          </cell>
        </row>
        <row r="156">
          <cell r="A156">
            <v>287101</v>
          </cell>
          <cell r="B156" t="str">
            <v>Persnl Exps Fgn Ccy Salaries</v>
          </cell>
          <cell r="C156" t="str">
            <v>TEMP SALARIES</v>
          </cell>
          <cell r="D156">
            <v>95902041</v>
          </cell>
          <cell r="E156" t="str">
            <v>GBP</v>
          </cell>
          <cell r="F156" t="str">
            <v>TEMPORARY SALARIES</v>
          </cell>
          <cell r="H156">
            <v>-4718.34</v>
          </cell>
        </row>
        <row r="157">
          <cell r="A157">
            <v>287102</v>
          </cell>
          <cell r="B157" t="str">
            <v>Persnl Exps Fgn Ccy Leave Allwnce Expats</v>
          </cell>
          <cell r="C157" t="str">
            <v>LEAVE ALLOWANCE</v>
          </cell>
          <cell r="D157">
            <v>95911041</v>
          </cell>
          <cell r="E157" t="str">
            <v>GBP</v>
          </cell>
          <cell r="F157" t="str">
            <v>LEAVE ALLOWANCE EXPATRIATE</v>
          </cell>
          <cell r="H157">
            <v>-4683.25</v>
          </cell>
        </row>
        <row r="158">
          <cell r="A158">
            <v>287102</v>
          </cell>
          <cell r="B158" t="str">
            <v>Persnl Exps Fgn Ccy Leave Allwnce Expats</v>
          </cell>
          <cell r="C158" t="str">
            <v>SHD-LEAVE ALLOW PERS</v>
          </cell>
          <cell r="D158">
            <v>98911021</v>
          </cell>
          <cell r="E158" t="str">
            <v>USD</v>
          </cell>
          <cell r="F158" t="str">
            <v>SHD - LEAVE ALLOWANCE PERSONNEL</v>
          </cell>
          <cell r="H158">
            <v>-4563.97</v>
          </cell>
        </row>
        <row r="159">
          <cell r="A159">
            <v>287102</v>
          </cell>
          <cell r="B159" t="str">
            <v>Persnl Exps Fgn Ccy Leave Allwnce Expats</v>
          </cell>
          <cell r="C159" t="str">
            <v>SHD-LEAVE ALLOW PERS</v>
          </cell>
          <cell r="D159">
            <v>98911041</v>
          </cell>
          <cell r="E159" t="str">
            <v>GBP</v>
          </cell>
          <cell r="F159" t="str">
            <v>SHD - LEAVE ALLOWANCE PERSONNEL</v>
          </cell>
          <cell r="H159">
            <v>4683.25</v>
          </cell>
        </row>
        <row r="160">
          <cell r="A160">
            <v>287106</v>
          </cell>
          <cell r="B160" t="str">
            <v>Persnl Exps Fgn Ccy Inc Tax Allwnc Expat</v>
          </cell>
          <cell r="C160" t="str">
            <v>SHD-TAX-PERSONNEL</v>
          </cell>
          <cell r="D160">
            <v>98909021</v>
          </cell>
          <cell r="E160" t="str">
            <v>USD</v>
          </cell>
          <cell r="F160" t="str">
            <v>SHD - TAX - PERSONNEL</v>
          </cell>
          <cell r="H160">
            <v>-254725.63</v>
          </cell>
        </row>
        <row r="161">
          <cell r="A161">
            <v>287106</v>
          </cell>
          <cell r="B161" t="str">
            <v>Persnl Exps Fgn Ccy Inc Tax Allwnc Expat</v>
          </cell>
          <cell r="C161" t="str">
            <v>SHD-TAX-PERSONNEL</v>
          </cell>
          <cell r="D161">
            <v>98909041</v>
          </cell>
          <cell r="E161" t="str">
            <v>GBP</v>
          </cell>
          <cell r="F161" t="str">
            <v>SHD - TAX - PERSONNEL</v>
          </cell>
          <cell r="H161">
            <v>260522.5</v>
          </cell>
        </row>
        <row r="162">
          <cell r="A162">
            <v>287106</v>
          </cell>
          <cell r="B162" t="str">
            <v>Persnl Exps Fgn Ccy Inc Tax Allwnc Expat</v>
          </cell>
          <cell r="C162" t="str">
            <v>TAX-PERSONNEL</v>
          </cell>
          <cell r="D162">
            <v>95909041</v>
          </cell>
          <cell r="E162" t="str">
            <v>GBP</v>
          </cell>
          <cell r="F162" t="str">
            <v>TAX PERSONNEL</v>
          </cell>
          <cell r="H162">
            <v>-260522.5</v>
          </cell>
        </row>
        <row r="163">
          <cell r="A163">
            <v>287110</v>
          </cell>
          <cell r="B163" t="str">
            <v>Persnl Exps Fgn Ccy Hosp/Medicl Exps</v>
          </cell>
          <cell r="C163" t="str">
            <v>HOSPITAL, MEDICAL</v>
          </cell>
          <cell r="D163">
            <v>95904041</v>
          </cell>
          <cell r="E163" t="str">
            <v>GBP</v>
          </cell>
          <cell r="F163" t="str">
            <v>HOSPITAL MEDICAL</v>
          </cell>
          <cell r="H163">
            <v>-4404.5600000000004</v>
          </cell>
        </row>
        <row r="164">
          <cell r="A164">
            <v>287110</v>
          </cell>
          <cell r="B164" t="str">
            <v>Persnl Exps Fgn Ccy Hosp/Medicl Exps</v>
          </cell>
          <cell r="C164" t="str">
            <v>SHD-HOSPITAL MEDICAL</v>
          </cell>
          <cell r="D164">
            <v>98904021</v>
          </cell>
          <cell r="E164" t="str">
            <v>USD</v>
          </cell>
          <cell r="F164" t="str">
            <v>SHD - HOSPITAL MEDICAL</v>
          </cell>
          <cell r="H164">
            <v>-4322.95</v>
          </cell>
        </row>
        <row r="165">
          <cell r="A165">
            <v>287110</v>
          </cell>
          <cell r="B165" t="str">
            <v>Persnl Exps Fgn Ccy Hosp/Medicl Exps</v>
          </cell>
          <cell r="C165" t="str">
            <v>SHD-HOSPITAL MEDICAL</v>
          </cell>
          <cell r="D165">
            <v>98904041</v>
          </cell>
          <cell r="E165" t="str">
            <v>GBP</v>
          </cell>
          <cell r="F165" t="str">
            <v>SHD - HOSPITAL MEDICAL</v>
          </cell>
          <cell r="H165">
            <v>4404.5600000000004</v>
          </cell>
        </row>
        <row r="166">
          <cell r="A166">
            <v>287111</v>
          </cell>
          <cell r="B166" t="str">
            <v>Persnl Exps Fgn Ccy Pension Contribs</v>
          </cell>
          <cell r="C166" t="str">
            <v>PENSION CONTRIBUTION</v>
          </cell>
          <cell r="D166">
            <v>95905041</v>
          </cell>
          <cell r="E166" t="str">
            <v>GBP</v>
          </cell>
          <cell r="F166" t="str">
            <v>PENSION CONTRIBUTION</v>
          </cell>
          <cell r="H166">
            <v>-119299.1</v>
          </cell>
        </row>
        <row r="167">
          <cell r="A167">
            <v>287111</v>
          </cell>
          <cell r="B167" t="str">
            <v>Persnl Exps Fgn Ccy Pension Contribs</v>
          </cell>
          <cell r="C167" t="str">
            <v>SHD-PENSION CONTRBN</v>
          </cell>
          <cell r="D167">
            <v>98905021</v>
          </cell>
          <cell r="E167" t="str">
            <v>USD</v>
          </cell>
          <cell r="F167" t="str">
            <v>SHD - PENSION CONTRIBUTION</v>
          </cell>
          <cell r="H167">
            <v>-116657.60000000001</v>
          </cell>
        </row>
        <row r="168">
          <cell r="A168">
            <v>287111</v>
          </cell>
          <cell r="B168" t="str">
            <v>Persnl Exps Fgn Ccy Pension Contribs</v>
          </cell>
          <cell r="C168" t="str">
            <v>SHD-PENSION CONTRBN</v>
          </cell>
          <cell r="D168">
            <v>98905041</v>
          </cell>
          <cell r="E168" t="str">
            <v>GBP</v>
          </cell>
          <cell r="F168" t="str">
            <v>SHD - PENSION CONTRIBUTION</v>
          </cell>
          <cell r="H168">
            <v>119299.1</v>
          </cell>
        </row>
        <row r="169">
          <cell r="A169">
            <v>287129</v>
          </cell>
          <cell r="B169" t="str">
            <v>Persnl Exps Fgn Ccy Other</v>
          </cell>
          <cell r="C169" t="str">
            <v>DIRECTORS FEES</v>
          </cell>
          <cell r="D169">
            <v>95943041</v>
          </cell>
          <cell r="E169" t="str">
            <v>GBP</v>
          </cell>
          <cell r="F169" t="str">
            <v>DIRECTORS FEES</v>
          </cell>
          <cell r="H169">
            <v>-28739.439999999999</v>
          </cell>
        </row>
        <row r="170">
          <cell r="A170">
            <v>287129</v>
          </cell>
          <cell r="B170" t="str">
            <v>Persnl Exps Fgn Ccy Other</v>
          </cell>
          <cell r="C170" t="str">
            <v>OTHER PERSONNEL EXP</v>
          </cell>
          <cell r="D170">
            <v>95919041</v>
          </cell>
          <cell r="E170" t="str">
            <v>GBP</v>
          </cell>
          <cell r="F170" t="str">
            <v>OTHER PERSONNEL EXPENSES</v>
          </cell>
          <cell r="H170">
            <v>-3630.91</v>
          </cell>
        </row>
        <row r="171">
          <cell r="A171">
            <v>287129</v>
          </cell>
          <cell r="B171" t="str">
            <v>Persnl Exps Fgn Ccy Other</v>
          </cell>
          <cell r="C171" t="str">
            <v>RECRUITMENT EXPENSE</v>
          </cell>
          <cell r="D171">
            <v>95912041</v>
          </cell>
          <cell r="E171" t="str">
            <v>GBP</v>
          </cell>
          <cell r="F171" t="str">
            <v>RECRUITMENT EXPENSES</v>
          </cell>
          <cell r="H171">
            <v>-11554.2</v>
          </cell>
        </row>
        <row r="172">
          <cell r="A172">
            <v>287129</v>
          </cell>
          <cell r="B172" t="str">
            <v>Persnl Exps Fgn Ccy Other</v>
          </cell>
          <cell r="C172" t="str">
            <v>SHD - DIRECTORS FEES</v>
          </cell>
          <cell r="D172">
            <v>98943021</v>
          </cell>
          <cell r="E172" t="str">
            <v>USD</v>
          </cell>
          <cell r="F172" t="str">
            <v>SHD - DIRECTORS FEES</v>
          </cell>
          <cell r="H172">
            <v>-28130.47</v>
          </cell>
        </row>
        <row r="173">
          <cell r="A173">
            <v>287129</v>
          </cell>
          <cell r="B173" t="str">
            <v>Persnl Exps Fgn Ccy Other</v>
          </cell>
          <cell r="C173" t="str">
            <v>SHD - DIRECTORS FEES</v>
          </cell>
          <cell r="D173">
            <v>98943041</v>
          </cell>
          <cell r="E173" t="str">
            <v>GBP</v>
          </cell>
          <cell r="F173" t="str">
            <v>SHD - DIRECTORS FEES</v>
          </cell>
          <cell r="H173">
            <v>28739.439999999999</v>
          </cell>
        </row>
        <row r="174">
          <cell r="A174">
            <v>287129</v>
          </cell>
          <cell r="B174" t="str">
            <v>Persnl Exps Fgn Ccy Other</v>
          </cell>
          <cell r="C174" t="str">
            <v>SHD-OTH PERSONNL EXP</v>
          </cell>
          <cell r="D174">
            <v>98919021</v>
          </cell>
          <cell r="E174" t="str">
            <v>USD</v>
          </cell>
          <cell r="F174" t="str">
            <v>SHD - OTHER PERSONNEL EXPENSES</v>
          </cell>
          <cell r="H174">
            <v>-3543.77</v>
          </cell>
        </row>
        <row r="175">
          <cell r="A175">
            <v>287129</v>
          </cell>
          <cell r="B175" t="str">
            <v>Persnl Exps Fgn Ccy Other</v>
          </cell>
          <cell r="C175" t="str">
            <v>SHD-OTH PERSONNL EXP</v>
          </cell>
          <cell r="D175">
            <v>98919041</v>
          </cell>
          <cell r="E175" t="str">
            <v>GBP</v>
          </cell>
          <cell r="F175" t="str">
            <v>SHD - OTHER PERSONNEL EXPENSES</v>
          </cell>
          <cell r="H175">
            <v>3630.91</v>
          </cell>
        </row>
        <row r="176">
          <cell r="A176">
            <v>287129</v>
          </cell>
          <cell r="B176" t="str">
            <v>Persnl Exps Fgn Ccy Other</v>
          </cell>
          <cell r="C176" t="str">
            <v>SHD-RECRUITMENT EXPS</v>
          </cell>
          <cell r="D176">
            <v>98912021</v>
          </cell>
          <cell r="E176" t="str">
            <v>USD</v>
          </cell>
          <cell r="F176" t="str">
            <v>SHD - RECRUITMENT EXPENSES</v>
          </cell>
          <cell r="H176">
            <v>-11487.7</v>
          </cell>
        </row>
        <row r="177">
          <cell r="A177">
            <v>287129</v>
          </cell>
          <cell r="B177" t="str">
            <v>Persnl Exps Fgn Ccy Other</v>
          </cell>
          <cell r="C177" t="str">
            <v>SHD-RECRUITMENT EXPS</v>
          </cell>
          <cell r="D177">
            <v>98912041</v>
          </cell>
          <cell r="E177" t="str">
            <v>GBP</v>
          </cell>
          <cell r="F177" t="str">
            <v>SHD - RECRUITMENT EXPENSES</v>
          </cell>
          <cell r="H177">
            <v>11554.2</v>
          </cell>
        </row>
        <row r="178">
          <cell r="A178">
            <v>287129</v>
          </cell>
          <cell r="B178" t="str">
            <v>Persnl Exps Fgn Ccy Other</v>
          </cell>
          <cell r="C178" t="str">
            <v>SHD-SOCIAL SEC CHGES</v>
          </cell>
          <cell r="D178">
            <v>98906021</v>
          </cell>
          <cell r="E178" t="str">
            <v>USD</v>
          </cell>
          <cell r="F178" t="str">
            <v>SHD - SOCIAL SECURITY CHARGES</v>
          </cell>
          <cell r="H178">
            <v>-111065.67</v>
          </cell>
        </row>
        <row r="179">
          <cell r="A179">
            <v>287129</v>
          </cell>
          <cell r="B179" t="str">
            <v>Persnl Exps Fgn Ccy Other</v>
          </cell>
          <cell r="C179" t="str">
            <v>SHD-SOCIAL SEC CHGES</v>
          </cell>
          <cell r="D179">
            <v>98906041</v>
          </cell>
          <cell r="E179" t="str">
            <v>GBP</v>
          </cell>
          <cell r="F179" t="str">
            <v>SHD - SOCIAL SECURITY CHARGES</v>
          </cell>
          <cell r="H179">
            <v>112953.23</v>
          </cell>
        </row>
        <row r="180">
          <cell r="A180">
            <v>287129</v>
          </cell>
          <cell r="B180" t="str">
            <v>Persnl Exps Fgn Ccy Other</v>
          </cell>
          <cell r="C180" t="str">
            <v>SOCIAL SEC CHARGES</v>
          </cell>
          <cell r="D180">
            <v>95906041</v>
          </cell>
          <cell r="E180" t="str">
            <v>GBP</v>
          </cell>
          <cell r="F180" t="str">
            <v>SOCIAL SEC CHARGES</v>
          </cell>
          <cell r="H180">
            <v>-112953.23</v>
          </cell>
        </row>
        <row r="181">
          <cell r="A181">
            <v>289101</v>
          </cell>
          <cell r="B181" t="str">
            <v>Transportation Expenses Fgn Ccy</v>
          </cell>
          <cell r="C181" t="str">
            <v>SHD-TRANSPORTN EXPS</v>
          </cell>
          <cell r="D181">
            <v>98985001</v>
          </cell>
          <cell r="E181" t="str">
            <v>USD</v>
          </cell>
          <cell r="F181" t="str">
            <v>SHD - TRANSPORTATION EXPENSES</v>
          </cell>
          <cell r="H181">
            <v>-7675.64</v>
          </cell>
        </row>
        <row r="182">
          <cell r="A182">
            <v>289101</v>
          </cell>
          <cell r="B182" t="str">
            <v>Transportation Expenses Fgn Ccy</v>
          </cell>
          <cell r="C182" t="str">
            <v>SHD-TRANSPORTN EXPS</v>
          </cell>
          <cell r="D182">
            <v>98985041</v>
          </cell>
          <cell r="E182" t="str">
            <v>GBP</v>
          </cell>
          <cell r="F182" t="str">
            <v>SHD - TRANSPORTATION EXPENSES PAID</v>
          </cell>
          <cell r="H182">
            <v>7831.19</v>
          </cell>
        </row>
        <row r="183">
          <cell r="A183">
            <v>289101</v>
          </cell>
          <cell r="B183" t="str">
            <v>Transportation Expenses Fgn Ccy</v>
          </cell>
          <cell r="C183" t="str">
            <v>TRANSPORTATION</v>
          </cell>
          <cell r="D183">
            <v>95985041</v>
          </cell>
          <cell r="E183" t="str">
            <v>GBP</v>
          </cell>
          <cell r="F183" t="str">
            <v>TRANSPORTATION EXPENSES PAID</v>
          </cell>
          <cell r="H183">
            <v>-7831.19</v>
          </cell>
        </row>
        <row r="184">
          <cell r="A184">
            <v>289105</v>
          </cell>
          <cell r="B184" t="str">
            <v>Taxes Paid Fgn Ccy</v>
          </cell>
          <cell r="C184" t="str">
            <v>SHD-TAXES VAT</v>
          </cell>
          <cell r="D184">
            <v>98926021</v>
          </cell>
          <cell r="E184" t="str">
            <v>USD</v>
          </cell>
          <cell r="F184" t="str">
            <v>SHD - TAXES VAT</v>
          </cell>
          <cell r="H184">
            <v>-76266.880000000005</v>
          </cell>
        </row>
        <row r="185">
          <cell r="A185">
            <v>289105</v>
          </cell>
          <cell r="B185" t="str">
            <v>Taxes Paid Fgn Ccy</v>
          </cell>
          <cell r="C185" t="str">
            <v>SHD-TAXES VAT</v>
          </cell>
          <cell r="D185">
            <v>98926041</v>
          </cell>
          <cell r="E185" t="str">
            <v>GBP</v>
          </cell>
          <cell r="F185" t="str">
            <v>SHD - TAXES VAT</v>
          </cell>
          <cell r="H185">
            <v>78456.25</v>
          </cell>
        </row>
        <row r="186">
          <cell r="A186">
            <v>289105</v>
          </cell>
          <cell r="B186" t="str">
            <v>Taxes Paid Fgn Ccy</v>
          </cell>
          <cell r="C186" t="str">
            <v>TAXES-VAT</v>
          </cell>
          <cell r="D186">
            <v>95926041</v>
          </cell>
          <cell r="E186" t="str">
            <v>GBP</v>
          </cell>
          <cell r="F186" t="str">
            <v>TAXES VAT</v>
          </cell>
          <cell r="H186">
            <v>-78456.25</v>
          </cell>
        </row>
        <row r="187">
          <cell r="A187">
            <v>289129</v>
          </cell>
          <cell r="B187" t="str">
            <v>Other Operational Expenses in Fgn Ccy</v>
          </cell>
          <cell r="C187" t="str">
            <v>GIFTS - CORPORATE</v>
          </cell>
          <cell r="D187">
            <v>95996041</v>
          </cell>
          <cell r="E187" t="str">
            <v>GBP</v>
          </cell>
          <cell r="F187" t="str">
            <v>GIFTS - CORPORATE</v>
          </cell>
          <cell r="H187">
            <v>-2916.3</v>
          </cell>
        </row>
        <row r="188">
          <cell r="A188">
            <v>289129</v>
          </cell>
          <cell r="B188" t="str">
            <v>Other Operational Expenses in Fgn Ccy</v>
          </cell>
          <cell r="C188" t="str">
            <v>OTH OPERATIONAL EXPS</v>
          </cell>
          <cell r="D188">
            <v>95989021</v>
          </cell>
          <cell r="E188" t="str">
            <v>USD</v>
          </cell>
          <cell r="F188" t="str">
            <v>OTHER OPERATIONAL EXPENSES</v>
          </cell>
          <cell r="H188">
            <v>163740.01</v>
          </cell>
        </row>
        <row r="189">
          <cell r="A189">
            <v>289129</v>
          </cell>
          <cell r="B189" t="str">
            <v>Other Operational Expenses in Fgn Ccy</v>
          </cell>
          <cell r="C189" t="str">
            <v>OTH OPERATIONAL EXPS</v>
          </cell>
          <cell r="D189">
            <v>95989041</v>
          </cell>
          <cell r="E189" t="str">
            <v>GBP</v>
          </cell>
          <cell r="F189" t="str">
            <v>OTHER OPERATIONAL EXPENSES</v>
          </cell>
          <cell r="H189">
            <v>-1222.1500000000001</v>
          </cell>
        </row>
        <row r="190">
          <cell r="A190">
            <v>289129</v>
          </cell>
          <cell r="B190" t="str">
            <v>Other Operational Expenses in Fgn Ccy</v>
          </cell>
          <cell r="C190" t="str">
            <v>SHD-GIFTS-CORPORATE</v>
          </cell>
          <cell r="D190">
            <v>98996021</v>
          </cell>
          <cell r="E190" t="str">
            <v>USD</v>
          </cell>
          <cell r="F190" t="str">
            <v>SHD - GIFTS - CORPORATE</v>
          </cell>
          <cell r="H190">
            <v>-2791.35</v>
          </cell>
        </row>
        <row r="191">
          <cell r="A191">
            <v>289129</v>
          </cell>
          <cell r="B191" t="str">
            <v>Other Operational Expenses in Fgn Ccy</v>
          </cell>
          <cell r="C191" t="str">
            <v>SHD-GIFTS-CORPORATE</v>
          </cell>
          <cell r="D191">
            <v>98996041</v>
          </cell>
          <cell r="E191" t="str">
            <v>GBP</v>
          </cell>
          <cell r="F191" t="str">
            <v>SHD - GIFTS - CORPORATE</v>
          </cell>
          <cell r="H191">
            <v>2916.3</v>
          </cell>
        </row>
        <row r="192">
          <cell r="A192">
            <v>289129</v>
          </cell>
          <cell r="B192" t="str">
            <v>Other Operational Expenses in Fgn Ccy</v>
          </cell>
          <cell r="C192" t="str">
            <v>SHD-OTH OPER EXPS</v>
          </cell>
          <cell r="D192">
            <v>98989021</v>
          </cell>
          <cell r="E192" t="str">
            <v>USD</v>
          </cell>
          <cell r="F192" t="str">
            <v>SHD - OTHER OPERATIONAL EXPENSES</v>
          </cell>
          <cell r="H192">
            <v>-1198.8900000000001</v>
          </cell>
        </row>
        <row r="193">
          <cell r="A193">
            <v>289129</v>
          </cell>
          <cell r="B193" t="str">
            <v>Other Operational Expenses in Fgn Ccy</v>
          </cell>
          <cell r="C193" t="str">
            <v>SHD-OTH OPER EXPS</v>
          </cell>
          <cell r="D193">
            <v>98989041</v>
          </cell>
          <cell r="E193" t="str">
            <v>GBP</v>
          </cell>
          <cell r="F193" t="str">
            <v>SHD - OTHER OPERATIONAL EXPENSES</v>
          </cell>
          <cell r="H193">
            <v>1222.1400000000001</v>
          </cell>
        </row>
        <row r="194">
          <cell r="A194">
            <v>289129</v>
          </cell>
          <cell r="B194" t="str">
            <v>Other Operational Expenses in Fgn Ccy</v>
          </cell>
          <cell r="C194" t="str">
            <v>SHD-SPORT &amp; RECREATN</v>
          </cell>
          <cell r="D194">
            <v>98987021</v>
          </cell>
          <cell r="E194" t="str">
            <v>USD</v>
          </cell>
          <cell r="F194" t="str">
            <v>SHD - SPORT &amp; RECREATION EXPENSES</v>
          </cell>
          <cell r="H194">
            <v>-6338.94</v>
          </cell>
        </row>
        <row r="195">
          <cell r="A195">
            <v>289129</v>
          </cell>
          <cell r="B195" t="str">
            <v>Other Operational Expenses in Fgn Ccy</v>
          </cell>
          <cell r="C195" t="str">
            <v>SHD-SPORT &amp; RECREATN</v>
          </cell>
          <cell r="D195">
            <v>98987041</v>
          </cell>
          <cell r="E195" t="str">
            <v>GBP</v>
          </cell>
          <cell r="F195" t="str">
            <v>SHD - SPORT AND RECREATION</v>
          </cell>
          <cell r="H195">
            <v>6551.07</v>
          </cell>
        </row>
        <row r="196">
          <cell r="A196">
            <v>289129</v>
          </cell>
          <cell r="B196" t="str">
            <v>Other Operational Expenses in Fgn Ccy</v>
          </cell>
          <cell r="C196" t="str">
            <v>SHD-SUBS,JOURNAL,INF</v>
          </cell>
          <cell r="D196">
            <v>98998021</v>
          </cell>
          <cell r="E196" t="str">
            <v>USD</v>
          </cell>
          <cell r="F196" t="str">
            <v>SHD-SUBSCRIPTIONS FOR JOURNAL &amp; INFO</v>
          </cell>
          <cell r="H196">
            <v>-6703.62</v>
          </cell>
        </row>
        <row r="197">
          <cell r="A197">
            <v>289129</v>
          </cell>
          <cell r="B197" t="str">
            <v>Other Operational Expenses in Fgn Ccy</v>
          </cell>
          <cell r="C197" t="str">
            <v>SHD-SUBS,JOURNAL,INF</v>
          </cell>
          <cell r="D197">
            <v>98998041</v>
          </cell>
          <cell r="E197" t="str">
            <v>GBP</v>
          </cell>
          <cell r="F197" t="str">
            <v>SHD-SUBSCRIPTIONS FOR JOURNALS &amp; INFO</v>
          </cell>
          <cell r="H197">
            <v>6886.32</v>
          </cell>
        </row>
        <row r="198">
          <cell r="A198">
            <v>289129</v>
          </cell>
          <cell r="B198" t="str">
            <v>Other Operational Expenses in Fgn Ccy</v>
          </cell>
          <cell r="C198" t="str">
            <v>SPORT AND RECREATION</v>
          </cell>
          <cell r="D198">
            <v>95987041</v>
          </cell>
          <cell r="E198" t="str">
            <v>GBP</v>
          </cell>
          <cell r="F198" t="str">
            <v>SPORT &amp; RECREATION</v>
          </cell>
          <cell r="H198">
            <v>-6551.07</v>
          </cell>
        </row>
        <row r="199">
          <cell r="A199">
            <v>289129</v>
          </cell>
          <cell r="B199" t="str">
            <v>Other Operational Expenses in Fgn Ccy</v>
          </cell>
          <cell r="C199" t="str">
            <v>SUBS, JOURNALS, INFO</v>
          </cell>
          <cell r="D199">
            <v>95998041</v>
          </cell>
          <cell r="E199" t="str">
            <v>GBP</v>
          </cell>
          <cell r="F199" t="str">
            <v>SUBSCRIPTION FOR JOURNAL &amp; INFO SERVICES</v>
          </cell>
          <cell r="H199">
            <v>-6886.32</v>
          </cell>
        </row>
        <row r="200">
          <cell r="A200">
            <v>289901</v>
          </cell>
          <cell r="B200" t="str">
            <v>Interest expenses on Finance Lease</v>
          </cell>
          <cell r="C200" t="str">
            <v>INT PAID OTH NB UK</v>
          </cell>
          <cell r="D200">
            <v>95096021</v>
          </cell>
          <cell r="E200" t="str">
            <v>USD</v>
          </cell>
          <cell r="F200" t="str">
            <v>INTEREST PAID OTHER NONBANK RES UK</v>
          </cell>
          <cell r="H200">
            <v>-2598.13</v>
          </cell>
        </row>
        <row r="201">
          <cell r="A201">
            <v>296519</v>
          </cell>
          <cell r="B201" t="str">
            <v>Other Non Operational Expenses Fgn Ccy</v>
          </cell>
          <cell r="C201" t="str">
            <v>CHARIT DONATIONS</v>
          </cell>
          <cell r="D201">
            <v>98997021</v>
          </cell>
          <cell r="E201" t="str">
            <v>USD</v>
          </cell>
          <cell r="F201" t="str">
            <v>SHD - CHARITABLE DONATIONS</v>
          </cell>
          <cell r="H201">
            <v>-78.900000000000006</v>
          </cell>
        </row>
        <row r="202">
          <cell r="A202">
            <v>296519</v>
          </cell>
          <cell r="B202" t="str">
            <v>Other Non Operational Expenses Fgn Ccy</v>
          </cell>
          <cell r="C202" t="str">
            <v>CHARIT DONATIONS</v>
          </cell>
          <cell r="D202">
            <v>98997041</v>
          </cell>
          <cell r="E202" t="str">
            <v>GBP</v>
          </cell>
          <cell r="F202" t="str">
            <v>SHD - CHARITABLE DONATIONS</v>
          </cell>
          <cell r="H202">
            <v>82.53</v>
          </cell>
        </row>
        <row r="203">
          <cell r="A203">
            <v>296519</v>
          </cell>
          <cell r="B203" t="str">
            <v>Other Non Operational Expenses Fgn Ccy</v>
          </cell>
          <cell r="C203" t="str">
            <v>CHARITABLE DONATIONS</v>
          </cell>
          <cell r="D203">
            <v>95997041</v>
          </cell>
          <cell r="E203" t="str">
            <v>GBP</v>
          </cell>
          <cell r="F203" t="str">
            <v>CHARITABLE DONATIONS</v>
          </cell>
          <cell r="H203">
            <v>-82.53</v>
          </cell>
        </row>
        <row r="204">
          <cell r="A204">
            <v>296519</v>
          </cell>
          <cell r="B204" t="str">
            <v>Other Non Operational Expenses Fgn Ccy</v>
          </cell>
          <cell r="C204" t="str">
            <v>OTHER NON OPER EXPS</v>
          </cell>
          <cell r="D204">
            <v>95999041</v>
          </cell>
          <cell r="E204" t="str">
            <v>GBP</v>
          </cell>
          <cell r="F204" t="str">
            <v>OTHER NON OPERATIONAL EXPENSES</v>
          </cell>
          <cell r="H204">
            <v>-30.8</v>
          </cell>
        </row>
        <row r="205">
          <cell r="A205">
            <v>296519</v>
          </cell>
          <cell r="B205" t="str">
            <v>Other Non Operational Expenses Fgn Ccy</v>
          </cell>
          <cell r="C205" t="str">
            <v>SHD-OTH NON OPER EXP</v>
          </cell>
          <cell r="D205">
            <v>98999021</v>
          </cell>
          <cell r="E205" t="str">
            <v>USD</v>
          </cell>
          <cell r="F205" t="str">
            <v>SHD - OTHER NON OPERATIONAL EXPENSES</v>
          </cell>
          <cell r="H205">
            <v>-30.78</v>
          </cell>
        </row>
        <row r="206">
          <cell r="A206">
            <v>296519</v>
          </cell>
          <cell r="B206" t="str">
            <v>Other Non Operational Expenses Fgn Ccy</v>
          </cell>
          <cell r="C206" t="str">
            <v>SHD-OTH NON OPER EXP</v>
          </cell>
          <cell r="D206">
            <v>98999041</v>
          </cell>
          <cell r="E206" t="str">
            <v>GBP</v>
          </cell>
          <cell r="F206" t="str">
            <v>SHD - OTHER NON OPERATIONAL EXPENSES</v>
          </cell>
          <cell r="H206">
            <v>30.8</v>
          </cell>
        </row>
        <row r="207">
          <cell r="A207">
            <v>535001</v>
          </cell>
          <cell r="B207" t="str">
            <v>Int Recd Inv Loan Fgn Ccy Res Ind</v>
          </cell>
          <cell r="C207" t="str">
            <v>INT RECD OCL RES IND</v>
          </cell>
          <cell r="D207">
            <v>94747021</v>
          </cell>
          <cell r="E207" t="str">
            <v>USD</v>
          </cell>
          <cell r="F207" t="str">
            <v>INT RECD OTH COMM LOANS RES IND</v>
          </cell>
          <cell r="H207">
            <v>500458.13</v>
          </cell>
        </row>
        <row r="208">
          <cell r="A208">
            <v>535156</v>
          </cell>
          <cell r="B208" t="str">
            <v>INTEREST REC'D TRADE FINANCE LOANS</v>
          </cell>
          <cell r="C208" t="str">
            <v>INT RECD NB CALL IND</v>
          </cell>
          <cell r="D208">
            <v>94812021</v>
          </cell>
          <cell r="E208" t="str">
            <v>USD</v>
          </cell>
          <cell r="F208" t="str">
            <v>INT RECD CALL LOAN NON BANK RES IND</v>
          </cell>
          <cell r="H208">
            <v>3734.03</v>
          </cell>
        </row>
        <row r="209">
          <cell r="A209">
            <v>535156</v>
          </cell>
          <cell r="B209" t="str">
            <v>INTEREST REC'D TRADE FINANCE LOANS</v>
          </cell>
          <cell r="C209" t="str">
            <v>INT RECD NB CALL OTH</v>
          </cell>
          <cell r="D209">
            <v>94814021</v>
          </cell>
          <cell r="E209" t="str">
            <v>USD</v>
          </cell>
          <cell r="F209" t="str">
            <v>INT RECD CALL LOAN NON BANK RES OTHER</v>
          </cell>
          <cell r="H209">
            <v>40132.080000000002</v>
          </cell>
        </row>
        <row r="210">
          <cell r="A210">
            <v>535156</v>
          </cell>
          <cell r="B210" t="str">
            <v>INTEREST REC'D TRADE FINANCE LOANS</v>
          </cell>
          <cell r="C210" t="str">
            <v>INT RECD NB CALL UK</v>
          </cell>
          <cell r="D210">
            <v>94811021</v>
          </cell>
          <cell r="E210" t="str">
            <v>USD</v>
          </cell>
          <cell r="F210" t="str">
            <v>INT RECD CALL LOAN NON BANK RES UK</v>
          </cell>
          <cell r="H210">
            <v>382168.95</v>
          </cell>
        </row>
        <row r="211">
          <cell r="A211">
            <v>535156</v>
          </cell>
          <cell r="B211" t="str">
            <v>INTEREST REC'D TRADE FINANCE LOANS</v>
          </cell>
          <cell r="C211" t="str">
            <v>INT RECD NB CALL UK</v>
          </cell>
          <cell r="D211">
            <v>94811041</v>
          </cell>
          <cell r="E211" t="str">
            <v>GBP</v>
          </cell>
          <cell r="F211" t="str">
            <v>INT RECD CALL LOAN NON BANK RES UK</v>
          </cell>
          <cell r="H211">
            <v>296301.53000000003</v>
          </cell>
        </row>
        <row r="212">
          <cell r="A212">
            <v>535156</v>
          </cell>
          <cell r="B212" t="str">
            <v>INTEREST REC'D TRADE FINANCE LOANS</v>
          </cell>
          <cell r="C212" t="str">
            <v>INT RECD NB CALL UK</v>
          </cell>
          <cell r="D212">
            <v>94811101</v>
          </cell>
          <cell r="E212" t="str">
            <v>EUR</v>
          </cell>
          <cell r="F212" t="str">
            <v>INT RECD CALL LOAN NON BANK RES UK</v>
          </cell>
          <cell r="H212">
            <v>19542.8</v>
          </cell>
        </row>
        <row r="213">
          <cell r="A213">
            <v>535156</v>
          </cell>
          <cell r="B213" t="str">
            <v>INTEREST REC'D TRADE FINANCE LOANS</v>
          </cell>
          <cell r="C213" t="str">
            <v>SHD IRCALL LN NBK UK</v>
          </cell>
          <cell r="D213">
            <v>97811021</v>
          </cell>
          <cell r="E213" t="str">
            <v>USD</v>
          </cell>
          <cell r="F213" t="str">
            <v>SHD - INT RECD CALL LOAN NON BANK RES UK</v>
          </cell>
          <cell r="H213">
            <v>309654.55</v>
          </cell>
        </row>
        <row r="214">
          <cell r="A214">
            <v>535156</v>
          </cell>
          <cell r="B214" t="str">
            <v>INTEREST REC'D TRADE FINANCE LOANS</v>
          </cell>
          <cell r="C214" t="str">
            <v>SHD IRCALL LN NBK UK</v>
          </cell>
          <cell r="D214">
            <v>97811041</v>
          </cell>
          <cell r="E214" t="str">
            <v>GBP</v>
          </cell>
          <cell r="F214" t="str">
            <v>SHD - INT RECD CALL LOAN NON BANK RES UK</v>
          </cell>
          <cell r="H214">
            <v>-296301.53000000003</v>
          </cell>
        </row>
        <row r="215">
          <cell r="A215">
            <v>535156</v>
          </cell>
          <cell r="B215" t="str">
            <v>INTEREST REC'D TRADE FINANCE LOANS</v>
          </cell>
          <cell r="C215" t="str">
            <v>SHD IRCALL LN NBK UK</v>
          </cell>
          <cell r="D215">
            <v>97811101</v>
          </cell>
          <cell r="E215" t="str">
            <v>EUR</v>
          </cell>
          <cell r="F215" t="str">
            <v>SHADOW - INT RECD CALL LOAN NON BANK UK</v>
          </cell>
          <cell r="H215">
            <v>-19542.8</v>
          </cell>
        </row>
        <row r="216">
          <cell r="A216">
            <v>535631</v>
          </cell>
          <cell r="B216" t="str">
            <v>Int Recd Syn Inv Ln Bks Fgn Ccy Non Res</v>
          </cell>
          <cell r="C216" t="str">
            <v>INT RECD OCL REC OTH</v>
          </cell>
          <cell r="D216">
            <v>94749021</v>
          </cell>
          <cell r="E216" t="str">
            <v>USD</v>
          </cell>
          <cell r="F216" t="str">
            <v>INT RECD OTH COMM LOANS RES OTHER</v>
          </cell>
          <cell r="H216">
            <v>76036.039999999994</v>
          </cell>
        </row>
        <row r="217">
          <cell r="A217">
            <v>535631</v>
          </cell>
          <cell r="B217" t="str">
            <v>Int Recd Syn Inv Ln Bks Fgn Ccy Non Res</v>
          </cell>
          <cell r="C217" t="str">
            <v>INT RECD OCL RES UK</v>
          </cell>
          <cell r="D217">
            <v>94746021</v>
          </cell>
          <cell r="E217" t="str">
            <v>USD</v>
          </cell>
          <cell r="F217" t="str">
            <v>INT RECD OTHER COMM LOANS RES UK</v>
          </cell>
          <cell r="H217">
            <v>22280.12</v>
          </cell>
        </row>
        <row r="218">
          <cell r="A218">
            <v>545131</v>
          </cell>
          <cell r="B218" t="str">
            <v>Int Recd Call Money Banks - Non Resident</v>
          </cell>
          <cell r="C218" t="str">
            <v>INT RECD B ON OTHEEC</v>
          </cell>
          <cell r="D218">
            <v>94018021</v>
          </cell>
          <cell r="E218" t="str">
            <v>USD</v>
          </cell>
          <cell r="F218" t="str">
            <v>INT REC BANK OVERNIGHT RES OTH EEC</v>
          </cell>
          <cell r="H218">
            <v>16647.240000000002</v>
          </cell>
        </row>
        <row r="219">
          <cell r="A219">
            <v>545131</v>
          </cell>
          <cell r="B219" t="str">
            <v>Int Recd Call Money Banks - Non Resident</v>
          </cell>
          <cell r="C219" t="str">
            <v>INT RECD B ON UK</v>
          </cell>
          <cell r="D219">
            <v>94016021</v>
          </cell>
          <cell r="E219" t="str">
            <v>USD</v>
          </cell>
          <cell r="F219" t="str">
            <v>INT REC BANK OVERNIGHT RES UK</v>
          </cell>
          <cell r="H219">
            <v>153512.79</v>
          </cell>
        </row>
        <row r="220">
          <cell r="A220">
            <v>545131</v>
          </cell>
          <cell r="B220" t="str">
            <v>Int Recd Call Money Banks - Non Resident</v>
          </cell>
          <cell r="C220" t="str">
            <v>INT RECD B ON UK</v>
          </cell>
          <cell r="D220">
            <v>94016041</v>
          </cell>
          <cell r="E220" t="str">
            <v>GBP</v>
          </cell>
          <cell r="F220" t="str">
            <v>INT REC BANK OVERNIGHT RES UK</v>
          </cell>
          <cell r="H220">
            <v>48284.34</v>
          </cell>
        </row>
        <row r="221">
          <cell r="A221">
            <v>545131</v>
          </cell>
          <cell r="B221" t="str">
            <v>Int Recd Call Money Banks - Non Resident</v>
          </cell>
          <cell r="C221" t="str">
            <v>SHD RECD B ON UK</v>
          </cell>
          <cell r="D221">
            <v>97016021</v>
          </cell>
          <cell r="E221" t="str">
            <v>USD</v>
          </cell>
          <cell r="F221" t="str">
            <v>SHD - INT REC BK O/N RES UK</v>
          </cell>
          <cell r="H221">
            <v>47326.29</v>
          </cell>
        </row>
        <row r="222">
          <cell r="A222">
            <v>545131</v>
          </cell>
          <cell r="B222" t="str">
            <v>Int Recd Call Money Banks - Non Resident</v>
          </cell>
          <cell r="C222" t="str">
            <v>SHD RECD B ON UK</v>
          </cell>
          <cell r="D222">
            <v>97016041</v>
          </cell>
          <cell r="E222" t="str">
            <v>GBP</v>
          </cell>
          <cell r="F222" t="str">
            <v>SHD - INT REC BK O/N RES UK</v>
          </cell>
          <cell r="H222">
            <v>-48284.34</v>
          </cell>
        </row>
        <row r="223">
          <cell r="A223">
            <v>546031</v>
          </cell>
          <cell r="B223" t="str">
            <v>Int Recd Current Accounts Banks Non Res</v>
          </cell>
          <cell r="C223" t="str">
            <v>IR OT BK NSTRO RESUK</v>
          </cell>
          <cell r="D223">
            <v>94066021</v>
          </cell>
          <cell r="E223" t="str">
            <v>USD</v>
          </cell>
          <cell r="F223" t="str">
            <v>INT RECD OTHER BANK NOSTRO RES UK</v>
          </cell>
          <cell r="H223">
            <v>1830.55</v>
          </cell>
        </row>
        <row r="224">
          <cell r="A224">
            <v>546031</v>
          </cell>
          <cell r="B224" t="str">
            <v>Int Recd Current Accounts Banks Non Res</v>
          </cell>
          <cell r="C224" t="str">
            <v>IR OT BK NSTRO RESUK</v>
          </cell>
          <cell r="D224">
            <v>94066041</v>
          </cell>
          <cell r="E224" t="str">
            <v>GBP</v>
          </cell>
          <cell r="F224" t="str">
            <v>INT RECD OTHER BANK NOSTRO A/C RES UK</v>
          </cell>
          <cell r="H224">
            <v>1127.8399999999999</v>
          </cell>
        </row>
        <row r="225">
          <cell r="A225">
            <v>546031</v>
          </cell>
          <cell r="B225" t="str">
            <v>Int Recd Current Accounts Banks Non Res</v>
          </cell>
          <cell r="C225" t="str">
            <v>IR OT BK NSTRO RESUK</v>
          </cell>
          <cell r="D225">
            <v>94066101</v>
          </cell>
          <cell r="E225" t="str">
            <v>EUR</v>
          </cell>
          <cell r="F225" t="str">
            <v>INT RECD OTHER BANK NOSTRO RES UK</v>
          </cell>
          <cell r="H225">
            <v>1000.42</v>
          </cell>
        </row>
        <row r="226">
          <cell r="A226">
            <v>546031</v>
          </cell>
          <cell r="B226" t="str">
            <v>Int Recd Current Accounts Banks Non Res</v>
          </cell>
          <cell r="C226" t="str">
            <v>SHD-IR OTH BK NST UK</v>
          </cell>
          <cell r="D226">
            <v>97066021</v>
          </cell>
          <cell r="E226" t="str">
            <v>USD</v>
          </cell>
          <cell r="F226" t="str">
            <v>SHD - INT RECD OTHER BANK NOSTRO RES UK</v>
          </cell>
          <cell r="H226">
            <v>2050.12</v>
          </cell>
        </row>
        <row r="227">
          <cell r="A227">
            <v>546031</v>
          </cell>
          <cell r="B227" t="str">
            <v>Int Recd Current Accounts Banks Non Res</v>
          </cell>
          <cell r="C227" t="str">
            <v>SHD-IR OTH BK NST UK</v>
          </cell>
          <cell r="D227">
            <v>97066041</v>
          </cell>
          <cell r="E227" t="str">
            <v>GBP</v>
          </cell>
          <cell r="F227" t="str">
            <v>SHD - INT RECD OTHER BANK NOSTRO RES UK</v>
          </cell>
          <cell r="H227">
            <v>-1127.8399999999999</v>
          </cell>
        </row>
        <row r="228">
          <cell r="A228">
            <v>546031</v>
          </cell>
          <cell r="B228" t="str">
            <v>Int Recd Current Accounts Banks Non Res</v>
          </cell>
          <cell r="C228" t="str">
            <v>SHD-IR OTH BK NST UK</v>
          </cell>
          <cell r="D228">
            <v>97066101</v>
          </cell>
          <cell r="E228" t="str">
            <v>EUR</v>
          </cell>
          <cell r="F228" t="str">
            <v>SHD - INT RECD OTHER BANK NOSTRO RES UK</v>
          </cell>
          <cell r="H228">
            <v>-1000.42</v>
          </cell>
        </row>
        <row r="229">
          <cell r="A229">
            <v>546061</v>
          </cell>
          <cell r="B229" t="str">
            <v>Int Recd Inter Branch Nostro Accounts</v>
          </cell>
          <cell r="C229" t="str">
            <v>IR HO&amp;B NSTRO RESIND</v>
          </cell>
          <cell r="D229">
            <v>94062011</v>
          </cell>
          <cell r="E229" t="str">
            <v>IDR</v>
          </cell>
          <cell r="F229" t="str">
            <v>INT REC HO&amp;BRANCH NOSTRO ACC RES IND</v>
          </cell>
          <cell r="H229">
            <v>88.96</v>
          </cell>
        </row>
        <row r="230">
          <cell r="A230">
            <v>546061</v>
          </cell>
          <cell r="B230" t="str">
            <v>Int Recd Inter Branch Nostro Accounts</v>
          </cell>
          <cell r="C230" t="str">
            <v>SHD HO&amp;B NSTRO RSIND</v>
          </cell>
          <cell r="D230">
            <v>97062011</v>
          </cell>
          <cell r="E230" t="str">
            <v>IDR</v>
          </cell>
          <cell r="F230" t="str">
            <v>SHD - INT REC HOBRS NOSTR A/C RES IND</v>
          </cell>
          <cell r="H230">
            <v>-88.96</v>
          </cell>
        </row>
        <row r="231">
          <cell r="A231">
            <v>546061</v>
          </cell>
          <cell r="B231" t="str">
            <v>Int Recd Inter Branch Nostro Accounts</v>
          </cell>
          <cell r="C231" t="str">
            <v>SHD HO&amp;B NSTRO RSIND</v>
          </cell>
          <cell r="D231">
            <v>97062021</v>
          </cell>
          <cell r="E231" t="str">
            <v>USD</v>
          </cell>
          <cell r="F231" t="str">
            <v>SHD - INT REC HOBRS NOSTR A/C RES IND</v>
          </cell>
          <cell r="H231">
            <v>84.33</v>
          </cell>
        </row>
        <row r="232">
          <cell r="A232">
            <v>555301</v>
          </cell>
          <cell r="B232" t="str">
            <v>Int Recd Bonds Banks Fgn Ccy - Resident</v>
          </cell>
          <cell r="C232" t="str">
            <v>COUPREC SEC B RES IN</v>
          </cell>
          <cell r="D232">
            <v>94362021</v>
          </cell>
          <cell r="E232" t="str">
            <v>USD</v>
          </cell>
          <cell r="F232" t="str">
            <v>COUPON REC DUE FROM SECS BANK RES IND</v>
          </cell>
          <cell r="H232">
            <v>492030.26</v>
          </cell>
        </row>
        <row r="233">
          <cell r="A233">
            <v>555301</v>
          </cell>
          <cell r="B233" t="str">
            <v>Int Recd Bonds Banks Fgn Ccy - Resident</v>
          </cell>
          <cell r="C233" t="str">
            <v>INT REC SEC B RESIND</v>
          </cell>
          <cell r="D233">
            <v>94357021</v>
          </cell>
          <cell r="E233" t="str">
            <v>USD</v>
          </cell>
          <cell r="F233" t="str">
            <v>INT REC FROM SECS BANK RES IND</v>
          </cell>
          <cell r="H233">
            <v>445828.7</v>
          </cell>
        </row>
        <row r="234">
          <cell r="A234">
            <v>555331</v>
          </cell>
          <cell r="B234" t="str">
            <v>Int Recd Bonds Fgn Ccy Bank - Non Res</v>
          </cell>
          <cell r="C234" t="str">
            <v>COUPREC S B R OT EEC</v>
          </cell>
          <cell r="D234">
            <v>94363021</v>
          </cell>
          <cell r="E234" t="str">
            <v>USD</v>
          </cell>
          <cell r="F234" t="str">
            <v>COUPON REC DUE FROM SEC BANK RES OTH EEC</v>
          </cell>
          <cell r="H234">
            <v>59473.31</v>
          </cell>
        </row>
        <row r="235">
          <cell r="A235">
            <v>555331</v>
          </cell>
          <cell r="B235" t="str">
            <v>Int Recd Bonds Fgn Ccy Bank - Non Res</v>
          </cell>
          <cell r="C235" t="str">
            <v>COUPREC S B RES OTH</v>
          </cell>
          <cell r="D235">
            <v>94364021</v>
          </cell>
          <cell r="E235" t="str">
            <v>USD</v>
          </cell>
          <cell r="F235" t="str">
            <v>COUPON REC DUE FROM SECS BANK RES OTHER</v>
          </cell>
          <cell r="H235">
            <v>185286.11</v>
          </cell>
        </row>
        <row r="236">
          <cell r="A236">
            <v>555331</v>
          </cell>
          <cell r="B236" t="str">
            <v>Int Recd Bonds Fgn Ccy Bank - Non Res</v>
          </cell>
          <cell r="C236" t="str">
            <v>INTREC SEC B R O EEC</v>
          </cell>
          <cell r="D236">
            <v>94358021</v>
          </cell>
          <cell r="E236" t="str">
            <v>USD</v>
          </cell>
          <cell r="F236" t="str">
            <v>INT REC FROM SECS RES OTH EEC</v>
          </cell>
          <cell r="H236">
            <v>-3835.93</v>
          </cell>
        </row>
        <row r="237">
          <cell r="A237">
            <v>555331</v>
          </cell>
          <cell r="B237" t="str">
            <v>Int Recd Bonds Fgn Ccy Bank - Non Res</v>
          </cell>
          <cell r="C237" t="str">
            <v>INTREC SEC B RES OTH</v>
          </cell>
          <cell r="D237">
            <v>94359021</v>
          </cell>
          <cell r="E237" t="str">
            <v>USD</v>
          </cell>
          <cell r="F237" t="str">
            <v>INT REC FROM SECS BANK RES OTHER</v>
          </cell>
          <cell r="H237">
            <v>-4570</v>
          </cell>
        </row>
        <row r="238">
          <cell r="A238">
            <v>555531</v>
          </cell>
          <cell r="B238" t="str">
            <v>Int Recd Comm Paper Fgn Ccy Bank Non Res</v>
          </cell>
          <cell r="C238" t="str">
            <v>DSC RCD BILL B OTHER</v>
          </cell>
          <cell r="D238">
            <v>94304021</v>
          </cell>
          <cell r="E238" t="str">
            <v>USD</v>
          </cell>
          <cell r="F238" t="str">
            <v>DISCNT RECD BILLS - BANK RES OTHER</v>
          </cell>
          <cell r="H238">
            <v>226870.32</v>
          </cell>
        </row>
        <row r="239">
          <cell r="A239">
            <v>555531</v>
          </cell>
          <cell r="B239" t="str">
            <v>Int Recd Comm Paper Fgn Ccy Bank Non Res</v>
          </cell>
          <cell r="C239" t="str">
            <v>DSC RECD BILL B UK</v>
          </cell>
          <cell r="D239">
            <v>94301021</v>
          </cell>
          <cell r="E239" t="str">
            <v>USD</v>
          </cell>
          <cell r="F239" t="str">
            <v>DISCNT RECD BILLS - BANK RES UK</v>
          </cell>
          <cell r="H239">
            <v>2301.2399999999998</v>
          </cell>
        </row>
        <row r="240">
          <cell r="A240">
            <v>556931</v>
          </cell>
          <cell r="B240" t="str">
            <v>Other Interest Recd Fgn Ccy Bank Non Res</v>
          </cell>
          <cell r="C240" t="str">
            <v>INT REC INV ARB SWAP</v>
          </cell>
          <cell r="D240">
            <v>94101021</v>
          </cell>
          <cell r="E240" t="str">
            <v>USD</v>
          </cell>
          <cell r="F240" t="str">
            <v>INTEREST RECEIVED INVESTMENT ARB SWAP</v>
          </cell>
          <cell r="H240">
            <v>137610.9</v>
          </cell>
        </row>
        <row r="241">
          <cell r="A241">
            <v>575129</v>
          </cell>
          <cell r="B241" t="str">
            <v>Other Fees &amp; Commission Rec Fgn Ccy Res</v>
          </cell>
          <cell r="C241" t="str">
            <v>FRONT END FEE IND</v>
          </cell>
          <cell r="D241">
            <v>94767021</v>
          </cell>
          <cell r="E241" t="str">
            <v>USD</v>
          </cell>
          <cell r="F241" t="str">
            <v>FRONT END FEE RECEIVED RES IND</v>
          </cell>
          <cell r="H241">
            <v>123972.62</v>
          </cell>
        </row>
        <row r="242">
          <cell r="A242">
            <v>575131</v>
          </cell>
          <cell r="B242" t="str">
            <v>L/C Export Fee Recd Fgn Ccy Non Res</v>
          </cell>
          <cell r="C242" t="str">
            <v>EXPT FEES RCD RES UK</v>
          </cell>
          <cell r="D242">
            <v>94601021</v>
          </cell>
          <cell r="E242" t="str">
            <v>USD</v>
          </cell>
          <cell r="F242" t="str">
            <v>EXPORT FEE RECEIVED RES UK</v>
          </cell>
          <cell r="H242">
            <v>7767.88</v>
          </cell>
        </row>
        <row r="243">
          <cell r="A243">
            <v>575131</v>
          </cell>
          <cell r="B243" t="str">
            <v>L/C Export Fee Recd Fgn Ccy Non Res</v>
          </cell>
          <cell r="C243" t="str">
            <v>EXPT FEES RCD RES UK</v>
          </cell>
          <cell r="D243">
            <v>94601041</v>
          </cell>
          <cell r="E243" t="str">
            <v>GBP</v>
          </cell>
          <cell r="F243" t="str">
            <v>EXPORT FEE RECEIVED RES UK</v>
          </cell>
          <cell r="H243">
            <v>2180.31</v>
          </cell>
        </row>
        <row r="244">
          <cell r="A244">
            <v>575131</v>
          </cell>
          <cell r="B244" t="str">
            <v>L/C Export Fee Recd Fgn Ccy Non Res</v>
          </cell>
          <cell r="C244" t="str">
            <v>EXPT FEES RECD RESOT</v>
          </cell>
          <cell r="D244">
            <v>94604021</v>
          </cell>
          <cell r="E244" t="str">
            <v>USD</v>
          </cell>
          <cell r="F244" t="str">
            <v>EXPORT FEE RECEIVED RES OTHER</v>
          </cell>
          <cell r="H244">
            <v>272410.14</v>
          </cell>
        </row>
        <row r="245">
          <cell r="A245">
            <v>575131</v>
          </cell>
          <cell r="B245" t="str">
            <v>L/C Export Fee Recd Fgn Ccy Non Res</v>
          </cell>
          <cell r="C245" t="str">
            <v>EXPT FEES RECD RESOT</v>
          </cell>
          <cell r="D245">
            <v>94604041</v>
          </cell>
          <cell r="E245" t="str">
            <v>GBP</v>
          </cell>
          <cell r="F245" t="str">
            <v>EXPORT FEE RECEIVED RES OTHER</v>
          </cell>
          <cell r="H245">
            <v>173.31</v>
          </cell>
        </row>
        <row r="246">
          <cell r="A246">
            <v>575131</v>
          </cell>
          <cell r="B246" t="str">
            <v>L/C Export Fee Recd Fgn Ccy Non Res</v>
          </cell>
          <cell r="C246" t="str">
            <v>EXPTFEES RCD RSOTEEC</v>
          </cell>
          <cell r="D246">
            <v>94603041</v>
          </cell>
          <cell r="E246" t="str">
            <v>GBP</v>
          </cell>
          <cell r="F246" t="str">
            <v>EXPORT FEE RECEIVED RES OTH EEC</v>
          </cell>
          <cell r="H246">
            <v>66.02</v>
          </cell>
        </row>
        <row r="247">
          <cell r="A247">
            <v>575131</v>
          </cell>
          <cell r="B247" t="str">
            <v>L/C Export Fee Recd Fgn Ccy Non Res</v>
          </cell>
          <cell r="C247" t="str">
            <v>SHD EX/FEE REC RESUK</v>
          </cell>
          <cell r="D247">
            <v>97604021</v>
          </cell>
          <cell r="E247" t="str">
            <v>USD</v>
          </cell>
          <cell r="F247" t="str">
            <v>SHD - EXPORT FEE RECEIVED RES OTH</v>
          </cell>
          <cell r="H247">
            <v>165.52</v>
          </cell>
        </row>
        <row r="248">
          <cell r="A248">
            <v>575131</v>
          </cell>
          <cell r="B248" t="str">
            <v>L/C Export Fee Recd Fgn Ccy Non Res</v>
          </cell>
          <cell r="C248" t="str">
            <v>SHD EX/FEE REC RESUK</v>
          </cell>
          <cell r="D248">
            <v>97604041</v>
          </cell>
          <cell r="E248" t="str">
            <v>GBP</v>
          </cell>
          <cell r="F248" t="str">
            <v>SHD - EXPORT FEE RECEIVED RES OTH</v>
          </cell>
          <cell r="H248">
            <v>-173.31</v>
          </cell>
        </row>
        <row r="249">
          <cell r="A249">
            <v>575131</v>
          </cell>
          <cell r="B249" t="str">
            <v>L/C Export Fee Recd Fgn Ccy Non Res</v>
          </cell>
          <cell r="C249" t="str">
            <v>SHD EXP FEES RECRSUK</v>
          </cell>
          <cell r="D249">
            <v>97601021</v>
          </cell>
          <cell r="E249" t="str">
            <v>USD</v>
          </cell>
          <cell r="F249" t="str">
            <v>SHD - EXPORT FEE RECEIVED RES UK</v>
          </cell>
          <cell r="H249">
            <v>2142.88</v>
          </cell>
        </row>
        <row r="250">
          <cell r="A250">
            <v>575131</v>
          </cell>
          <cell r="B250" t="str">
            <v>L/C Export Fee Recd Fgn Ccy Non Res</v>
          </cell>
          <cell r="C250" t="str">
            <v>SHD EXP FEES RECRSUK</v>
          </cell>
          <cell r="D250">
            <v>97601041</v>
          </cell>
          <cell r="E250" t="str">
            <v>GBP</v>
          </cell>
          <cell r="F250" t="str">
            <v>SHD - EXPORT FEE RECEIVED RES UK</v>
          </cell>
          <cell r="H250">
            <v>-2180.31</v>
          </cell>
        </row>
        <row r="251">
          <cell r="A251">
            <v>575131</v>
          </cell>
          <cell r="B251" t="str">
            <v>L/C Export Fee Recd Fgn Ccy Non Res</v>
          </cell>
          <cell r="C251" t="str">
            <v>SHD FEES RCD RSOTEEC</v>
          </cell>
          <cell r="D251">
            <v>97603021</v>
          </cell>
          <cell r="E251" t="str">
            <v>USD</v>
          </cell>
          <cell r="F251" t="str">
            <v>SHD - EXPORT FEE RECEIVED RES OTH EEC</v>
          </cell>
          <cell r="H251">
            <v>63.06</v>
          </cell>
        </row>
        <row r="252">
          <cell r="A252">
            <v>575131</v>
          </cell>
          <cell r="B252" t="str">
            <v>L/C Export Fee Recd Fgn Ccy Non Res</v>
          </cell>
          <cell r="C252" t="str">
            <v>SHD FEES RCD RSOTEEC</v>
          </cell>
          <cell r="D252">
            <v>97603041</v>
          </cell>
          <cell r="E252" t="str">
            <v>GBP</v>
          </cell>
          <cell r="F252" t="str">
            <v>SHD - EXPORT FEE RECEIVED RES OTH EEC</v>
          </cell>
          <cell r="H252">
            <v>-66.02</v>
          </cell>
        </row>
        <row r="253">
          <cell r="A253">
            <v>575132</v>
          </cell>
          <cell r="B253" t="str">
            <v>L/C Import Fee Recd Fgn Ccy Non Res</v>
          </cell>
          <cell r="C253" t="str">
            <v>IMPT FEES RCD RESOTH</v>
          </cell>
          <cell r="D253">
            <v>94609021</v>
          </cell>
          <cell r="E253" t="str">
            <v>USD</v>
          </cell>
          <cell r="F253" t="str">
            <v>IMPORT FEE RECEIVED RES OTHER</v>
          </cell>
          <cell r="H253">
            <v>161229.49</v>
          </cell>
        </row>
        <row r="254">
          <cell r="A254">
            <v>575132</v>
          </cell>
          <cell r="B254" t="str">
            <v>L/C Import Fee Recd Fgn Ccy Non Res</v>
          </cell>
          <cell r="C254" t="str">
            <v>IMPT FEES RCD RESOTH</v>
          </cell>
          <cell r="D254">
            <v>94609101</v>
          </cell>
          <cell r="E254" t="str">
            <v>EUR</v>
          </cell>
          <cell r="F254" t="str">
            <v>IMPORT FEES RECEIVED RES OTHER</v>
          </cell>
          <cell r="H254">
            <v>57.22</v>
          </cell>
        </row>
        <row r="255">
          <cell r="A255">
            <v>575132</v>
          </cell>
          <cell r="B255" t="str">
            <v>L/C Import Fee Recd Fgn Ccy Non Res</v>
          </cell>
          <cell r="C255" t="str">
            <v>IMPT FEES RCDRSOTEEC</v>
          </cell>
          <cell r="D255">
            <v>94608021</v>
          </cell>
          <cell r="E255" t="str">
            <v>USD</v>
          </cell>
          <cell r="F255" t="str">
            <v>IMPORT FEE RECEIVED RES OTH EEC</v>
          </cell>
          <cell r="H255">
            <v>10450</v>
          </cell>
        </row>
        <row r="256">
          <cell r="A256">
            <v>575132</v>
          </cell>
          <cell r="B256" t="str">
            <v>L/C Import Fee Recd Fgn Ccy Non Res</v>
          </cell>
          <cell r="C256" t="str">
            <v>IMPT FEES RECD RESUK</v>
          </cell>
          <cell r="D256">
            <v>94606021</v>
          </cell>
          <cell r="E256" t="str">
            <v>USD</v>
          </cell>
          <cell r="F256" t="str">
            <v>IMPORT FEE RECEIVED RES UK</v>
          </cell>
          <cell r="H256">
            <v>106716.9</v>
          </cell>
        </row>
        <row r="257">
          <cell r="A257">
            <v>575132</v>
          </cell>
          <cell r="B257" t="str">
            <v>L/C Import Fee Recd Fgn Ccy Non Res</v>
          </cell>
          <cell r="C257" t="str">
            <v>IMPT FEES RECD RESUK</v>
          </cell>
          <cell r="D257">
            <v>94606041</v>
          </cell>
          <cell r="E257" t="str">
            <v>GBP</v>
          </cell>
          <cell r="F257" t="str">
            <v>IMPORT FEE RECEIVED RES UK</v>
          </cell>
          <cell r="H257">
            <v>61832.88</v>
          </cell>
        </row>
        <row r="258">
          <cell r="A258">
            <v>575132</v>
          </cell>
          <cell r="B258" t="str">
            <v>L/C Import Fee Recd Fgn Ccy Non Res</v>
          </cell>
          <cell r="C258" t="str">
            <v>IMPT FEES RECD RESUK</v>
          </cell>
          <cell r="D258">
            <v>94606101</v>
          </cell>
          <cell r="E258" t="str">
            <v>EUR</v>
          </cell>
          <cell r="F258" t="str">
            <v>IMPORT FEE RECEIVED RES UK</v>
          </cell>
          <cell r="H258">
            <v>3327.06</v>
          </cell>
        </row>
        <row r="259">
          <cell r="A259">
            <v>575132</v>
          </cell>
          <cell r="B259" t="str">
            <v>L/C Import Fee Recd Fgn Ccy Non Res</v>
          </cell>
          <cell r="C259" t="str">
            <v>SHD FEES RCD RES OTH</v>
          </cell>
          <cell r="D259">
            <v>97609021</v>
          </cell>
          <cell r="E259" t="str">
            <v>USD</v>
          </cell>
          <cell r="F259" t="str">
            <v>SHD - IMPORT FEE RECEIVED RES OTH</v>
          </cell>
          <cell r="H259">
            <v>58.98</v>
          </cell>
        </row>
        <row r="260">
          <cell r="A260">
            <v>575132</v>
          </cell>
          <cell r="B260" t="str">
            <v>L/C Import Fee Recd Fgn Ccy Non Res</v>
          </cell>
          <cell r="C260" t="str">
            <v>SHD FEES RCD RES OTH</v>
          </cell>
          <cell r="D260">
            <v>97609101</v>
          </cell>
          <cell r="E260" t="str">
            <v>EUR</v>
          </cell>
          <cell r="F260" t="str">
            <v>SHD-IMPORT FEES RECEIVED RES OTHER</v>
          </cell>
          <cell r="H260">
            <v>-57.22</v>
          </cell>
        </row>
        <row r="261">
          <cell r="A261">
            <v>575132</v>
          </cell>
          <cell r="B261" t="str">
            <v>L/C Import Fee Recd Fgn Ccy Non Res</v>
          </cell>
          <cell r="C261" t="str">
            <v>SHD FEES RECD RESUK</v>
          </cell>
          <cell r="D261">
            <v>97606021</v>
          </cell>
          <cell r="E261" t="str">
            <v>USD</v>
          </cell>
          <cell r="F261" t="str">
            <v>SHD - IMPORT FEE RECEIVED RES UK</v>
          </cell>
          <cell r="H261">
            <v>63507.13</v>
          </cell>
        </row>
        <row r="262">
          <cell r="A262">
            <v>575132</v>
          </cell>
          <cell r="B262" t="str">
            <v>L/C Import Fee Recd Fgn Ccy Non Res</v>
          </cell>
          <cell r="C262" t="str">
            <v>SHD FEES RECD RESUK</v>
          </cell>
          <cell r="D262">
            <v>97606041</v>
          </cell>
          <cell r="E262" t="str">
            <v>GBP</v>
          </cell>
          <cell r="F262" t="str">
            <v>SHD - IMPORT FEE RECEIVED RES UK</v>
          </cell>
          <cell r="H262">
            <v>-61832.88</v>
          </cell>
        </row>
        <row r="263">
          <cell r="A263">
            <v>575132</v>
          </cell>
          <cell r="B263" t="str">
            <v>L/C Import Fee Recd Fgn Ccy Non Res</v>
          </cell>
          <cell r="C263" t="str">
            <v>SHD FEES RECD RESUK</v>
          </cell>
          <cell r="D263">
            <v>97606101</v>
          </cell>
          <cell r="E263" t="str">
            <v>EUR</v>
          </cell>
          <cell r="F263" t="str">
            <v>SHD - IMPORT FEE RECEIVED RES UK</v>
          </cell>
          <cell r="H263">
            <v>-3327.06</v>
          </cell>
        </row>
        <row r="264">
          <cell r="A264">
            <v>575133</v>
          </cell>
          <cell r="B264" t="str">
            <v>Bank G'tee Fee Recd Fgn Ccy Non Resident</v>
          </cell>
          <cell r="C264" t="str">
            <v>BK GUARFEE RCD RESUK</v>
          </cell>
          <cell r="D264">
            <v>94616021</v>
          </cell>
          <cell r="E264" t="str">
            <v>USD</v>
          </cell>
          <cell r="F264" t="str">
            <v>BANK GUARANTEE FEE RECEIVED RES UK</v>
          </cell>
          <cell r="H264">
            <v>2809</v>
          </cell>
        </row>
        <row r="265">
          <cell r="A265">
            <v>575133</v>
          </cell>
          <cell r="B265" t="str">
            <v>Bank G'tee Fee Recd Fgn Ccy Non Resident</v>
          </cell>
          <cell r="C265" t="str">
            <v>BK GUARFEE RCD RESUK</v>
          </cell>
          <cell r="D265">
            <v>94616041</v>
          </cell>
          <cell r="E265" t="str">
            <v>GBP</v>
          </cell>
          <cell r="F265" t="str">
            <v>BANK GUARANTEE FEE RECEIVED RES UK</v>
          </cell>
          <cell r="H265">
            <v>5777.1</v>
          </cell>
        </row>
        <row r="266">
          <cell r="A266">
            <v>575133</v>
          </cell>
          <cell r="B266" t="str">
            <v>Bank G'tee Fee Recd Fgn Ccy Non Resident</v>
          </cell>
          <cell r="C266" t="str">
            <v>SHD BK GRTYFEE R UK</v>
          </cell>
          <cell r="D266">
            <v>97616021</v>
          </cell>
          <cell r="E266" t="str">
            <v>USD</v>
          </cell>
          <cell r="F266" t="str">
            <v>SHD - BANK GUARANTEE FEE RECD RES UK</v>
          </cell>
          <cell r="H266">
            <v>5584.72</v>
          </cell>
        </row>
        <row r="267">
          <cell r="A267">
            <v>575133</v>
          </cell>
          <cell r="B267" t="str">
            <v>Bank G'tee Fee Recd Fgn Ccy Non Resident</v>
          </cell>
          <cell r="C267" t="str">
            <v>SHD BK GRTYFEE R UK</v>
          </cell>
          <cell r="D267">
            <v>97616041</v>
          </cell>
          <cell r="E267" t="str">
            <v>GBP</v>
          </cell>
          <cell r="F267" t="str">
            <v>SHD - BK GUARANTEE FEE RECEIVED RES UK</v>
          </cell>
          <cell r="H267">
            <v>-5777.1</v>
          </cell>
        </row>
        <row r="268">
          <cell r="A268">
            <v>575142</v>
          </cell>
          <cell r="B268" t="str">
            <v>Collection Fee Recd Fgn Ccy Non Resident</v>
          </cell>
          <cell r="C268" t="str">
            <v>COLL FEE RECD RES UK</v>
          </cell>
          <cell r="D268">
            <v>94621021</v>
          </cell>
          <cell r="E268" t="str">
            <v>USD</v>
          </cell>
          <cell r="F268" t="str">
            <v>COLLECTION FEE RECEIVED RES UK</v>
          </cell>
          <cell r="H268">
            <v>109553.52</v>
          </cell>
        </row>
        <row r="269">
          <cell r="A269">
            <v>575142</v>
          </cell>
          <cell r="B269" t="str">
            <v>Collection Fee Recd Fgn Ccy Non Resident</v>
          </cell>
          <cell r="C269" t="str">
            <v>COLL FEE RECD RES UK</v>
          </cell>
          <cell r="D269">
            <v>94621041</v>
          </cell>
          <cell r="E269" t="str">
            <v>GBP</v>
          </cell>
          <cell r="F269" t="str">
            <v>COLLECTION FEE RECEIVED RES UK</v>
          </cell>
          <cell r="H269">
            <v>20646</v>
          </cell>
        </row>
        <row r="270">
          <cell r="A270">
            <v>575142</v>
          </cell>
          <cell r="B270" t="str">
            <v>Collection Fee Recd Fgn Ccy Non Resident</v>
          </cell>
          <cell r="C270" t="str">
            <v>COLL FEE RECD RESOTH</v>
          </cell>
          <cell r="D270">
            <v>94624021</v>
          </cell>
          <cell r="E270" t="str">
            <v>USD</v>
          </cell>
          <cell r="F270" t="str">
            <v>COLLECTION FEE RECEIVED RES OTHER</v>
          </cell>
          <cell r="H270">
            <v>130</v>
          </cell>
        </row>
        <row r="271">
          <cell r="A271">
            <v>575142</v>
          </cell>
          <cell r="B271" t="str">
            <v>Collection Fee Recd Fgn Ccy Non Resident</v>
          </cell>
          <cell r="C271" t="str">
            <v>SHD FEE RECD RES UK</v>
          </cell>
          <cell r="D271">
            <v>97621021</v>
          </cell>
          <cell r="E271" t="str">
            <v>USD</v>
          </cell>
          <cell r="F271" t="str">
            <v>SHD - COLLECTION FEE RECEIVED RES UK</v>
          </cell>
          <cell r="H271">
            <v>20471.66</v>
          </cell>
        </row>
        <row r="272">
          <cell r="A272">
            <v>575142</v>
          </cell>
          <cell r="B272" t="str">
            <v>Collection Fee Recd Fgn Ccy Non Resident</v>
          </cell>
          <cell r="C272" t="str">
            <v>SHD FEE RECD RES UK</v>
          </cell>
          <cell r="D272">
            <v>97621041</v>
          </cell>
          <cell r="E272" t="str">
            <v>GBP</v>
          </cell>
          <cell r="F272" t="str">
            <v>SHD - COLLECTION FEE RECEIVED RES UK</v>
          </cell>
          <cell r="H272">
            <v>-20646</v>
          </cell>
        </row>
        <row r="273">
          <cell r="A273">
            <v>575149</v>
          </cell>
          <cell r="B273" t="str">
            <v>Other Fees &amp; Comms Recd Non Res Fgn Ccy</v>
          </cell>
          <cell r="C273" t="str">
            <v>ACC FEE RECD RES UK</v>
          </cell>
          <cell r="D273">
            <v>94751021</v>
          </cell>
          <cell r="E273" t="str">
            <v>USD</v>
          </cell>
          <cell r="F273" t="str">
            <v>ACCEPTANCE FEE RECEIVED RES UK</v>
          </cell>
          <cell r="H273">
            <v>439.33</v>
          </cell>
        </row>
        <row r="274">
          <cell r="A274">
            <v>575149</v>
          </cell>
          <cell r="B274" t="str">
            <v>Other Fees &amp; Comms Recd Non Res Fgn Ccy</v>
          </cell>
          <cell r="C274" t="str">
            <v>DEBT SALES FEE EEC</v>
          </cell>
          <cell r="D274">
            <v>94773021</v>
          </cell>
          <cell r="E274" t="str">
            <v>USD</v>
          </cell>
          <cell r="F274" t="str">
            <v>DEBT SALES FEE RECEIVED RES OTH EEC</v>
          </cell>
          <cell r="H274">
            <v>13369.24</v>
          </cell>
        </row>
        <row r="275">
          <cell r="A275">
            <v>575149</v>
          </cell>
          <cell r="B275" t="str">
            <v>Other Fees &amp; Comms Recd Non Res Fgn Ccy</v>
          </cell>
          <cell r="C275" t="str">
            <v>DEBT SALES FEE UK</v>
          </cell>
          <cell r="D275">
            <v>94771021</v>
          </cell>
          <cell r="E275" t="str">
            <v>USD</v>
          </cell>
          <cell r="F275" t="str">
            <v>DEBT SALES FEE RECEIVED RES UK</v>
          </cell>
          <cell r="H275">
            <v>144559.38</v>
          </cell>
        </row>
        <row r="276">
          <cell r="A276">
            <v>575149</v>
          </cell>
          <cell r="B276" t="str">
            <v>Other Fees &amp; Comms Recd Non Res Fgn Ccy</v>
          </cell>
          <cell r="C276" t="str">
            <v>FRONT END FEE EEC</v>
          </cell>
          <cell r="D276">
            <v>94768021</v>
          </cell>
          <cell r="E276" t="str">
            <v>USD</v>
          </cell>
          <cell r="F276" t="str">
            <v>FRONT END FEE RECEIVED RES OTHER EEC</v>
          </cell>
          <cell r="H276">
            <v>13527.71</v>
          </cell>
        </row>
        <row r="277">
          <cell r="A277">
            <v>575149</v>
          </cell>
          <cell r="B277" t="str">
            <v>Other Fees &amp; Comms Recd Non Res Fgn Ccy</v>
          </cell>
          <cell r="C277" t="str">
            <v>FRONT END FEE OTHER</v>
          </cell>
          <cell r="D277">
            <v>94769021</v>
          </cell>
          <cell r="E277" t="str">
            <v>USD</v>
          </cell>
          <cell r="F277" t="str">
            <v>FRONT END FEE RECEIVED RES OTHER</v>
          </cell>
          <cell r="H277">
            <v>9250</v>
          </cell>
        </row>
        <row r="278">
          <cell r="A278">
            <v>575149</v>
          </cell>
          <cell r="B278" t="str">
            <v>Other Fees &amp; Comms Recd Non Res Fgn Ccy</v>
          </cell>
          <cell r="C278" t="str">
            <v>FRONT END FEE UK</v>
          </cell>
          <cell r="D278">
            <v>94766021</v>
          </cell>
          <cell r="E278" t="str">
            <v>USD</v>
          </cell>
          <cell r="F278" t="str">
            <v>FRONT END FEE RECEIVED RES UK</v>
          </cell>
          <cell r="H278">
            <v>303134.21000000002</v>
          </cell>
        </row>
        <row r="279">
          <cell r="A279">
            <v>575149</v>
          </cell>
          <cell r="B279" t="str">
            <v>Other Fees &amp; Comms Recd Non Res Fgn Ccy</v>
          </cell>
          <cell r="C279" t="str">
            <v>FRONT END FEE UK</v>
          </cell>
          <cell r="D279">
            <v>94766041</v>
          </cell>
          <cell r="E279" t="str">
            <v>GBP</v>
          </cell>
          <cell r="F279" t="str">
            <v>FRONT END FEE RECEIVED RES UK</v>
          </cell>
          <cell r="H279">
            <v>12379.5</v>
          </cell>
        </row>
        <row r="280">
          <cell r="A280">
            <v>575149</v>
          </cell>
          <cell r="B280" t="str">
            <v>Other Fees &amp; Comms Recd Non Res Fgn Ccy</v>
          </cell>
          <cell r="C280" t="str">
            <v>OTH FEE RECD RES OTH</v>
          </cell>
          <cell r="D280">
            <v>94134021</v>
          </cell>
          <cell r="E280" t="str">
            <v>USD</v>
          </cell>
          <cell r="F280" t="str">
            <v>OTHER FEE RECEIVED RES OTHER</v>
          </cell>
          <cell r="H280">
            <v>100</v>
          </cell>
        </row>
        <row r="281">
          <cell r="A281">
            <v>575149</v>
          </cell>
          <cell r="B281" t="str">
            <v>Other Fees &amp; Comms Recd Non Res Fgn Ccy</v>
          </cell>
          <cell r="C281" t="str">
            <v>OTH FEE RECD RES UK</v>
          </cell>
          <cell r="D281">
            <v>94131021</v>
          </cell>
          <cell r="E281" t="str">
            <v>USD</v>
          </cell>
          <cell r="F281" t="str">
            <v>OTHER FEE RECEIVED RES UK</v>
          </cell>
          <cell r="H281">
            <v>3980</v>
          </cell>
        </row>
        <row r="282">
          <cell r="A282">
            <v>575149</v>
          </cell>
          <cell r="B282" t="str">
            <v>Other Fees &amp; Comms Recd Non Res Fgn Ccy</v>
          </cell>
          <cell r="C282" t="str">
            <v>OTH FEE RECD RES UK</v>
          </cell>
          <cell r="D282">
            <v>94131041</v>
          </cell>
          <cell r="E282" t="str">
            <v>GBP</v>
          </cell>
          <cell r="F282" t="str">
            <v>OTHER FEE RECEIVED RES UK</v>
          </cell>
          <cell r="H282">
            <v>123.8</v>
          </cell>
        </row>
        <row r="283">
          <cell r="A283">
            <v>575149</v>
          </cell>
          <cell r="B283" t="str">
            <v>Other Fees &amp; Comms Recd Non Res Fgn Ccy</v>
          </cell>
          <cell r="C283" t="str">
            <v>SHD-FRONT END FEE UK</v>
          </cell>
          <cell r="D283">
            <v>97766021</v>
          </cell>
          <cell r="E283" t="str">
            <v>USD</v>
          </cell>
          <cell r="F283" t="str">
            <v>SHD - FRONT END FEE RECEIVED RES UK</v>
          </cell>
          <cell r="H283">
            <v>12146.5</v>
          </cell>
        </row>
        <row r="284">
          <cell r="A284">
            <v>575149</v>
          </cell>
          <cell r="B284" t="str">
            <v>Other Fees &amp; Comms Recd Non Res Fgn Ccy</v>
          </cell>
          <cell r="C284" t="str">
            <v>SHD-FRONT END FEE UK</v>
          </cell>
          <cell r="D284">
            <v>97766041</v>
          </cell>
          <cell r="E284" t="str">
            <v>GBP</v>
          </cell>
          <cell r="F284" t="str">
            <v>SHD - FRONT END FEE RECIVED RES UK</v>
          </cell>
          <cell r="H284">
            <v>-12379.5</v>
          </cell>
        </row>
        <row r="285">
          <cell r="A285">
            <v>575149</v>
          </cell>
          <cell r="B285" t="str">
            <v>Other Fees &amp; Comms Recd Non Res Fgn Ccy</v>
          </cell>
          <cell r="C285" t="str">
            <v>SHD-OTH FEE RECD UK</v>
          </cell>
          <cell r="D285">
            <v>97131021</v>
          </cell>
          <cell r="E285" t="str">
            <v>USD</v>
          </cell>
          <cell r="F285" t="str">
            <v>SHD - OTHER FEE RECEIVED RES UK</v>
          </cell>
          <cell r="H285">
            <v>118.34</v>
          </cell>
        </row>
        <row r="286">
          <cell r="A286">
            <v>575149</v>
          </cell>
          <cell r="B286" t="str">
            <v>Other Fees &amp; Comms Recd Non Res Fgn Ccy</v>
          </cell>
          <cell r="C286" t="str">
            <v>SHD-OTH FEE RECD UK</v>
          </cell>
          <cell r="D286">
            <v>97131041</v>
          </cell>
          <cell r="E286" t="str">
            <v>GBP</v>
          </cell>
          <cell r="F286" t="str">
            <v>SHD - OTHER FEE RECEIVED RES UK</v>
          </cell>
          <cell r="H286">
            <v>-123.8</v>
          </cell>
        </row>
        <row r="287">
          <cell r="A287">
            <v>585229</v>
          </cell>
          <cell r="B287" t="str">
            <v>Other Operational Income Fgn Ccy Res Ind</v>
          </cell>
          <cell r="C287" t="str">
            <v>MNYTF FEE RCD RESIND</v>
          </cell>
          <cell r="D287">
            <v>94817021</v>
          </cell>
          <cell r="E287" t="str">
            <v>USD</v>
          </cell>
          <cell r="F287" t="str">
            <v>MONEY TRANSFER FEE RECEIVED RES IND</v>
          </cell>
          <cell r="H287">
            <v>60</v>
          </cell>
        </row>
        <row r="288">
          <cell r="A288">
            <v>585229</v>
          </cell>
          <cell r="B288" t="str">
            <v>Other Operational Income Fgn Ccy Res Ind</v>
          </cell>
          <cell r="C288" t="str">
            <v>MNYTF FEE RCD RESIND</v>
          </cell>
          <cell r="D288">
            <v>94817041</v>
          </cell>
          <cell r="E288" t="str">
            <v>GBP</v>
          </cell>
          <cell r="F288" t="str">
            <v>MONEY TRANSFER FEE RECEIVED RES IND</v>
          </cell>
          <cell r="H288">
            <v>16885.64</v>
          </cell>
        </row>
        <row r="289">
          <cell r="A289">
            <v>585229</v>
          </cell>
          <cell r="B289" t="str">
            <v>Other Operational Income Fgn Ccy Res Ind</v>
          </cell>
          <cell r="C289" t="str">
            <v>MNYTF FEE RCD RESIND</v>
          </cell>
          <cell r="D289">
            <v>94817101</v>
          </cell>
          <cell r="E289" t="str">
            <v>EUR</v>
          </cell>
          <cell r="F289" t="str">
            <v>MONEY TRANSFER FEE RECEIVED RES IND</v>
          </cell>
          <cell r="H289">
            <v>143.04</v>
          </cell>
        </row>
        <row r="290">
          <cell r="A290">
            <v>585229</v>
          </cell>
          <cell r="B290" t="str">
            <v>Other Operational Income Fgn Ccy Res Ind</v>
          </cell>
          <cell r="C290" t="str">
            <v>SHD-MNYTFR FEERECIND</v>
          </cell>
          <cell r="D290">
            <v>97817021</v>
          </cell>
          <cell r="E290" t="str">
            <v>USD</v>
          </cell>
          <cell r="F290" t="str">
            <v>SHD-NONEY TRANSFER FEE RECD RES IND</v>
          </cell>
          <cell r="H290">
            <v>16715.189999999999</v>
          </cell>
        </row>
        <row r="291">
          <cell r="A291">
            <v>585229</v>
          </cell>
          <cell r="B291" t="str">
            <v>Other Operational Income Fgn Ccy Res Ind</v>
          </cell>
          <cell r="C291" t="str">
            <v>SHD-MNYTFR FEERECIND</v>
          </cell>
          <cell r="D291">
            <v>97817041</v>
          </cell>
          <cell r="E291" t="str">
            <v>GBP</v>
          </cell>
          <cell r="F291" t="str">
            <v>SHD - MONEY TRANSFER FEE RECD RES IND</v>
          </cell>
          <cell r="H291">
            <v>-16885.64</v>
          </cell>
        </row>
        <row r="292">
          <cell r="A292">
            <v>585229</v>
          </cell>
          <cell r="B292" t="str">
            <v>Other Operational Income Fgn Ccy Res Ind</v>
          </cell>
          <cell r="C292" t="str">
            <v>SHD-MNYTFR FEERECIND</v>
          </cell>
          <cell r="D292">
            <v>97817101</v>
          </cell>
          <cell r="E292" t="str">
            <v>EUR</v>
          </cell>
          <cell r="F292" t="str">
            <v>SHD MONEY TRANSFER FEE RECEIVED RED IND</v>
          </cell>
          <cell r="H292">
            <v>-143.04</v>
          </cell>
        </row>
        <row r="293">
          <cell r="A293">
            <v>585231</v>
          </cell>
          <cell r="B293" t="str">
            <v>Profit Foreign Exchange Trading Non Res</v>
          </cell>
          <cell r="C293" t="str">
            <v>FX REVAL -SPOT POSTN</v>
          </cell>
          <cell r="D293">
            <v>94110021</v>
          </cell>
          <cell r="E293" t="str">
            <v>USD</v>
          </cell>
          <cell r="F293" t="str">
            <v>FX REVALUATION - SPOT EXCHANGE POSITION</v>
          </cell>
          <cell r="H293">
            <v>50048.24</v>
          </cell>
        </row>
        <row r="294">
          <cell r="A294">
            <v>585231</v>
          </cell>
          <cell r="B294" t="str">
            <v>Profit Foreign Exchange Trading Non Res</v>
          </cell>
          <cell r="C294" t="str">
            <v>FX REVAL-FWD POSTN</v>
          </cell>
          <cell r="D294">
            <v>94116021</v>
          </cell>
          <cell r="E294" t="str">
            <v>USD</v>
          </cell>
          <cell r="F294" t="str">
            <v>FWD REVALUATION-FORWARD EXCHANGE POSITN</v>
          </cell>
          <cell r="H294">
            <v>1404.56</v>
          </cell>
        </row>
        <row r="295">
          <cell r="A295">
            <v>585240</v>
          </cell>
          <cell r="B295" t="str">
            <v>Money Transfer Fee Recd Fgn Ccy Non Res</v>
          </cell>
          <cell r="C295" t="str">
            <v>MNYTF FEE RCD RESOTH</v>
          </cell>
          <cell r="D295">
            <v>94819021</v>
          </cell>
          <cell r="E295" t="str">
            <v>USD</v>
          </cell>
          <cell r="F295" t="str">
            <v>MONEY TRANSFER FEE RECEIVED RES OTHER</v>
          </cell>
          <cell r="H295">
            <v>19544</v>
          </cell>
        </row>
        <row r="296">
          <cell r="A296">
            <v>585240</v>
          </cell>
          <cell r="B296" t="str">
            <v>Money Transfer Fee Recd Fgn Ccy Non Res</v>
          </cell>
          <cell r="C296" t="str">
            <v>MNYTF FEE RCD RESOTH</v>
          </cell>
          <cell r="D296">
            <v>94819041</v>
          </cell>
          <cell r="E296" t="str">
            <v>GBP</v>
          </cell>
          <cell r="F296" t="str">
            <v>MONEY TRANSFER FEE RECEIVED RES OTHER</v>
          </cell>
          <cell r="H296">
            <v>198.07</v>
          </cell>
        </row>
        <row r="297">
          <cell r="A297">
            <v>585240</v>
          </cell>
          <cell r="B297" t="str">
            <v>Money Transfer Fee Recd Fgn Ccy Non Res</v>
          </cell>
          <cell r="C297" t="str">
            <v>MNYTF FEE RCDRSOTEEC</v>
          </cell>
          <cell r="D297">
            <v>94818021</v>
          </cell>
          <cell r="E297" t="str">
            <v>USD</v>
          </cell>
          <cell r="F297" t="str">
            <v>MONEY TRANSFER FEE RECEIVED RES OTH EEC</v>
          </cell>
          <cell r="H297">
            <v>2448</v>
          </cell>
        </row>
        <row r="298">
          <cell r="A298">
            <v>585240</v>
          </cell>
          <cell r="B298" t="str">
            <v>Money Transfer Fee Recd Fgn Ccy Non Res</v>
          </cell>
          <cell r="C298" t="str">
            <v>MNYTF FEE RCDRSOTEEC</v>
          </cell>
          <cell r="D298">
            <v>94818101</v>
          </cell>
          <cell r="E298" t="str">
            <v>EUR</v>
          </cell>
          <cell r="F298" t="str">
            <v>MONEY TRANSFER FEE RECEIVED RES OTH EEC</v>
          </cell>
          <cell r="H298">
            <v>1802.27</v>
          </cell>
        </row>
        <row r="299">
          <cell r="A299">
            <v>585240</v>
          </cell>
          <cell r="B299" t="str">
            <v>Money Transfer Fee Recd Fgn Ccy Non Res</v>
          </cell>
          <cell r="C299" t="str">
            <v>MNYTFR FEE RCD RESUK</v>
          </cell>
          <cell r="D299">
            <v>94816021</v>
          </cell>
          <cell r="E299" t="str">
            <v>USD</v>
          </cell>
          <cell r="F299" t="str">
            <v>MONEY TRANSFER FEE RECEIVED RES UK</v>
          </cell>
          <cell r="H299">
            <v>8872</v>
          </cell>
        </row>
        <row r="300">
          <cell r="A300">
            <v>585240</v>
          </cell>
          <cell r="B300" t="str">
            <v>Money Transfer Fee Recd Fgn Ccy Non Res</v>
          </cell>
          <cell r="C300" t="str">
            <v>MNYTFR FEE RCD RESUK</v>
          </cell>
          <cell r="D300">
            <v>94816041</v>
          </cell>
          <cell r="E300" t="str">
            <v>GBP</v>
          </cell>
          <cell r="F300" t="str">
            <v>MONEY TRANSFER FEE RECEIVED RES UK</v>
          </cell>
          <cell r="H300">
            <v>5618.64</v>
          </cell>
        </row>
        <row r="301">
          <cell r="A301">
            <v>585240</v>
          </cell>
          <cell r="B301" t="str">
            <v>Money Transfer Fee Recd Fgn Ccy Non Res</v>
          </cell>
          <cell r="C301" t="str">
            <v>MNYTFR FEE RCD RESUK</v>
          </cell>
          <cell r="D301">
            <v>94816101</v>
          </cell>
          <cell r="E301" t="str">
            <v>EUR</v>
          </cell>
          <cell r="F301" t="str">
            <v>MONEY TRANSFER FEE RECEIVED RES UK</v>
          </cell>
          <cell r="H301">
            <v>114.43</v>
          </cell>
        </row>
        <row r="302">
          <cell r="A302">
            <v>585240</v>
          </cell>
          <cell r="B302" t="str">
            <v>Money Transfer Fee Recd Fgn Ccy Non Res</v>
          </cell>
          <cell r="C302" t="str">
            <v>SHD-MNY TFR FEE RECD</v>
          </cell>
          <cell r="D302">
            <v>97816021</v>
          </cell>
          <cell r="E302" t="str">
            <v>USD</v>
          </cell>
          <cell r="F302" t="str">
            <v>SHD - MONEY TRANSFER FEE RECEIVED RES UK</v>
          </cell>
          <cell r="H302">
            <v>5658.4</v>
          </cell>
        </row>
        <row r="303">
          <cell r="A303">
            <v>585240</v>
          </cell>
          <cell r="B303" t="str">
            <v>Money Transfer Fee Recd Fgn Ccy Non Res</v>
          </cell>
          <cell r="C303" t="str">
            <v>SHD-MNY TFR FEE RECD</v>
          </cell>
          <cell r="D303">
            <v>97816041</v>
          </cell>
          <cell r="E303" t="str">
            <v>GBP</v>
          </cell>
          <cell r="F303" t="str">
            <v>SHD - MONEY TRANSFER FEE RECEIVED RES UK</v>
          </cell>
          <cell r="H303">
            <v>-5618.64</v>
          </cell>
        </row>
        <row r="304">
          <cell r="A304">
            <v>585240</v>
          </cell>
          <cell r="B304" t="str">
            <v>Money Transfer Fee Recd Fgn Ccy Non Res</v>
          </cell>
          <cell r="C304" t="str">
            <v>SHD-MNY TFR FEE RECD</v>
          </cell>
          <cell r="D304">
            <v>97816101</v>
          </cell>
          <cell r="E304" t="str">
            <v>EUR</v>
          </cell>
          <cell r="F304" t="str">
            <v>SHD-MONEY TRANSFER FEE RECEIVED RES UK</v>
          </cell>
          <cell r="H304">
            <v>-114.43</v>
          </cell>
        </row>
        <row r="305">
          <cell r="A305">
            <v>585240</v>
          </cell>
          <cell r="B305" t="str">
            <v>Money Transfer Fee Recd Fgn Ccy Non Res</v>
          </cell>
          <cell r="C305" t="str">
            <v>SHD-MNYTFR FEERECEEC</v>
          </cell>
          <cell r="D305">
            <v>97818021</v>
          </cell>
          <cell r="E305" t="str">
            <v>USD</v>
          </cell>
          <cell r="F305" t="str">
            <v>SHD - MONEY TFR FEE RECEIVED RES OTH EEC</v>
          </cell>
          <cell r="H305">
            <v>1821.69</v>
          </cell>
        </row>
        <row r="306">
          <cell r="A306">
            <v>585240</v>
          </cell>
          <cell r="B306" t="str">
            <v>Money Transfer Fee Recd Fgn Ccy Non Res</v>
          </cell>
          <cell r="C306" t="str">
            <v>SHD-MNYTFR FEERECEEC</v>
          </cell>
          <cell r="D306">
            <v>97818101</v>
          </cell>
          <cell r="E306" t="str">
            <v>EUR</v>
          </cell>
          <cell r="F306" t="str">
            <v>SHD-MONEY TRANSFER FEE RECD RES OTH EEC</v>
          </cell>
          <cell r="H306">
            <v>-1802.27</v>
          </cell>
        </row>
        <row r="307">
          <cell r="A307">
            <v>585240</v>
          </cell>
          <cell r="B307" t="str">
            <v>Money Transfer Fee Recd Fgn Ccy Non Res</v>
          </cell>
          <cell r="C307" t="str">
            <v>SHD-MNYTFR FEERECOTH</v>
          </cell>
          <cell r="D307">
            <v>97819021</v>
          </cell>
          <cell r="E307" t="str">
            <v>USD</v>
          </cell>
          <cell r="F307" t="str">
            <v>SHD - NONEY TRANSFER FEE RECD RES OTH</v>
          </cell>
          <cell r="H307">
            <v>197.88</v>
          </cell>
        </row>
        <row r="308">
          <cell r="A308">
            <v>585240</v>
          </cell>
          <cell r="B308" t="str">
            <v>Money Transfer Fee Recd Fgn Ccy Non Res</v>
          </cell>
          <cell r="C308" t="str">
            <v>SHD-MNYTFR FEERECOTH</v>
          </cell>
          <cell r="D308">
            <v>97819041</v>
          </cell>
          <cell r="E308" t="str">
            <v>GBP</v>
          </cell>
          <cell r="F308" t="str">
            <v>SHD - MONEY TRANSFER FEE RECD RES OTHER</v>
          </cell>
          <cell r="H308">
            <v>-198.07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Y ADMIN"/>
      <sheetName val="Ex_Rate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SPI"/>
      <sheetName val="LTLGroup-Trans"/>
      <sheetName val="TB-WP"/>
      <sheetName val="E-1-1"/>
      <sheetName val="Checker"/>
      <sheetName val="DbKtr"/>
      <sheetName val="LTLGroup"/>
      <sheetName val="WBS1"/>
      <sheetName val="FA sd APRIL 07"/>
      <sheetName val="BS final"/>
      <sheetName val="#REF"/>
      <sheetName val="Ekuita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G02"/>
      <sheetName val="Koreksi RAK"/>
      <sheetName val="Koreksi Audit"/>
      <sheetName val="WorkSheet"/>
      <sheetName val="NAktiva"/>
      <sheetName val="NPasiva"/>
      <sheetName val="Rugi Laba"/>
      <sheetName val="Ekuitas"/>
      <sheetName val="Arus Kas"/>
      <sheetName val="2001"/>
      <sheetName val="Aktap"/>
      <sheetName val="Rumus"/>
      <sheetName val="Neraca"/>
      <sheetName val="ADM"/>
      <sheetName val="Print-Rin.Psv"/>
      <sheetName val="Print-Rin.Akt"/>
      <sheetName val="input-Rin.Psv"/>
      <sheetName val="input-Rin.Akt"/>
      <sheetName val="input-So.AKT"/>
      <sheetName val="Input-So.PAS"/>
      <sheetName val="Input-RAK Debet"/>
      <sheetName val="Input-RAK Kredit"/>
      <sheetName val="input-Adm"/>
      <sheetName val="Data-Syariah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V000"/>
      <sheetName val="pldt"/>
      <sheetName val="P-1.1 Update"/>
      <sheetName val="Uang Muka Operasi"/>
      <sheetName val="Vouching Add. FA"/>
      <sheetName val="Koreksi Uang Muka "/>
      <sheetName val="Analytical Review-MTCont"/>
      <sheetName val="Uang Muka Sewa Lahan"/>
      <sheetName val="Review Notes to DD"/>
      <sheetName val="Point to be discussed w Client"/>
      <sheetName val="FA Fiscal MTCont 2003"/>
      <sheetName val="Deferred Tax Calculation MTCont"/>
      <sheetName val="CF"/>
      <sheetName val="Materiality &amp; TE"/>
      <sheetName val="cf calculation"/>
      <sheetName val="PRJE'03"/>
      <sheetName val="PAJE'03"/>
      <sheetName val="CAJE'03"/>
      <sheetName val="To do List for Team"/>
      <sheetName val="Pending Items"/>
      <sheetName val="Basis Reclass Uang Muka"/>
      <sheetName val="Worksheet-03"/>
      <sheetName val="Analy Rvw"/>
      <sheetName val="PAJE-02"/>
      <sheetName val="PRJE-02"/>
      <sheetName val="CAJE-02"/>
      <sheetName val="C"/>
      <sheetName val="CC"/>
      <sheetName val="D"/>
      <sheetName val="DD"/>
      <sheetName val="E"/>
      <sheetName val="E-1"/>
      <sheetName val="Sorted by USD E-1.1"/>
      <sheetName val="Sorted by IDR E-1.2"/>
      <sheetName val="AR-Aging IDR E-2 p.1"/>
      <sheetName val="AR-Aging USD E-2 p.2 "/>
      <sheetName val="Subsequent IDR E-3 p.1"/>
      <sheetName val="Subsequent USD E-3 p.2"/>
      <sheetName val="E-4"/>
      <sheetName val="E-4.1"/>
      <sheetName val="EE"/>
      <sheetName val="F"/>
      <sheetName val="F-1"/>
      <sheetName val="Stock take result F-1.1"/>
      <sheetName val="G"/>
      <sheetName val="G-2"/>
      <sheetName val="G-3"/>
      <sheetName val="H"/>
      <sheetName val="II"/>
      <sheetName val="I"/>
      <sheetName val="J"/>
      <sheetName val="Predictive Test Sewa Lahan"/>
      <sheetName val="Predictive sewa lahan J 5-1"/>
      <sheetName val="JJ"/>
      <sheetName val="pred. insurance"/>
      <sheetName val="Predictive of insurance"/>
      <sheetName val="Data polis"/>
      <sheetName val="Insurred Aktiva"/>
      <sheetName val="Harga perolehan"/>
      <sheetName val="Predict depre"/>
      <sheetName val="K coba"/>
      <sheetName val="K"/>
      <sheetName val="trial K-3"/>
      <sheetName val="K-1"/>
      <sheetName val="L"/>
      <sheetName val="M"/>
      <sheetName val="Sheet1"/>
      <sheetName val="N"/>
      <sheetName val="NN-3"/>
      <sheetName val="O"/>
      <sheetName val="N-4"/>
      <sheetName val="P-1.1"/>
      <sheetName val="P-1"/>
      <sheetName val="P-2"/>
      <sheetName val="P-3"/>
      <sheetName val=" Q"/>
      <sheetName val="Movement of Bank Loan Q-1"/>
      <sheetName val="Movement of Leasing Q-2"/>
      <sheetName val="Interest exp Q-3"/>
      <sheetName val="QQ-3"/>
      <sheetName val="Current Leasing Q-4"/>
      <sheetName val="R"/>
      <sheetName val="Perhit. def tax R-1"/>
      <sheetName val="T"/>
      <sheetName val="TT-1"/>
      <sheetName val="T-1"/>
      <sheetName val="Penjelasan Net"/>
      <sheetName val="U-1"/>
      <sheetName val="U-2"/>
      <sheetName val="U-3"/>
      <sheetName val="U-4"/>
      <sheetName val="U-4.1"/>
      <sheetName val="U-5"/>
      <sheetName val="FISCAL 2002"/>
      <sheetName val="Table of Contents"/>
      <sheetName val="Wrap Up"/>
      <sheetName val="Labarugi fiskal"/>
      <sheetName val="Neraca fiskal"/>
      <sheetName val="fa-fiscal"/>
      <sheetName val="Penambahan FA"/>
      <sheetName val="Penj. AT_Fiskal"/>
      <sheetName val="NBV-Fiskal Sewa Lahan"/>
      <sheetName val="Daftar Karyawan yang keluar"/>
      <sheetName val="Amortisasi sewa lahan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er"/>
    </sheetNames>
    <sheetDataSet>
      <sheetData sheetId="0" refreshError="1">
        <row r="1">
          <cell r="A1" t="str">
            <v>PT RATU AGUNG SAYANG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rnal AAl &gt; cost ke equity"/>
      <sheetName val="jornal"/>
      <sheetName val="TB"/>
      <sheetName val="Pos"/>
      <sheetName val="BS"/>
      <sheetName val="RL-PRINT"/>
      <sheetName val="Eliminasi"/>
      <sheetName val="RL-Product"/>
      <sheetName val="komp"/>
      <sheetName val="INV"/>
      <sheetName val="Inv-PT"/>
      <sheetName val="data"/>
      <sheetName val="Makro"/>
      <sheetName val="Segmen Usaha"/>
      <sheetName val="lain2"/>
      <sheetName val="RL-PRINT -checked"/>
      <sheetName val="TB checked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/>
      <sheetData sheetId="12" refreshError="1"/>
      <sheetData sheetId="13" refreshError="1"/>
      <sheetData sheetId="14" refreshError="1"/>
      <sheetData sheetId="15"/>
      <sheetData sheetId="1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BS"/>
      <sheetName val="IS"/>
      <sheetName val="EQ"/>
      <sheetName val="CF"/>
      <sheetName val="Work Sheet - CF"/>
      <sheetName val="Notes"/>
      <sheetName val="KKN"/>
      <sheetName val="RJE DES"/>
      <sheetName val="RJE Nop"/>
      <sheetName val="AJE"/>
      <sheetName val="CAJE"/>
      <sheetName val="RJE 2009"/>
      <sheetName val="6 300_3_1 Pajak Tangguhan"/>
      <sheetName val="6 300_3_3 REKAP_REKON PAJAK_09"/>
      <sheetName val="00000000"/>
      <sheetName val="10000000"/>
      <sheetName val="20000000"/>
      <sheetName val="6 300_3_3 REKAP_REKON PAJAK 10"/>
      <sheetName val="Embed"/>
    </sheetNames>
    <sheetDataSet>
      <sheetData sheetId="0" refreshError="1"/>
      <sheetData sheetId="1">
        <row r="29">
          <cell r="F29">
            <v>17740029425.099998</v>
          </cell>
        </row>
      </sheetData>
      <sheetData sheetId="2"/>
      <sheetData sheetId="3"/>
      <sheetData sheetId="4"/>
      <sheetData sheetId="5"/>
      <sheetData sheetId="6">
        <row r="745">
          <cell r="X745">
            <v>2092363841</v>
          </cell>
        </row>
      </sheetData>
      <sheetData sheetId="7">
        <row r="51">
          <cell r="L51">
            <v>0</v>
          </cell>
        </row>
      </sheetData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"/>
      <sheetName val="IS"/>
      <sheetName val="EQ"/>
      <sheetName val="CF"/>
      <sheetName val="WS 31 Des 2010"/>
      <sheetName val="Sheet1"/>
      <sheetName val="AJE"/>
      <sheetName val="RJE"/>
      <sheetName val="CAJE"/>
      <sheetName val="CRJ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0000000"/>
      <sheetName val="00000000"/>
      <sheetName val="000000000"/>
      <sheetName val="Cross Check data Aktuari-PNP"/>
      <sheetName val="P-1.1"/>
      <sheetName val="LK 2002"/>
      <sheetName val="Movement of Hutang Leasing"/>
      <sheetName val="PAJE-CAJE-PRJE"/>
      <sheetName val="Sheet1"/>
      <sheetName val="BS-PL Komersil and Fiskal"/>
      <sheetName val="Deferred Tax Calculation"/>
      <sheetName val="List of Disposal"/>
      <sheetName val="Predictive Depreciation Exp."/>
      <sheetName val="K-Mutation PNP"/>
      <sheetName val="FA Fiscal 2003"/>
      <sheetName val="AR Subsequent Collection"/>
      <sheetName val="AP Subsequent Payment"/>
      <sheetName val="C"/>
      <sheetName val="CC"/>
      <sheetName val="D"/>
      <sheetName val="DD"/>
      <sheetName val="E"/>
      <sheetName val="E-3"/>
      <sheetName val="G"/>
      <sheetName val="G-1"/>
      <sheetName val="G-2"/>
      <sheetName val="G-3"/>
      <sheetName val="I"/>
      <sheetName val="L"/>
      <sheetName val="J.1"/>
      <sheetName val="K"/>
      <sheetName val="M"/>
      <sheetName val="N"/>
      <sheetName val="N-1"/>
      <sheetName val="Pred. by APBMI N -1-1"/>
      <sheetName val="O"/>
      <sheetName val="P-1"/>
      <sheetName val="P-2"/>
      <sheetName val="Q"/>
      <sheetName val="R"/>
      <sheetName val="Perhit. def tax R-1"/>
      <sheetName val="T"/>
      <sheetName val="TT"/>
      <sheetName val="U-1"/>
      <sheetName val="U-2"/>
      <sheetName val="U-3"/>
      <sheetName val="U-4"/>
      <sheetName val="U-5"/>
      <sheetName val="Materiality and TE"/>
      <sheetName val="Fiskal"/>
      <sheetName val="CF"/>
      <sheetName val="CF Calculation"/>
      <sheetName val="Reclassification"/>
      <sheetName val="Hut-Piut Afilia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EM"/>
      <sheetName val="TB"/>
      <sheetName val="Sheet2"/>
      <sheetName val="Tax2010"/>
      <sheetName val="Tax2009"/>
      <sheetName val="CAJE&amp;CRJE"/>
      <sheetName val="PAJE&amp;PRJE"/>
      <sheetName val="CF"/>
      <sheetName val="BS"/>
      <sheetName val="PL"/>
      <sheetName val="WBS-1"/>
      <sheetName val="WBS-2"/>
      <sheetName val="WPL"/>
      <sheetName val="A.1"/>
      <sheetName val="B.1"/>
      <sheetName val="C.1"/>
      <sheetName val="D.1"/>
      <sheetName val="E.1"/>
      <sheetName val="U.1"/>
      <sheetName val="FA detail"/>
      <sheetName val="CIP"/>
      <sheetName val="Mutasi FA report"/>
      <sheetName val="F.1"/>
      <sheetName val="G.1"/>
      <sheetName val="H.1"/>
      <sheetName val="I.1"/>
      <sheetName val="AAA.1"/>
      <sheetName val="AAA.2"/>
      <sheetName val="AA.1"/>
      <sheetName val="BB.1"/>
      <sheetName val="CC.1"/>
      <sheetName val="DD.1"/>
      <sheetName val="FF.1"/>
      <sheetName val="FF.2"/>
      <sheetName val="FF.3"/>
      <sheetName val="FF.4"/>
      <sheetName val="FF.5"/>
      <sheetName val="EE.1"/>
      <sheetName val="EE.2"/>
      <sheetName val="GG.1"/>
      <sheetName val="SS.1"/>
      <sheetName val="SS.2"/>
      <sheetName val="10.1"/>
      <sheetName val="20.1"/>
      <sheetName val="30.1"/>
      <sheetName val="40"/>
      <sheetName val="40.1"/>
      <sheetName val="40.3"/>
      <sheetName val="Sheet23"/>
      <sheetName val="Sheet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S RP"/>
      <sheetName val="KAS $"/>
      <sheetName val="RAK"/>
      <sheetName val="ANL2"/>
      <sheetName val="ELIM LBU1"/>
      <sheetName val="NERLKP"/>
      <sheetName val="pnllkp"/>
      <sheetName val="PNLLBUALL"/>
      <sheetName val="PNL1 A"/>
      <sheetName val="PNL2 A"/>
      <sheetName val="RRA"/>
      <sheetName val="LIK"/>
      <sheetName val="RRP&amp;K2L"/>
      <sheetName val="KAS _"/>
      <sheetName val="As"/>
      <sheetName val="BS-PL Komersil and Fiskal"/>
      <sheetName val="Irregular Income"/>
      <sheetName val="FE-1770.P1"/>
      <sheetName val="Sheet8"/>
      <sheetName val="AUG02"/>
      <sheetName val="BANK"/>
      <sheetName val="Forecast"/>
      <sheetName val="Tax Computation"/>
      <sheetName val="REPORT180501"/>
      <sheetName val="status"/>
      <sheetName val="P&amp;L98"/>
      <sheetName val="Permanent info"/>
      <sheetName val="Amortization Table"/>
      <sheetName val="Tax Rate"/>
      <sheetName val="T.material"/>
      <sheetName val="BP1_23"/>
      <sheetName val="PPH1298S"/>
      <sheetName val="FKT_PJK"/>
      <sheetName val="Ex-Rate"/>
      <sheetName val="@GeneralInfo"/>
      <sheetName val="GeneralInfo"/>
      <sheetName val="RPO"/>
      <sheetName val="Scenario&amp;Sensitivity"/>
      <sheetName val="Mine Assumptions"/>
      <sheetName val="Cover-01"/>
      <sheetName val="LPP-1"/>
      <sheetName val="E-2 Capital AFE - Carryover"/>
      <sheetName val="CODE"/>
      <sheetName val="Sheet1"/>
      <sheetName val="Data Jual"/>
      <sheetName val="SUMMARY"/>
      <sheetName val="Casing"/>
      <sheetName val="Rp Banten"/>
      <sheetName val="DATA HRG"/>
      <sheetName val="TRF-JKT"/>
      <sheetName val="tanah (2)"/>
      <sheetName val="KODE"/>
      <sheetName val="LOOKUP"/>
      <sheetName val="DWP"/>
      <sheetName val="NAP"/>
      <sheetName val="Sheet2"/>
      <sheetName val="Tax"/>
      <sheetName val="LAAS"/>
      <sheetName val="bs"/>
      <sheetName val="TBM"/>
      <sheetName val="Worksheet-03"/>
      <sheetName val="ut_no stm"/>
      <sheetName val="Marshal"/>
      <sheetName val="Asumsi"/>
      <sheetName val="HITUNG-HPP,25"/>
      <sheetName val="KM12"/>
      <sheetName val="Jual Mtr 12"/>
      <sheetName val="Indr"/>
      <sheetName val="Agst"/>
      <sheetName val="ID MENADO"/>
      <sheetName val="WS"/>
      <sheetName val="Bobot rev"/>
      <sheetName val="Draft"/>
      <sheetName val="Results"/>
      <sheetName val="hitung"/>
      <sheetName val="Write Off &amp; Disposal05"/>
      <sheetName val="2703.1"/>
      <sheetName val="2703_1"/>
      <sheetName val="CFWork"/>
      <sheetName val="FS"/>
      <sheetName val="Credit-22"/>
      <sheetName val="harga"/>
      <sheetName val="Jabar"/>
      <sheetName val="Jateng"/>
      <sheetName val="Jatim"/>
      <sheetName val="Pusat"/>
      <sheetName val="Sulawesi"/>
      <sheetName val="Sumbagsel"/>
      <sheetName val="KAS_RP"/>
      <sheetName val="KAS_$"/>
      <sheetName val="ELIM_LBU1"/>
      <sheetName val="PNL1_A"/>
      <sheetName val="PNL2_A"/>
      <sheetName val="KAS__"/>
      <sheetName val="BS-PL_Komersil_and_Fiskal"/>
      <sheetName val="Irregular_Income"/>
      <sheetName val="FE-1770_P1"/>
      <sheetName val="Permanent_info"/>
      <sheetName val="Tax_Rate"/>
      <sheetName val="T_material"/>
      <sheetName val="Tax_Computation"/>
      <sheetName val="Amortization_Table"/>
      <sheetName val="Mine_Assumptions"/>
      <sheetName val="Rp_Banten"/>
      <sheetName val="ut_no_stm"/>
      <sheetName val="EQ"/>
      <sheetName val="DATA_HRG"/>
      <sheetName val="co_data"/>
      <sheetName val="Consolidated"/>
      <sheetName val="MasterSheet"/>
      <sheetName val="KAS_RP1"/>
      <sheetName val="KAS_$1"/>
      <sheetName val="ELIM_LBU11"/>
      <sheetName val="PNL1_A1"/>
      <sheetName val="PNL2_A1"/>
      <sheetName val="KAS__1"/>
      <sheetName val="E-2_Capital_AFE_-_Carryover"/>
      <sheetName val="Data_Jual"/>
      <sheetName val="tanah_(2)"/>
      <sheetName val="Jual_Mtr_12"/>
      <sheetName val="ID_MENADO"/>
      <sheetName val="Bobot_rev"/>
      <sheetName val="Write_Off_&amp;_Disposal05"/>
      <sheetName val="2703_11"/>
      <sheetName val="PANDUAN"/>
      <sheetName val="PC-1"/>
      <sheetName val="data (2)"/>
      <sheetName val="Gmd3"/>
      <sheetName val="Wil 1"/>
      <sheetName val="Ending SP"/>
      <sheetName val="Sheet4"/>
      <sheetName val="Profit &amp; Loss Account"/>
      <sheetName val="UnitDP"/>
      <sheetName val="Discount Tables"/>
      <sheetName val="analis"/>
      <sheetName val="Salary"/>
      <sheetName val="Corporate"/>
      <sheetName val="StandardJobTitle"/>
      <sheetName val="DATA"/>
      <sheetName val="Sheet3"/>
      <sheetName val="Alamat"/>
      <sheetName val="Job Code Table"/>
      <sheetName val="Data Request"/>
      <sheetName val="1"/>
      <sheetName val="Source"/>
      <sheetName val="Utlz03"/>
      <sheetName val="PL"/>
      <sheetName val="inv-enc"/>
      <sheetName val="inv-ssi"/>
      <sheetName val="Minority"/>
      <sheetName val="mutinv"/>
      <sheetName val="mutlab"/>
      <sheetName val="TO"/>
      <sheetName val="INSTMATR"/>
      <sheetName val="NL180"/>
      <sheetName val="NL240"/>
      <sheetName val="Access Radio NL400"/>
      <sheetName val="SPARE"/>
      <sheetName val="EXC-R2004"/>
      <sheetName val="data_val"/>
      <sheetName val="table"/>
      <sheetName val="Effort.P"/>
      <sheetName val="Interface"/>
      <sheetName val="Price"/>
      <sheetName val="DATA2"/>
      <sheetName val="JL_BEL"/>
      <sheetName val="3. PL ASCO"/>
      <sheetName val="HG_BEL"/>
      <sheetName val="WP-PBM-04"/>
      <sheetName val="HRG BHN"/>
      <sheetName val="Simple Coff."/>
      <sheetName val="DOC"/>
      <sheetName val="FEED"/>
      <sheetName val="Equipment"/>
      <sheetName val="TM"/>
      <sheetName val="SAP 27JAN 12PM"/>
      <sheetName val="Data_Neraca_Kom"/>
      <sheetName val="S e p"/>
      <sheetName val="00 received in 01"/>
      <sheetName val="F e b"/>
      <sheetName val="Per GL J a n"/>
      <sheetName val="A p r"/>
      <sheetName val="M a y"/>
      <sheetName val="Hutang"/>
      <sheetName val="CoA"/>
      <sheetName val="fr BS"/>
      <sheetName val="Lamp-14(Manajemen)"/>
      <sheetName val="HPP_19_"/>
      <sheetName val="TLKM-J"/>
      <sheetName val="N-TLKM"/>
      <sheetName val="commercial"/>
      <sheetName val="Income Statement"/>
      <sheetName val="Feb_12"/>
      <sheetName val="Mar_12"/>
      <sheetName val="trf-d-w"/>
      <sheetName val="trf d-i"/>
      <sheetName val="Jan"/>
      <sheetName val="Feb"/>
      <sheetName val="Mar"/>
      <sheetName val="Apr"/>
      <sheetName val="May"/>
      <sheetName val="Jun"/>
      <sheetName val="Jul"/>
      <sheetName val="Aug"/>
      <sheetName val="Sept"/>
      <sheetName val="Okt"/>
      <sheetName val="Nov"/>
      <sheetName val="Des"/>
      <sheetName val="Bonus (CP)"/>
      <sheetName val="Bonus  (Des)"/>
      <sheetName val="THR Leb"/>
      <sheetName val="THR Nat"/>
      <sheetName val="ISI SPT"/>
      <sheetName val="Kontrak"/>
      <sheetName val="Erick"/>
      <sheetName val="Wilmart"/>
      <sheetName val="Yohanes"/>
      <sheetName val="DATA INPUT"/>
      <sheetName val="BGT97STAFF"/>
      <sheetName val="STOCK AKHIR"/>
      <sheetName val="BS_Recon"/>
      <sheetName val="Terbilang sertifikat"/>
      <sheetName val="#REF"/>
      <sheetName val="Hotel"/>
      <sheetName val="DAF-9"/>
      <sheetName val="Hua Yang Quarterly"/>
      <sheetName val="Macro1"/>
      <sheetName val="Analytical"/>
      <sheetName val="8400.2"/>
      <sheetName val="KAS_RP2"/>
      <sheetName val="KAS_$2"/>
      <sheetName val="ELIM_LBU12"/>
      <sheetName val="PNL1_A2"/>
      <sheetName val="PNL2_A2"/>
      <sheetName val="KAS__2"/>
      <sheetName val="Permanent_info1"/>
      <sheetName val="Irregular_Income1"/>
      <sheetName val="FE-1770_P11"/>
      <sheetName val="Tax_Rate1"/>
      <sheetName val="Tax_Computation1"/>
      <sheetName val="Amortization_Table1"/>
      <sheetName val="T_material1"/>
      <sheetName val="Mine_Assumptions1"/>
      <sheetName val="E-2_Capital_AFE_-_Carryover1"/>
      <sheetName val="Rp_Banten1"/>
      <sheetName val="DATA_HRG1"/>
      <sheetName val="Data_Jual1"/>
      <sheetName val="tanah_(2)1"/>
      <sheetName val="Jual_Mtr_121"/>
      <sheetName val="ID_MENADO1"/>
      <sheetName val="BS-PL_Komersil_and_Fiskal1"/>
      <sheetName val="Bobot_rev1"/>
      <sheetName val="Write_Off_&amp;_Disposal051"/>
      <sheetName val="2703_12"/>
      <sheetName val="data_(2)"/>
      <sheetName val="Wil_1"/>
      <sheetName val="Ending_SP"/>
      <sheetName val="Profit_&amp;_Loss_Account"/>
      <sheetName val="Discount_Tables"/>
      <sheetName val="Job_Code_Table"/>
      <sheetName val="Data_Request"/>
      <sheetName val="Access_Radio_NL400"/>
      <sheetName val="Effort_P"/>
      <sheetName val="3__PL_ASCO"/>
      <sheetName val="HRG_BHN"/>
      <sheetName val="Simple_Coff_"/>
      <sheetName val="SAP_27JAN_12PM"/>
      <sheetName val="ut_no_stm1"/>
      <sheetName val="S_e_p"/>
      <sheetName val="00_received_in_01"/>
      <sheetName val="F_e_b"/>
      <sheetName val="Per_GL_J_a_n"/>
      <sheetName val="A_p_r"/>
      <sheetName val="M_a_y"/>
      <sheetName val="fr_BS"/>
      <sheetName val="Income_Statement"/>
      <sheetName val="trf_d-i"/>
      <sheetName val="Bonus_(CP)"/>
      <sheetName val="Bonus__(Des)"/>
      <sheetName val="THR_Leb"/>
      <sheetName val="THR_Nat"/>
      <sheetName val="ISI_SPT"/>
      <sheetName val="DATA_INPUT"/>
      <sheetName val="STOCK_AKHIR"/>
      <sheetName val="Terbilang_sertifikat"/>
      <sheetName val="Hua_Yang_Quarterly"/>
      <sheetName val="8400_2"/>
      <sheetName val="Links"/>
      <sheetName val="PRO"/>
      <sheetName val="DIRECT COST"/>
      <sheetName val="Bgt"/>
      <sheetName val="WBS 2005"/>
      <sheetName val="MPP0102"/>
      <sheetName val="LM_29"/>
      <sheetName val="THN"/>
      <sheetName val="1999"/>
      <sheetName val="LHP7"/>
      <sheetName val="#REF!"/>
      <sheetName val="DAT_1"/>
      <sheetName val="Lead Schedule"/>
      <sheetName val="SALES_EQUIT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SERR"/>
    </sheetNames>
    <sheetDataSet>
      <sheetData sheetId="0">
        <row r="23">
          <cell r="D23">
            <v>0.3</v>
          </cell>
        </row>
        <row r="26">
          <cell r="D26">
            <v>1000000</v>
          </cell>
        </row>
      </sheetData>
      <sheetData sheetId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PL"/>
      <sheetName val="AJE"/>
      <sheetName val="SUD"/>
      <sheetName val="CF"/>
      <sheetName val="Monetary"/>
      <sheetName val="3000"/>
      <sheetName val="3100"/>
      <sheetName val="3200"/>
      <sheetName val="3400"/>
      <sheetName val="3500"/>
      <sheetName val="Analytical Review"/>
      <sheetName val="Reclass"/>
      <sheetName val="Cashflow"/>
      <sheetName val="3800"/>
      <sheetName val="FA movn't"/>
      <sheetName val="4100"/>
      <sheetName val="4200"/>
      <sheetName val="4400"/>
      <sheetName val="4500"/>
      <sheetName val="5000"/>
      <sheetName val="6100"/>
      <sheetName val="6200"/>
      <sheetName val="6300"/>
      <sheetName val="6400"/>
      <sheetName val="6700"/>
      <sheetName val="6800"/>
      <sheetName val="Client's late adjust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ex"/>
      <sheetName val="Tax"/>
      <sheetName val="CF-YO"/>
      <sheetName val="gl-bs"/>
      <sheetName val="gldec02"/>
      <sheetName val="gl01"/>
      <sheetName val="cf1"/>
      <sheetName val="BS"/>
      <sheetName val="IS"/>
      <sheetName val="RJE"/>
      <sheetName val="AJE-RE"/>
      <sheetName val="AJE"/>
      <sheetName val="Sheet1"/>
      <sheetName val="SUAD Stat"/>
      <sheetName val="SUAD package"/>
      <sheetName val="CF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  <pageSetUpPr fitToPage="1"/>
  </sheetPr>
  <dimension ref="A1:BZ1084"/>
  <sheetViews>
    <sheetView workbookViewId="0">
      <selection activeCell="G22" sqref="G22"/>
    </sheetView>
  </sheetViews>
  <sheetFormatPr defaultColWidth="9.1796875" defaultRowHeight="13"/>
  <cols>
    <col min="1" max="1" width="3.453125" style="4" customWidth="1"/>
    <col min="2" max="2" width="36.453125" style="5" customWidth="1"/>
    <col min="3" max="3" width="32.7265625" style="5" customWidth="1"/>
    <col min="4" max="4" width="46.54296875" style="4" customWidth="1"/>
    <col min="5" max="5" width="18.26953125" style="4" customWidth="1"/>
    <col min="6" max="6" width="19" style="4" customWidth="1"/>
    <col min="7" max="7" width="17.7265625" style="4" customWidth="1"/>
    <col min="8" max="8" width="19.1796875" style="37" customWidth="1"/>
    <col min="9" max="9" width="19.453125" style="37" customWidth="1"/>
    <col min="10" max="10" width="14.7265625" style="4" customWidth="1"/>
    <col min="11" max="11" width="13.7265625" style="4" customWidth="1"/>
    <col min="12" max="12" width="13.81640625" style="4" customWidth="1"/>
    <col min="13" max="13" width="14.26953125" style="4" customWidth="1"/>
    <col min="14" max="14" width="25.453125" style="4" customWidth="1"/>
    <col min="15" max="15" width="40.7265625" style="5" customWidth="1"/>
    <col min="16" max="16" width="7.7265625" style="4" customWidth="1"/>
    <col min="17" max="17" width="18.26953125" style="4" customWidth="1"/>
    <col min="18" max="18" width="17.54296875" style="4" customWidth="1"/>
    <col min="19" max="19" width="17" style="4" customWidth="1"/>
    <col min="20" max="20" width="18.453125" style="4" bestFit="1" customWidth="1"/>
    <col min="21" max="21" width="7.7265625" style="4" customWidth="1"/>
    <col min="22" max="22" width="9.1796875" style="4"/>
    <col min="23" max="23" width="13.26953125" style="4" bestFit="1" customWidth="1"/>
    <col min="24" max="16384" width="9.1796875" style="4"/>
  </cols>
  <sheetData>
    <row r="1" spans="1:78" ht="20">
      <c r="A1" s="1"/>
      <c r="B1" s="1"/>
      <c r="C1" s="1"/>
      <c r="D1" s="1173" t="s">
        <v>0</v>
      </c>
      <c r="E1" s="1173"/>
      <c r="F1" s="1173"/>
      <c r="G1" s="1173"/>
      <c r="H1" s="1173"/>
      <c r="I1" s="1173"/>
      <c r="J1" s="1173"/>
      <c r="K1" s="2"/>
      <c r="L1" s="3"/>
      <c r="M1" s="1174" t="s">
        <v>0</v>
      </c>
      <c r="N1" s="1174"/>
      <c r="O1" s="1174"/>
      <c r="P1" s="1174"/>
      <c r="Q1" s="1174"/>
      <c r="R1" s="1174"/>
      <c r="S1" s="1174"/>
      <c r="T1" s="1174"/>
      <c r="U1" s="1174"/>
    </row>
    <row r="2" spans="1:78" ht="20">
      <c r="A2" s="5"/>
      <c r="D2" s="1173" t="s">
        <v>1</v>
      </c>
      <c r="E2" s="1173"/>
      <c r="F2" s="1173"/>
      <c r="G2" s="1173"/>
      <c r="H2" s="1173"/>
      <c r="I2" s="1173"/>
      <c r="J2" s="1173"/>
      <c r="K2" s="2"/>
      <c r="L2" s="3"/>
      <c r="M2" s="1174" t="s">
        <v>1</v>
      </c>
      <c r="N2" s="1174"/>
      <c r="O2" s="1174"/>
      <c r="P2" s="1174"/>
      <c r="Q2" s="1174"/>
      <c r="R2" s="1174"/>
      <c r="S2" s="1174"/>
      <c r="T2" s="1174"/>
      <c r="U2" s="1174"/>
    </row>
    <row r="3" spans="1:78" ht="18" thickBot="1">
      <c r="A3" s="5"/>
      <c r="D3" s="1175" t="s">
        <v>2</v>
      </c>
      <c r="E3" s="1175"/>
      <c r="F3" s="1175"/>
      <c r="G3" s="1175"/>
      <c r="H3" s="1175"/>
      <c r="I3" s="1175"/>
      <c r="J3" s="1175"/>
      <c r="K3" s="6"/>
      <c r="L3" s="7"/>
      <c r="M3" s="1176" t="str">
        <f>D3</f>
        <v>PERIODE 30 APRIL 2017 DAN 2016</v>
      </c>
      <c r="N3" s="1176"/>
      <c r="O3" s="1176"/>
      <c r="P3" s="1176"/>
      <c r="Q3" s="1176"/>
      <c r="R3" s="1176"/>
      <c r="S3" s="1176"/>
      <c r="T3" s="1176"/>
      <c r="U3" s="1176"/>
    </row>
    <row r="4" spans="1:78" ht="13.5" thickTop="1">
      <c r="A4" s="5"/>
      <c r="D4" s="5"/>
      <c r="E4" s="5"/>
      <c r="F4" s="5"/>
      <c r="G4" s="5"/>
      <c r="H4" s="8"/>
      <c r="I4" s="8"/>
      <c r="J4" s="5"/>
      <c r="K4" s="5"/>
      <c r="L4" s="9"/>
      <c r="M4" s="9"/>
      <c r="N4" s="10"/>
      <c r="P4" s="5"/>
      <c r="Q4" s="5"/>
      <c r="R4" s="5"/>
      <c r="S4" s="5"/>
      <c r="T4" s="5"/>
    </row>
    <row r="5" spans="1:78">
      <c r="A5" s="5"/>
      <c r="D5" s="5"/>
      <c r="E5" s="5"/>
      <c r="F5" s="11"/>
      <c r="G5" s="12"/>
      <c r="H5" s="13"/>
      <c r="I5" s="13"/>
      <c r="J5" s="14"/>
      <c r="K5" s="14"/>
      <c r="L5" s="15"/>
      <c r="M5" s="15"/>
      <c r="N5" s="15"/>
      <c r="O5" s="14"/>
      <c r="P5" s="16"/>
      <c r="Q5" s="14"/>
      <c r="R5" s="14"/>
      <c r="S5" s="14"/>
      <c r="T5" s="14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</row>
    <row r="6" spans="1:78" ht="15">
      <c r="A6" s="5"/>
      <c r="D6" s="18" t="s">
        <v>3</v>
      </c>
      <c r="E6" s="19" t="s">
        <v>4</v>
      </c>
      <c r="F6" s="20" t="s">
        <v>5</v>
      </c>
      <c r="G6" s="20" t="s">
        <v>6</v>
      </c>
      <c r="H6" s="21" t="s">
        <v>7</v>
      </c>
      <c r="I6" s="22" t="s">
        <v>8</v>
      </c>
      <c r="J6" s="23" t="s">
        <v>9</v>
      </c>
      <c r="L6" s="24"/>
      <c r="M6" s="25" t="s">
        <v>10</v>
      </c>
      <c r="N6" s="25"/>
      <c r="O6" s="26"/>
      <c r="P6" s="27" t="s">
        <v>4</v>
      </c>
      <c r="Q6" s="20" t="str">
        <f>F6</f>
        <v>30 April 2017</v>
      </c>
      <c r="R6" s="20" t="str">
        <f>G6</f>
        <v>31 Maret 2017</v>
      </c>
      <c r="S6" s="20" t="str">
        <f>H6</f>
        <v>30 April 2016</v>
      </c>
      <c r="T6" s="28" t="s">
        <v>8</v>
      </c>
      <c r="U6" s="28" t="s">
        <v>9</v>
      </c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</row>
    <row r="7" spans="1:78">
      <c r="A7" s="5"/>
      <c r="D7" s="5"/>
      <c r="E7" s="5"/>
      <c r="F7" s="16"/>
      <c r="G7" s="16"/>
      <c r="H7" s="29"/>
      <c r="I7" s="29"/>
      <c r="J7" s="16"/>
      <c r="L7" s="30"/>
      <c r="M7" s="31"/>
      <c r="N7" s="31"/>
      <c r="O7" s="26"/>
      <c r="P7" s="16"/>
      <c r="Q7" s="16"/>
      <c r="R7" s="16"/>
      <c r="S7" s="16"/>
      <c r="T7" s="16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</row>
    <row r="8" spans="1:78">
      <c r="A8" s="5"/>
      <c r="D8" s="16" t="s">
        <v>11</v>
      </c>
      <c r="E8" s="32" t="s">
        <v>12</v>
      </c>
      <c r="F8" s="16">
        <f>E183</f>
        <v>4562226066.2800007</v>
      </c>
      <c r="G8" s="16">
        <f>F183</f>
        <v>3538675207</v>
      </c>
      <c r="H8" s="29">
        <f>G183</f>
        <v>4641965088.1199999</v>
      </c>
      <c r="I8" s="29">
        <f>+F8-H8</f>
        <v>-79739021.839999199</v>
      </c>
      <c r="J8" s="33">
        <f>+I8/H8</f>
        <v>-1.717785901580177E-2</v>
      </c>
      <c r="K8" s="34">
        <v>0</v>
      </c>
      <c r="L8" s="30"/>
      <c r="M8" s="31"/>
      <c r="N8" s="31"/>
      <c r="O8" s="26" t="s">
        <v>13</v>
      </c>
      <c r="P8" s="1">
        <v>11</v>
      </c>
      <c r="Q8" s="16"/>
      <c r="R8" s="16"/>
      <c r="S8" s="16"/>
      <c r="T8" s="16"/>
      <c r="U8" s="16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</row>
    <row r="9" spans="1:78">
      <c r="A9" s="5"/>
      <c r="D9" s="16"/>
      <c r="E9" s="32"/>
      <c r="F9" s="16"/>
      <c r="G9" s="16"/>
      <c r="H9" s="29"/>
      <c r="I9" s="29"/>
      <c r="J9" s="33"/>
      <c r="K9" s="34">
        <v>0</v>
      </c>
      <c r="L9" s="30"/>
      <c r="M9" s="31"/>
      <c r="N9" s="31"/>
      <c r="O9" s="16" t="s">
        <v>14</v>
      </c>
      <c r="P9" s="35"/>
      <c r="Q9" s="36">
        <f>+E503</f>
        <v>8074943222</v>
      </c>
      <c r="R9" s="16">
        <f>F503</f>
        <v>8294730207</v>
      </c>
      <c r="S9" s="16">
        <f>+G503</f>
        <v>1891909698</v>
      </c>
      <c r="T9" s="16">
        <f>+Q9-S9</f>
        <v>6183033524</v>
      </c>
      <c r="U9" s="33">
        <f>+T9/S9</f>
        <v>3.2681441035670402</v>
      </c>
      <c r="V9" s="17"/>
      <c r="W9" s="17">
        <v>-218264456.4299984</v>
      </c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</row>
    <row r="10" spans="1:78">
      <c r="A10" s="5"/>
      <c r="J10" s="38"/>
      <c r="K10" s="34">
        <v>0</v>
      </c>
      <c r="L10" s="30"/>
      <c r="M10" s="31"/>
      <c r="N10" s="31"/>
      <c r="O10" s="16"/>
      <c r="P10" s="35"/>
      <c r="Q10" s="36"/>
      <c r="R10" s="16"/>
      <c r="S10" s="16"/>
      <c r="T10" s="16"/>
      <c r="U10" s="16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</row>
    <row r="11" spans="1:78">
      <c r="A11" s="5"/>
      <c r="D11" s="5" t="s">
        <v>15</v>
      </c>
      <c r="E11" s="39">
        <v>2</v>
      </c>
      <c r="F11" s="16"/>
      <c r="G11" s="16"/>
      <c r="H11" s="29"/>
      <c r="I11" s="29"/>
      <c r="J11" s="33"/>
      <c r="K11" s="34">
        <v>0</v>
      </c>
      <c r="L11" s="30"/>
      <c r="M11" s="31"/>
      <c r="N11" s="31"/>
      <c r="O11" s="17"/>
      <c r="P11" s="35"/>
      <c r="Q11" s="40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</row>
    <row r="12" spans="1:78">
      <c r="A12" s="5"/>
      <c r="D12" s="5" t="s">
        <v>16</v>
      </c>
      <c r="F12" s="16">
        <f>+E190</f>
        <v>2314712880.5400004</v>
      </c>
      <c r="G12" s="16">
        <f>+F190</f>
        <v>2578237485.4099998</v>
      </c>
      <c r="H12" s="29">
        <f>+G190</f>
        <v>1957164709.0900002</v>
      </c>
      <c r="I12" s="29">
        <f>+F12-H12</f>
        <v>357548171.45000029</v>
      </c>
      <c r="J12" s="33">
        <f>+I12/H12</f>
        <v>0.18268680698633957</v>
      </c>
      <c r="K12" s="34">
        <v>0</v>
      </c>
      <c r="L12" s="30"/>
      <c r="M12" s="31"/>
      <c r="N12" s="31"/>
      <c r="O12" s="26" t="s">
        <v>17</v>
      </c>
      <c r="P12" s="1">
        <v>12</v>
      </c>
      <c r="Q12" s="36">
        <f>E517</f>
        <v>346048161.35000008</v>
      </c>
      <c r="R12" s="16">
        <f>F517</f>
        <v>319611031.78000003</v>
      </c>
      <c r="S12" s="16">
        <f>G517</f>
        <v>-119181012.81999999</v>
      </c>
      <c r="T12" s="16">
        <f>+Q12-S12</f>
        <v>465229174.17000008</v>
      </c>
      <c r="U12" s="33">
        <f>+T12/S12</f>
        <v>-3.9035511040054618</v>
      </c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</row>
    <row r="13" spans="1:78">
      <c r="A13" s="5"/>
      <c r="D13" s="5"/>
      <c r="F13" s="16"/>
      <c r="G13" s="16"/>
      <c r="H13" s="29"/>
      <c r="I13" s="29"/>
      <c r="J13" s="33"/>
      <c r="K13" s="34">
        <v>0</v>
      </c>
      <c r="L13" s="30"/>
      <c r="M13" s="31"/>
      <c r="N13" s="31"/>
      <c r="O13" s="26"/>
      <c r="P13" s="35"/>
      <c r="Q13" s="40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</row>
    <row r="14" spans="1:78">
      <c r="A14" s="5"/>
      <c r="D14" s="5" t="s">
        <v>18</v>
      </c>
      <c r="E14" s="39">
        <v>3</v>
      </c>
      <c r="F14" s="41">
        <f>E197</f>
        <v>0</v>
      </c>
      <c r="G14" s="41">
        <f>F197</f>
        <v>0</v>
      </c>
      <c r="H14" s="29">
        <f>G197</f>
        <v>1088451966</v>
      </c>
      <c r="I14" s="29">
        <f>+F14-H14</f>
        <v>-1088451966</v>
      </c>
      <c r="J14" s="33">
        <v>0</v>
      </c>
      <c r="K14" s="34">
        <v>0</v>
      </c>
      <c r="L14" s="30"/>
      <c r="M14" s="31"/>
      <c r="N14" s="31"/>
      <c r="O14" s="26"/>
      <c r="P14" s="1"/>
      <c r="Q14" s="36"/>
      <c r="R14" s="16"/>
      <c r="S14" s="16"/>
      <c r="T14" s="16"/>
      <c r="U14" s="33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</row>
    <row r="15" spans="1:78">
      <c r="A15" s="5"/>
      <c r="E15" s="42">
        <f>(F8+F12+F17+F26+F29)/1000000000</f>
        <v>45.247616803489997</v>
      </c>
      <c r="G15" s="34"/>
      <c r="J15" s="38"/>
      <c r="K15" s="34">
        <v>0</v>
      </c>
      <c r="L15" s="30"/>
      <c r="M15" s="31"/>
      <c r="N15" s="31"/>
      <c r="O15" s="5" t="s">
        <v>19</v>
      </c>
      <c r="P15" s="1">
        <v>13</v>
      </c>
      <c r="Q15" s="36">
        <f>+E539</f>
        <v>668238105</v>
      </c>
      <c r="R15" s="16">
        <f>F539</f>
        <v>693152706</v>
      </c>
      <c r="S15" s="43">
        <f>+G539</f>
        <v>367837103</v>
      </c>
      <c r="T15" s="16">
        <f>+Q15-S15</f>
        <v>300401002</v>
      </c>
      <c r="U15" s="33">
        <f>+T15/S15</f>
        <v>0.81666857299058271</v>
      </c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</row>
    <row r="16" spans="1:78">
      <c r="A16" s="5"/>
      <c r="F16" s="17"/>
      <c r="G16" s="17"/>
      <c r="H16" s="44"/>
      <c r="I16" s="44"/>
      <c r="J16" s="45"/>
      <c r="K16" s="34">
        <v>0</v>
      </c>
      <c r="L16" s="30"/>
      <c r="M16" s="31"/>
      <c r="N16" s="31"/>
      <c r="P16" s="1"/>
      <c r="Q16" s="43"/>
      <c r="R16" s="43"/>
      <c r="S16" s="43"/>
      <c r="T16" s="16">
        <f>+Q16-S16</f>
        <v>0</v>
      </c>
      <c r="U16" s="33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</row>
    <row r="17" spans="1:78">
      <c r="A17" s="5"/>
      <c r="D17" s="5" t="s">
        <v>20</v>
      </c>
      <c r="E17" s="1">
        <v>4</v>
      </c>
      <c r="F17" s="16">
        <f>+F216+E275</f>
        <v>32749863506</v>
      </c>
      <c r="G17" s="16">
        <f>F241+F275</f>
        <v>33587960699</v>
      </c>
      <c r="H17" s="29">
        <f>F262+G275</f>
        <v>22326000341</v>
      </c>
      <c r="I17" s="29">
        <f>+F17-H17</f>
        <v>10423863165</v>
      </c>
      <c r="J17" s="33">
        <f>+I17/H17</f>
        <v>0.46689344288225998</v>
      </c>
      <c r="K17" s="34">
        <v>0</v>
      </c>
      <c r="L17" s="30"/>
      <c r="M17" s="31"/>
      <c r="N17" s="31"/>
      <c r="O17" s="5" t="s">
        <v>21</v>
      </c>
      <c r="P17" s="35"/>
      <c r="Q17" s="17">
        <f>E102</f>
        <v>0</v>
      </c>
      <c r="R17" s="17"/>
      <c r="S17" s="43"/>
      <c r="T17" s="16">
        <f>+Q17-S17</f>
        <v>0</v>
      </c>
      <c r="U17" s="33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</row>
    <row r="18" spans="1:78">
      <c r="A18" s="5"/>
      <c r="F18" s="17"/>
      <c r="G18" s="17"/>
      <c r="H18" s="44"/>
      <c r="I18" s="44"/>
      <c r="J18" s="45"/>
      <c r="K18" s="34">
        <v>0</v>
      </c>
      <c r="L18" s="30"/>
      <c r="M18" s="31"/>
      <c r="N18" s="31"/>
      <c r="O18" s="4"/>
      <c r="P18" s="5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</row>
    <row r="19" spans="1:78">
      <c r="A19" s="5"/>
      <c r="F19" s="17"/>
      <c r="G19" s="17"/>
      <c r="H19" s="44"/>
      <c r="I19" s="44"/>
      <c r="J19" s="45"/>
      <c r="K19" s="34">
        <v>0</v>
      </c>
      <c r="L19" s="30"/>
      <c r="M19" s="31"/>
      <c r="N19" s="31"/>
      <c r="O19" s="46" t="s">
        <v>22</v>
      </c>
      <c r="P19" s="27"/>
      <c r="Q19" s="47">
        <f>SUM(Q9:Q17)</f>
        <v>9089229488.3500004</v>
      </c>
      <c r="R19" s="47">
        <f>SUM(R9:R17)</f>
        <v>9307493944.7800007</v>
      </c>
      <c r="S19" s="47">
        <f>SUM(S9:S17)</f>
        <v>2140565788.1800001</v>
      </c>
      <c r="T19" s="47">
        <f>SUM(T9:T17)</f>
        <v>6948663700.1700001</v>
      </c>
      <c r="U19" s="48">
        <f>+T19/S19</f>
        <v>3.2461808642088261</v>
      </c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</row>
    <row r="20" spans="1:78">
      <c r="A20" s="5"/>
      <c r="D20" s="5" t="s">
        <v>23</v>
      </c>
      <c r="E20" s="1">
        <v>5</v>
      </c>
      <c r="F20" s="16">
        <f>+E287</f>
        <v>0</v>
      </c>
      <c r="G20" s="16">
        <f>+F287</f>
        <v>0</v>
      </c>
      <c r="H20" s="29">
        <f>+G283</f>
        <v>0</v>
      </c>
      <c r="I20" s="29">
        <f>+F20-H20</f>
        <v>0</v>
      </c>
      <c r="J20" s="33">
        <v>1</v>
      </c>
      <c r="K20" s="34">
        <v>0</v>
      </c>
      <c r="L20" s="30"/>
      <c r="M20" s="31"/>
      <c r="N20" s="31"/>
      <c r="O20" s="46"/>
      <c r="P20" s="27"/>
      <c r="Q20" s="49"/>
      <c r="R20" s="49"/>
      <c r="S20" s="49"/>
      <c r="T20" s="49"/>
      <c r="U20" s="50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</row>
    <row r="21" spans="1:78">
      <c r="A21" s="5"/>
      <c r="F21" s="17"/>
      <c r="G21" s="17"/>
      <c r="H21" s="44"/>
      <c r="I21" s="44"/>
      <c r="J21" s="45"/>
      <c r="K21" s="34">
        <v>0</v>
      </c>
      <c r="L21" s="30"/>
      <c r="M21" s="31"/>
      <c r="N21" s="31"/>
      <c r="O21" s="46"/>
      <c r="P21" s="27"/>
      <c r="Q21" s="49"/>
      <c r="R21" s="49"/>
      <c r="S21" s="49"/>
      <c r="T21" s="49"/>
      <c r="U21" s="50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</row>
    <row r="22" spans="1:78">
      <c r="A22" s="5"/>
      <c r="J22" s="38"/>
      <c r="K22" s="34">
        <v>0</v>
      </c>
      <c r="L22" s="30"/>
      <c r="M22" s="31"/>
      <c r="N22" s="31"/>
      <c r="O22" s="46"/>
      <c r="P22" s="27"/>
      <c r="Q22" s="49"/>
      <c r="R22" s="49"/>
      <c r="S22" s="49"/>
      <c r="T22" s="49"/>
      <c r="U22" s="50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</row>
    <row r="23" spans="1:78" ht="15" hidden="1" customHeight="1">
      <c r="A23" s="5"/>
      <c r="D23" s="5" t="s">
        <v>24</v>
      </c>
      <c r="E23" s="1">
        <v>6</v>
      </c>
      <c r="F23" s="16">
        <f>+E297</f>
        <v>0</v>
      </c>
      <c r="G23" s="16">
        <f>+F297</f>
        <v>0</v>
      </c>
      <c r="H23" s="29">
        <f>+G297</f>
        <v>0</v>
      </c>
      <c r="I23" s="29">
        <f>+F23-H23</f>
        <v>0</v>
      </c>
      <c r="J23" s="33">
        <v>0</v>
      </c>
      <c r="K23" s="34">
        <v>0</v>
      </c>
      <c r="L23" s="30"/>
      <c r="M23" s="31"/>
      <c r="N23" s="31"/>
      <c r="P23" s="1"/>
      <c r="Q23" s="43"/>
      <c r="R23" s="43"/>
      <c r="S23" s="43"/>
      <c r="T23" s="43"/>
      <c r="U23" s="51"/>
      <c r="V23" s="52"/>
      <c r="W23" s="52"/>
      <c r="X23" s="52"/>
      <c r="Y23" s="52"/>
      <c r="Z23" s="52"/>
      <c r="AA23" s="52"/>
      <c r="AB23" s="52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</row>
    <row r="24" spans="1:78" hidden="1">
      <c r="A24" s="5"/>
      <c r="F24" s="17"/>
      <c r="G24" s="17"/>
      <c r="H24" s="44"/>
      <c r="I24" s="44"/>
      <c r="J24" s="45"/>
      <c r="K24" s="34">
        <v>0</v>
      </c>
      <c r="L24" s="30"/>
      <c r="M24" s="31"/>
      <c r="N24" s="31"/>
      <c r="O24" s="4"/>
      <c r="P24" s="5"/>
      <c r="V24" s="52"/>
      <c r="W24" s="52"/>
      <c r="X24" s="52"/>
      <c r="Y24" s="52"/>
      <c r="Z24" s="52"/>
      <c r="AA24" s="52"/>
      <c r="AB24" s="52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</row>
    <row r="25" spans="1:78">
      <c r="A25" s="5"/>
      <c r="J25" s="38"/>
      <c r="K25" s="34">
        <v>0</v>
      </c>
      <c r="L25" s="30"/>
      <c r="M25" s="31"/>
      <c r="N25" s="31"/>
      <c r="O25" s="17"/>
      <c r="P25" s="16"/>
      <c r="Q25" s="17"/>
      <c r="R25" s="17"/>
      <c r="S25" s="17"/>
      <c r="T25" s="17"/>
      <c r="U25" s="17"/>
      <c r="V25" s="52"/>
      <c r="W25" s="52"/>
      <c r="X25" s="52"/>
      <c r="Y25" s="52"/>
      <c r="Z25" s="52"/>
      <c r="AA25" s="52"/>
      <c r="AB25" s="52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</row>
    <row r="26" spans="1:78">
      <c r="A26" s="5"/>
      <c r="D26" s="16" t="s">
        <v>25</v>
      </c>
      <c r="E26" s="1">
        <v>6</v>
      </c>
      <c r="F26" s="16">
        <f>+E343</f>
        <v>4343070214.5699997</v>
      </c>
      <c r="G26" s="16">
        <f>+F343</f>
        <v>4153727965.3000002</v>
      </c>
      <c r="H26" s="29">
        <f>+G343</f>
        <v>5009145520.96</v>
      </c>
      <c r="I26" s="29">
        <f>+F26-H26</f>
        <v>-666075306.39000034</v>
      </c>
      <c r="J26" s="33">
        <f>+I26/H26</f>
        <v>-0.13297184192451797</v>
      </c>
      <c r="K26" s="34">
        <v>0</v>
      </c>
      <c r="L26" s="30"/>
      <c r="M26" s="31"/>
      <c r="N26" s="31"/>
      <c r="O26" s="17"/>
      <c r="P26" s="16"/>
      <c r="Q26" s="17"/>
      <c r="R26" s="17"/>
      <c r="S26" s="17"/>
      <c r="T26" s="17"/>
      <c r="U26" s="17"/>
      <c r="V26" s="52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</row>
    <row r="27" spans="1:78" ht="15">
      <c r="A27" s="5"/>
      <c r="E27" s="53"/>
      <c r="F27" s="17"/>
      <c r="G27" s="17"/>
      <c r="H27" s="44"/>
      <c r="I27" s="44"/>
      <c r="J27" s="45"/>
      <c r="K27" s="34">
        <v>0</v>
      </c>
      <c r="L27" s="30"/>
      <c r="M27" s="25"/>
      <c r="N27" s="25"/>
      <c r="O27" s="17"/>
      <c r="P27" s="16"/>
      <c r="Q27" s="17"/>
      <c r="R27" s="17"/>
      <c r="S27" s="17"/>
      <c r="T27" s="17"/>
      <c r="U27" s="17"/>
      <c r="V27" s="52"/>
      <c r="W27" s="52"/>
      <c r="X27" s="52"/>
      <c r="Y27" s="52"/>
      <c r="Z27" s="52"/>
      <c r="AA27" s="52"/>
      <c r="AB27" s="52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</row>
    <row r="28" spans="1:78" ht="15">
      <c r="A28" s="5"/>
      <c r="J28" s="38"/>
      <c r="K28" s="34">
        <v>0</v>
      </c>
      <c r="L28" s="30"/>
      <c r="M28" s="25"/>
      <c r="N28" s="25"/>
      <c r="O28" s="16"/>
      <c r="P28" s="35"/>
      <c r="Q28" s="16"/>
      <c r="R28" s="16"/>
      <c r="S28" s="16"/>
      <c r="T28" s="16"/>
      <c r="V28" s="52"/>
      <c r="W28" s="52"/>
      <c r="X28" s="52"/>
      <c r="Y28" s="52"/>
      <c r="Z28" s="52"/>
      <c r="AA28" s="52"/>
      <c r="AB28" s="52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</row>
    <row r="29" spans="1:78">
      <c r="A29" s="5"/>
      <c r="D29" s="5" t="s">
        <v>26</v>
      </c>
      <c r="E29" s="1">
        <v>7</v>
      </c>
      <c r="F29" s="16">
        <f>+E351</f>
        <v>1277744136.0999999</v>
      </c>
      <c r="G29" s="16">
        <f>+F351</f>
        <v>1234970307.1900001</v>
      </c>
      <c r="H29" s="29">
        <f>+G351</f>
        <v>5860015004.4400005</v>
      </c>
      <c r="I29" s="29">
        <f>+F29-H29</f>
        <v>-4582270868.3400002</v>
      </c>
      <c r="J29" s="33">
        <f>+I29/H29</f>
        <v>-0.78195548387983949</v>
      </c>
      <c r="K29" s="34">
        <v>0</v>
      </c>
      <c r="L29" s="30"/>
      <c r="M29" s="31"/>
      <c r="N29" s="31"/>
      <c r="O29" s="16"/>
      <c r="P29" s="35"/>
      <c r="Q29" s="16"/>
      <c r="R29" s="16"/>
      <c r="S29" s="16"/>
      <c r="T29" s="16"/>
      <c r="W29" s="52"/>
      <c r="X29" s="52"/>
      <c r="Y29" s="52"/>
      <c r="Z29" s="52"/>
      <c r="AA29" s="52"/>
      <c r="AB29" s="52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</row>
    <row r="30" spans="1:78" ht="15">
      <c r="A30" s="5"/>
      <c r="F30" s="34"/>
      <c r="J30" s="38"/>
      <c r="K30" s="34">
        <v>0</v>
      </c>
      <c r="L30" s="30"/>
      <c r="M30" s="25" t="s">
        <v>27</v>
      </c>
      <c r="N30" s="25"/>
      <c r="O30" s="26"/>
      <c r="P30" s="35"/>
      <c r="Q30" s="16"/>
      <c r="R30" s="16"/>
      <c r="S30" s="16"/>
      <c r="T30" s="16"/>
      <c r="U30" s="17"/>
      <c r="V30" s="52"/>
      <c r="W30" s="52"/>
      <c r="X30" s="52"/>
      <c r="Y30" s="52"/>
      <c r="Z30" s="52"/>
      <c r="AA30" s="52"/>
      <c r="AB30" s="52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</row>
    <row r="31" spans="1:78">
      <c r="A31" s="5"/>
      <c r="B31" s="54"/>
      <c r="C31" s="54"/>
      <c r="D31" s="5"/>
      <c r="E31" s="53"/>
      <c r="F31" s="16"/>
      <c r="G31" s="17"/>
      <c r="H31" s="44"/>
      <c r="I31" s="44"/>
      <c r="J31" s="45"/>
      <c r="K31" s="34">
        <v>0</v>
      </c>
      <c r="L31" s="30"/>
      <c r="M31" s="31"/>
      <c r="N31" s="31"/>
      <c r="O31" s="16"/>
      <c r="P31" s="35"/>
      <c r="Q31" s="16"/>
      <c r="R31" s="16"/>
      <c r="S31" s="16"/>
      <c r="T31" s="16"/>
      <c r="V31" s="52"/>
      <c r="W31" s="52"/>
      <c r="X31" s="52"/>
      <c r="Y31" s="52"/>
      <c r="Z31" s="52"/>
      <c r="AA31" s="52"/>
      <c r="AB31" s="52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</row>
    <row r="32" spans="1:78">
      <c r="A32" s="5"/>
      <c r="B32" s="54" t="s">
        <v>28</v>
      </c>
      <c r="C32" s="16">
        <v>1887725361</v>
      </c>
      <c r="D32" s="5" t="s">
        <v>29</v>
      </c>
      <c r="E32" s="53"/>
      <c r="F32" s="55">
        <f>+C32+C33+H104</f>
        <v>1829602677</v>
      </c>
      <c r="G32" s="16">
        <v>1956832177</v>
      </c>
      <c r="H32" s="29">
        <v>448796821.00291061</v>
      </c>
      <c r="I32" s="29">
        <f>+F32-H32+1</f>
        <v>1380805856.9970894</v>
      </c>
      <c r="J32" s="33">
        <f>+I32/H32</f>
        <v>3.0766836848608925</v>
      </c>
      <c r="K32" s="34">
        <v>0</v>
      </c>
      <c r="L32" s="30"/>
      <c r="M32" s="31"/>
      <c r="N32" s="31"/>
      <c r="O32" s="26" t="s">
        <v>30</v>
      </c>
      <c r="P32" s="35"/>
      <c r="Q32" s="16"/>
      <c r="R32" s="16"/>
      <c r="S32" s="16"/>
      <c r="T32" s="16"/>
      <c r="U32" s="17"/>
      <c r="V32" s="52"/>
      <c r="W32" s="52"/>
      <c r="X32" s="52"/>
      <c r="Y32" s="52"/>
      <c r="Z32" s="52"/>
      <c r="AA32" s="52"/>
      <c r="AB32" s="52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</row>
    <row r="33" spans="1:78">
      <c r="A33" s="5"/>
      <c r="B33" s="54" t="s">
        <v>31</v>
      </c>
      <c r="C33" s="16">
        <v>-99723434</v>
      </c>
      <c r="E33" s="53"/>
      <c r="F33" s="16"/>
      <c r="G33" s="17"/>
      <c r="H33" s="44"/>
      <c r="I33" s="44"/>
      <c r="J33" s="45"/>
      <c r="K33" s="34">
        <v>0</v>
      </c>
      <c r="L33" s="30"/>
      <c r="M33" s="31"/>
      <c r="N33" s="31"/>
      <c r="O33" s="26" t="s">
        <v>32</v>
      </c>
      <c r="P33" s="35"/>
      <c r="Q33" s="16"/>
      <c r="R33" s="16"/>
      <c r="S33" s="16"/>
      <c r="T33" s="16"/>
      <c r="U33" s="17"/>
      <c r="V33" s="52"/>
      <c r="W33" s="52"/>
      <c r="X33" s="52"/>
      <c r="Y33" s="52"/>
      <c r="Z33" s="52"/>
      <c r="AA33" s="52"/>
      <c r="AB33" s="52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</row>
    <row r="34" spans="1:78">
      <c r="A34" s="5"/>
      <c r="D34" s="5" t="s">
        <v>33</v>
      </c>
      <c r="E34" s="35"/>
      <c r="F34" s="16"/>
      <c r="G34" s="16"/>
      <c r="H34" s="29"/>
      <c r="I34" s="29" t="s">
        <v>34</v>
      </c>
      <c r="J34" s="33"/>
      <c r="K34" s="34">
        <v>0</v>
      </c>
      <c r="L34" s="30"/>
      <c r="M34" s="31"/>
      <c r="N34" s="31"/>
      <c r="O34" s="56" t="s">
        <v>35</v>
      </c>
      <c r="P34" s="1">
        <v>14</v>
      </c>
      <c r="Q34" s="36">
        <v>26260000000</v>
      </c>
      <c r="R34" s="36">
        <v>26260000000</v>
      </c>
      <c r="S34" s="16">
        <v>26260000000</v>
      </c>
      <c r="T34" s="57">
        <f>+R34-S34</f>
        <v>0</v>
      </c>
      <c r="U34" s="33">
        <f>+T34/S34</f>
        <v>0</v>
      </c>
      <c r="V34" s="52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</row>
    <row r="35" spans="1:78">
      <c r="A35" s="5"/>
      <c r="D35" s="16"/>
      <c r="E35" s="35"/>
      <c r="F35" s="16"/>
      <c r="G35" s="16"/>
      <c r="H35" s="29"/>
      <c r="I35" s="29" t="s">
        <v>34</v>
      </c>
      <c r="J35" s="33"/>
      <c r="K35" s="34">
        <v>0</v>
      </c>
      <c r="L35" s="30"/>
      <c r="M35" s="31"/>
      <c r="N35" s="31"/>
      <c r="O35" s="58" t="s">
        <v>36</v>
      </c>
      <c r="P35" s="35" t="s">
        <v>34</v>
      </c>
      <c r="Q35" s="36"/>
      <c r="R35" s="16"/>
      <c r="S35" s="16" t="s">
        <v>34</v>
      </c>
      <c r="T35" s="16" t="s">
        <v>34</v>
      </c>
      <c r="U35" s="16"/>
      <c r="V35" s="52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</row>
    <row r="36" spans="1:78">
      <c r="A36" s="5"/>
      <c r="D36" s="16" t="s">
        <v>37</v>
      </c>
      <c r="E36" s="1">
        <v>8</v>
      </c>
      <c r="F36" s="16">
        <f>+G363</f>
        <v>14080333319</v>
      </c>
      <c r="G36" s="29">
        <f>+G385</f>
        <v>14081490719</v>
      </c>
      <c r="H36" s="29">
        <f>+G406</f>
        <v>13020319653</v>
      </c>
      <c r="I36" s="29"/>
      <c r="J36" s="33"/>
      <c r="K36" s="34">
        <v>0</v>
      </c>
      <c r="L36" s="30"/>
      <c r="M36" s="31"/>
      <c r="N36" s="31"/>
      <c r="O36" s="58" t="s">
        <v>38</v>
      </c>
      <c r="P36" s="35"/>
      <c r="Q36" s="36"/>
      <c r="R36" s="16"/>
      <c r="S36" s="16"/>
      <c r="T36" s="16"/>
      <c r="U36" s="16"/>
      <c r="V36" s="52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</row>
    <row r="37" spans="1:78">
      <c r="A37" s="5"/>
      <c r="D37" s="16" t="s">
        <v>39</v>
      </c>
      <c r="E37" s="35"/>
      <c r="F37" s="59">
        <f>-G371</f>
        <v>-9191997189.4199982</v>
      </c>
      <c r="G37" s="60">
        <f>-G393</f>
        <v>-9029210023.4199982</v>
      </c>
      <c r="H37" s="60">
        <f>-G414</f>
        <v>-7023511081.5699997</v>
      </c>
      <c r="I37" s="29"/>
      <c r="J37" s="33"/>
      <c r="K37" s="34">
        <v>0</v>
      </c>
      <c r="L37" s="30"/>
      <c r="M37" s="31"/>
      <c r="N37" s="31"/>
      <c r="O37" s="26"/>
      <c r="P37" s="35" t="s">
        <v>34</v>
      </c>
      <c r="Q37" s="36"/>
      <c r="R37" s="16"/>
      <c r="S37" s="16" t="s">
        <v>34</v>
      </c>
      <c r="T37" s="16" t="s">
        <v>34</v>
      </c>
      <c r="U37" s="16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</row>
    <row r="38" spans="1:78">
      <c r="A38" s="5"/>
      <c r="D38" s="16"/>
      <c r="E38" s="53"/>
      <c r="F38" s="16">
        <f>+F36+F37</f>
        <v>4888336129.5800018</v>
      </c>
      <c r="G38" s="16">
        <f>+G36+G37</f>
        <v>5052280695.5800018</v>
      </c>
      <c r="H38" s="29">
        <f>+H36+H37</f>
        <v>5996808571.4300003</v>
      </c>
      <c r="I38" s="29">
        <f>+F38-H38</f>
        <v>-1108472441.8499985</v>
      </c>
      <c r="J38" s="33">
        <f>+I38/H38</f>
        <v>-0.18484372623314735</v>
      </c>
      <c r="K38" s="34">
        <v>0</v>
      </c>
      <c r="L38" s="30"/>
      <c r="M38" s="31"/>
      <c r="N38" s="61" t="s">
        <v>40</v>
      </c>
      <c r="O38" s="26" t="s">
        <v>41</v>
      </c>
      <c r="P38" s="35"/>
      <c r="Q38" s="62">
        <f>+R38</f>
        <v>21867985292.73</v>
      </c>
      <c r="R38" s="36">
        <v>21867985292.73</v>
      </c>
      <c r="S38" s="63">
        <v>18450753228</v>
      </c>
      <c r="T38" s="36">
        <f>+R38-S38</f>
        <v>3417232064.7299995</v>
      </c>
      <c r="U38" s="33">
        <f>+T38/S38</f>
        <v>0.18520826887133085</v>
      </c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</row>
    <row r="39" spans="1:78">
      <c r="A39" s="5"/>
      <c r="E39" s="53"/>
      <c r="F39" s="17"/>
      <c r="G39" s="17"/>
      <c r="H39" s="44"/>
      <c r="I39" s="44"/>
      <c r="J39" s="45"/>
      <c r="K39" s="34">
        <v>0</v>
      </c>
      <c r="L39" s="30"/>
      <c r="M39" s="31"/>
      <c r="N39" s="31"/>
      <c r="O39" s="26" t="s">
        <v>42</v>
      </c>
      <c r="P39" s="35"/>
      <c r="Q39" s="34">
        <f>+H107</f>
        <v>2505343082.9769974</v>
      </c>
      <c r="R39" s="63">
        <v>2542233195.2500014</v>
      </c>
      <c r="S39" s="63">
        <v>2353443052.3079109</v>
      </c>
      <c r="T39" s="16">
        <f>+R39-S39</f>
        <v>188790142.94209051</v>
      </c>
      <c r="U39" s="33">
        <f>+T39/S39</f>
        <v>8.0218700323746048E-2</v>
      </c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</row>
    <row r="40" spans="1:78">
      <c r="A40" s="5"/>
      <c r="D40" s="16" t="s">
        <v>43</v>
      </c>
      <c r="E40" s="1">
        <v>9</v>
      </c>
      <c r="F40" s="63">
        <f>G432</f>
        <v>367534762.26999998</v>
      </c>
      <c r="G40" s="63">
        <f>G447</f>
        <v>382690404.26999998</v>
      </c>
      <c r="H40" s="29">
        <f>G462</f>
        <v>122312491</v>
      </c>
      <c r="I40" s="29">
        <f>+F40-H40</f>
        <v>245222271.26999998</v>
      </c>
      <c r="J40" s="33">
        <f>+I40/H40</f>
        <v>2.0048833055816022</v>
      </c>
      <c r="K40" s="34">
        <v>0</v>
      </c>
      <c r="L40" s="30"/>
      <c r="M40" s="31"/>
      <c r="N40" s="31"/>
      <c r="O40" s="26" t="s">
        <v>44</v>
      </c>
      <c r="P40" s="35"/>
      <c r="Q40" s="36"/>
      <c r="R40" s="16">
        <v>0</v>
      </c>
      <c r="S40" s="63">
        <v>0</v>
      </c>
      <c r="T40" s="16">
        <f>+Q40-S40</f>
        <v>0</v>
      </c>
      <c r="U40" s="33">
        <v>0</v>
      </c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</row>
    <row r="41" spans="1:78">
      <c r="A41" s="5"/>
      <c r="G41" s="64"/>
      <c r="J41" s="38"/>
      <c r="K41" s="34">
        <v>0</v>
      </c>
      <c r="L41" s="30"/>
      <c r="M41" s="31"/>
      <c r="N41" s="31"/>
      <c r="O41" s="16" t="s">
        <v>45</v>
      </c>
      <c r="P41" s="35"/>
      <c r="R41" s="36">
        <v>0</v>
      </c>
      <c r="S41" s="63">
        <v>0</v>
      </c>
      <c r="T41" s="16">
        <f>+R41-S41</f>
        <v>0</v>
      </c>
      <c r="U41" s="33">
        <v>0</v>
      </c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</row>
    <row r="42" spans="1:78">
      <c r="A42" s="5"/>
      <c r="D42" s="16" t="s">
        <v>46</v>
      </c>
      <c r="E42" s="1">
        <v>10</v>
      </c>
      <c r="F42" s="36">
        <f>+E489</f>
        <v>2308839992</v>
      </c>
      <c r="G42" s="63">
        <f>+F489</f>
        <v>2308839992</v>
      </c>
      <c r="H42" s="29">
        <f>+G489</f>
        <v>2688234449</v>
      </c>
      <c r="I42" s="29">
        <f>+F42-H42</f>
        <v>-379394457</v>
      </c>
      <c r="J42" s="33">
        <f>+I42/H42</f>
        <v>-0.14113146163316651</v>
      </c>
      <c r="K42" s="34">
        <v>0</v>
      </c>
      <c r="L42" s="30"/>
      <c r="M42" s="31"/>
      <c r="N42" s="31"/>
      <c r="O42" s="16" t="s">
        <v>47</v>
      </c>
      <c r="P42" s="35"/>
      <c r="Q42" s="65">
        <v>0</v>
      </c>
      <c r="R42" s="36">
        <v>0</v>
      </c>
      <c r="S42" s="63">
        <v>934132894</v>
      </c>
      <c r="T42" s="16">
        <f>+R42-S42</f>
        <v>-934132894</v>
      </c>
      <c r="U42" s="33">
        <v>0</v>
      </c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</row>
    <row r="43" spans="1:78">
      <c r="A43" s="5"/>
      <c r="F43" s="34"/>
      <c r="J43" s="38"/>
      <c r="L43" s="30"/>
      <c r="M43" s="31"/>
      <c r="N43" s="61" t="s">
        <v>48</v>
      </c>
      <c r="O43" s="5" t="s">
        <v>49</v>
      </c>
      <c r="P43" s="35"/>
      <c r="Q43" s="66">
        <v>-5080627500</v>
      </c>
      <c r="R43" s="36">
        <v>-5183497500</v>
      </c>
      <c r="S43" s="63">
        <v>0</v>
      </c>
      <c r="T43" s="16">
        <f>+R43-S43</f>
        <v>-5183497500</v>
      </c>
      <c r="U43" s="33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</row>
    <row r="44" spans="1:78">
      <c r="A44" s="5"/>
      <c r="J44" s="38"/>
      <c r="L44" s="30"/>
      <c r="M44" s="67"/>
      <c r="N44" s="67"/>
      <c r="O44" s="46" t="s">
        <v>50</v>
      </c>
      <c r="P44" s="27"/>
      <c r="Q44" s="47">
        <f>+SUM(Q32:Q43)</f>
        <v>45552700875.706993</v>
      </c>
      <c r="R44" s="47">
        <f>+SUM(R32:R43)</f>
        <v>45486720987.979996</v>
      </c>
      <c r="S44" s="47">
        <f>+SUM(S32:S43)</f>
        <v>47998329174.307907</v>
      </c>
      <c r="T44" s="47">
        <f>+SUM(T32:T43)</f>
        <v>-2511608186.3279099</v>
      </c>
      <c r="U44" s="47">
        <f>+SUM(U32:U43)</f>
        <v>0.26542696919507691</v>
      </c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</row>
    <row r="45" spans="1:78" ht="15.5" thickBot="1">
      <c r="A45" s="5"/>
      <c r="D45" s="68" t="s">
        <v>51</v>
      </c>
      <c r="E45" s="35"/>
      <c r="F45" s="69">
        <f>+F42+F40+F38+F29+F26+F23+F17+F12+F8+F32+F20+F14</f>
        <v>54641930364.340004</v>
      </c>
      <c r="G45" s="69">
        <f>+G42+G40+G38+G29+G26+G23+G17+G12+G8+G32+G20+G14</f>
        <v>54794214932.75</v>
      </c>
      <c r="H45" s="70">
        <f>+H42+H40+H38+H29+H26+H23+H17+H12+H8+H32+H20+H14</f>
        <v>50138894962.042908</v>
      </c>
      <c r="I45" s="70">
        <f>+I42+I40+I38+I29+I26+I23+I17+I12+I8+I32+I20+I14</f>
        <v>4503035403.2970924</v>
      </c>
      <c r="J45" s="71">
        <f>+I45/H45</f>
        <v>8.9811221541800337E-2</v>
      </c>
      <c r="L45" s="30"/>
      <c r="M45" s="67"/>
      <c r="N45" s="67"/>
      <c r="O45" s="72"/>
      <c r="P45" s="27"/>
      <c r="Q45" s="72"/>
      <c r="R45" s="72"/>
      <c r="S45" s="72"/>
      <c r="T45" s="72"/>
      <c r="U45" s="52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</row>
    <row r="46" spans="1:78" ht="16" thickTop="1" thickBot="1">
      <c r="A46" s="5"/>
      <c r="D46" s="16"/>
      <c r="E46" s="16"/>
      <c r="F46" s="35"/>
      <c r="G46" s="35"/>
      <c r="H46" s="29"/>
      <c r="I46" s="29"/>
      <c r="J46" s="16"/>
      <c r="K46" s="16"/>
      <c r="L46" s="30"/>
      <c r="M46" s="25" t="s">
        <v>52</v>
      </c>
      <c r="N46" s="25"/>
      <c r="O46" s="16"/>
      <c r="P46" s="35"/>
      <c r="Q46" s="69">
        <f>+Q19+Q44</f>
        <v>54641930364.056992</v>
      </c>
      <c r="R46" s="69">
        <f>+R19+R44</f>
        <v>54794214932.759995</v>
      </c>
      <c r="S46" s="69">
        <f>+S19+S44</f>
        <v>50138894962.487907</v>
      </c>
      <c r="T46" s="69">
        <f>+T19+T44</f>
        <v>4437055513.8420906</v>
      </c>
      <c r="U46" s="71">
        <f>+T46/S46</f>
        <v>8.8495279306848182E-2</v>
      </c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</row>
    <row r="47" spans="1:78" ht="13.5" thickTop="1">
      <c r="A47" s="5"/>
      <c r="F47" s="73">
        <f>+F45-Q46</f>
        <v>0.28301239013671875</v>
      </c>
      <c r="G47" s="73">
        <f>+G45-R46+0.5</f>
        <v>0.4900054931640625</v>
      </c>
      <c r="H47" s="74">
        <f>+H45-S46</f>
        <v>-0.44499969482421875</v>
      </c>
      <c r="I47" s="74">
        <f>+I45-T46-1</f>
        <v>65979888.455001831</v>
      </c>
      <c r="J47" s="75">
        <f>+J45-U46</f>
        <v>1.3159422349521555E-3</v>
      </c>
      <c r="L47" s="30"/>
      <c r="M47" s="67"/>
      <c r="N47" s="67"/>
      <c r="O47" s="4"/>
      <c r="P47" s="5"/>
      <c r="U47" s="17"/>
      <c r="V47" s="17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</row>
    <row r="48" spans="1:78">
      <c r="A48" s="5"/>
      <c r="D48" s="16"/>
      <c r="E48" s="16"/>
      <c r="F48" s="76"/>
      <c r="G48" s="16"/>
      <c r="H48" s="77"/>
      <c r="I48" s="29"/>
      <c r="J48" s="16"/>
      <c r="K48" s="16"/>
      <c r="L48" s="30"/>
      <c r="M48" s="67"/>
      <c r="N48" s="67"/>
      <c r="O48" s="4"/>
      <c r="P48" s="5"/>
      <c r="Q48" s="34"/>
      <c r="R48" s="34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</row>
    <row r="49" spans="1:37">
      <c r="A49" s="5"/>
      <c r="D49" s="16"/>
      <c r="E49" s="16"/>
      <c r="F49" s="16"/>
      <c r="G49" s="16"/>
      <c r="H49" s="29"/>
      <c r="I49" s="29"/>
      <c r="J49" s="16"/>
      <c r="K49" s="16"/>
      <c r="L49" s="30"/>
      <c r="M49" s="67"/>
      <c r="N49" s="67"/>
      <c r="O49" s="4"/>
      <c r="P49" s="5"/>
      <c r="Q49" s="62"/>
      <c r="R49" s="66"/>
      <c r="U49" s="17"/>
      <c r="V49" s="17"/>
    </row>
    <row r="50" spans="1:37" ht="18">
      <c r="A50" s="5"/>
      <c r="D50" s="1177" t="s">
        <v>0</v>
      </c>
      <c r="E50" s="1177"/>
      <c r="F50" s="1177"/>
      <c r="G50" s="1177"/>
      <c r="H50" s="1177"/>
      <c r="I50" s="78"/>
      <c r="J50" s="79"/>
      <c r="K50" s="80"/>
      <c r="L50" s="30"/>
      <c r="M50" s="67"/>
      <c r="N50" s="67"/>
      <c r="O50" s="4"/>
      <c r="P50" s="5"/>
      <c r="R50" s="42"/>
      <c r="U50" s="17"/>
      <c r="V50" s="52"/>
    </row>
    <row r="51" spans="1:37" ht="18">
      <c r="A51" s="5"/>
      <c r="D51" s="1177" t="s">
        <v>53</v>
      </c>
      <c r="E51" s="1177"/>
      <c r="F51" s="1177"/>
      <c r="G51" s="1177"/>
      <c r="H51" s="1177"/>
      <c r="I51" s="78"/>
      <c r="J51" s="79"/>
      <c r="K51" s="80"/>
      <c r="L51" s="30"/>
      <c r="M51" s="67"/>
      <c r="N51" s="67"/>
      <c r="O51" s="4"/>
      <c r="P51" s="5"/>
      <c r="Q51" s="34"/>
      <c r="U51" s="17"/>
      <c r="V51" s="17"/>
    </row>
    <row r="52" spans="1:37" ht="18">
      <c r="A52" s="5"/>
      <c r="D52" s="1178" t="str">
        <f>D3</f>
        <v>PERIODE 30 APRIL 2017 DAN 2016</v>
      </c>
      <c r="E52" s="1178"/>
      <c r="F52" s="1178"/>
      <c r="G52" s="1178"/>
      <c r="H52" s="1178"/>
      <c r="L52" s="30"/>
      <c r="M52" s="67"/>
      <c r="N52" s="67"/>
      <c r="O52" s="4"/>
      <c r="P52" s="5"/>
      <c r="Q52" s="34"/>
      <c r="U52" s="17"/>
    </row>
    <row r="53" spans="1:37" ht="13.5" thickBot="1">
      <c r="A53" s="5"/>
      <c r="D53" s="81"/>
      <c r="E53" s="81"/>
      <c r="F53" s="81"/>
      <c r="G53" s="81"/>
      <c r="H53" s="82"/>
      <c r="I53" s="82"/>
      <c r="J53" s="81"/>
      <c r="K53" s="81"/>
      <c r="O53" s="4"/>
      <c r="P53" s="5"/>
      <c r="U53" s="17"/>
    </row>
    <row r="54" spans="1:37" ht="13.5" thickTop="1">
      <c r="A54" s="5"/>
      <c r="D54" s="5"/>
      <c r="E54" s="16"/>
      <c r="F54" s="16"/>
      <c r="G54" s="16"/>
      <c r="H54" s="29"/>
      <c r="I54" s="29"/>
      <c r="M54" s="16"/>
      <c r="N54" s="16"/>
      <c r="O54" s="4"/>
      <c r="P54" s="5"/>
      <c r="U54" s="52"/>
    </row>
    <row r="55" spans="1:37">
      <c r="A55" s="5"/>
      <c r="E55" s="83" t="str">
        <f>F6</f>
        <v>30 April 2017</v>
      </c>
      <c r="F55" s="83" t="str">
        <f>G6</f>
        <v>31 Maret 2017</v>
      </c>
      <c r="G55" s="83" t="str">
        <f>H6</f>
        <v>30 April 2016</v>
      </c>
      <c r="H55" s="84" t="s">
        <v>54</v>
      </c>
      <c r="I55" s="85" t="s">
        <v>55</v>
      </c>
      <c r="J55" s="86" t="s">
        <v>56</v>
      </c>
      <c r="K55" s="19" t="s">
        <v>9</v>
      </c>
      <c r="O55" s="4"/>
      <c r="P55" s="5"/>
      <c r="U55" s="17"/>
    </row>
    <row r="56" spans="1:37" ht="13.5" thickBot="1">
      <c r="A56" s="5"/>
      <c r="D56" s="87"/>
      <c r="E56" s="88"/>
      <c r="F56" s="88"/>
      <c r="G56" s="89"/>
      <c r="H56" s="90"/>
      <c r="I56" s="90"/>
      <c r="J56" s="91"/>
      <c r="K56" s="91"/>
      <c r="L56" s="16"/>
      <c r="O56" s="16"/>
      <c r="P56" s="16"/>
      <c r="Q56" s="16"/>
      <c r="R56" s="16"/>
      <c r="S56" s="16"/>
    </row>
    <row r="57" spans="1:37" ht="13.5" thickTop="1">
      <c r="A57" s="5"/>
      <c r="D57" s="87"/>
      <c r="E57" s="53"/>
      <c r="F57" s="53"/>
      <c r="G57" s="92"/>
      <c r="H57" s="93"/>
      <c r="I57" s="93"/>
      <c r="J57" s="16"/>
      <c r="K57" s="16"/>
      <c r="O57" s="4"/>
    </row>
    <row r="58" spans="1:37">
      <c r="A58" s="5"/>
      <c r="D58" s="94" t="s">
        <v>57</v>
      </c>
      <c r="E58" s="95"/>
      <c r="F58" s="1"/>
      <c r="G58" s="1"/>
      <c r="H58" s="96"/>
      <c r="I58" s="97"/>
      <c r="J58" s="16"/>
      <c r="K58" s="16"/>
      <c r="L58" s="16"/>
      <c r="M58" s="16"/>
      <c r="N58" s="16"/>
      <c r="O58" s="4"/>
    </row>
    <row r="59" spans="1:37">
      <c r="A59" s="5"/>
      <c r="C59" s="43"/>
      <c r="D59" s="5" t="s">
        <v>58</v>
      </c>
      <c r="E59" s="35">
        <f>E584+E591</f>
        <v>2138691445.6900001</v>
      </c>
      <c r="F59" s="35">
        <f>F584+F591</f>
        <v>2382252597.0299997</v>
      </c>
      <c r="G59" s="35">
        <f>G584+G591</f>
        <v>1812192360</v>
      </c>
      <c r="H59" s="35">
        <f>H584+H591</f>
        <v>8997485086.1599979</v>
      </c>
      <c r="I59" s="35">
        <f>I584+I591</f>
        <v>6829827418</v>
      </c>
      <c r="J59" s="16">
        <f>+H59-I59</f>
        <v>2167657668.1599979</v>
      </c>
      <c r="K59" s="98">
        <f>+J59/I59</f>
        <v>0.3173810311000157</v>
      </c>
      <c r="L59" s="16"/>
      <c r="M59" s="16"/>
      <c r="N59" s="16"/>
      <c r="O59" s="4"/>
    </row>
    <row r="60" spans="1:37">
      <c r="A60" s="5"/>
      <c r="B60" s="61" t="s">
        <v>59</v>
      </c>
      <c r="D60" s="16" t="s">
        <v>60</v>
      </c>
      <c r="E60" s="16">
        <v>0</v>
      </c>
      <c r="F60" s="16">
        <v>52985179.049999997</v>
      </c>
      <c r="G60" s="16">
        <v>0</v>
      </c>
      <c r="H60" s="29">
        <v>52985179.049999997</v>
      </c>
      <c r="I60" s="29">
        <v>1834185</v>
      </c>
      <c r="J60" s="43">
        <f>+H60-I60</f>
        <v>51150994.049999997</v>
      </c>
      <c r="K60" s="98">
        <f>+J60/I60</f>
        <v>27.887587157238773</v>
      </c>
      <c r="L60" s="16"/>
      <c r="M60" s="16"/>
      <c r="N60" s="16"/>
      <c r="O60" s="16"/>
      <c r="P60" s="16"/>
      <c r="Q60" s="16"/>
      <c r="R60" s="16"/>
      <c r="S60" s="16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</row>
    <row r="61" spans="1:37">
      <c r="A61" s="5"/>
      <c r="D61" s="5"/>
      <c r="E61" s="35"/>
      <c r="F61" s="35"/>
      <c r="G61" s="35"/>
      <c r="H61" s="99"/>
      <c r="I61" s="99"/>
      <c r="J61" s="16"/>
      <c r="K61" s="16"/>
      <c r="L61" s="16"/>
      <c r="M61" s="16"/>
      <c r="N61" s="16"/>
      <c r="O61" s="16"/>
    </row>
    <row r="62" spans="1:37">
      <c r="A62" s="5"/>
      <c r="D62" s="94" t="s">
        <v>61</v>
      </c>
      <c r="E62" s="100">
        <f t="shared" ref="E62:J62" si="0">SUM(E59:E61)</f>
        <v>2138691445.6900001</v>
      </c>
      <c r="F62" s="100">
        <f>SUM(F59:F61)</f>
        <v>2435237776.0799999</v>
      </c>
      <c r="G62" s="100">
        <f t="shared" si="0"/>
        <v>1812192360</v>
      </c>
      <c r="H62" s="101">
        <f t="shared" si="0"/>
        <v>9050470265.2099972</v>
      </c>
      <c r="I62" s="101">
        <f t="shared" si="0"/>
        <v>6831661603</v>
      </c>
      <c r="J62" s="100">
        <f t="shared" si="0"/>
        <v>2218808662.2099981</v>
      </c>
      <c r="K62" s="102">
        <f>+J62/I62</f>
        <v>0.32478316274266988</v>
      </c>
      <c r="L62" s="16"/>
      <c r="M62" s="16"/>
      <c r="N62" s="16"/>
      <c r="O62" s="16"/>
    </row>
    <row r="63" spans="1:37">
      <c r="A63" s="5"/>
      <c r="D63" s="43"/>
      <c r="E63" s="35"/>
      <c r="F63" s="35"/>
      <c r="G63" s="35"/>
      <c r="H63" s="99"/>
      <c r="I63" s="99"/>
      <c r="J63" s="16"/>
      <c r="K63" s="16"/>
      <c r="L63" s="16"/>
      <c r="M63" s="16"/>
      <c r="N63" s="16"/>
      <c r="O63" s="16"/>
    </row>
    <row r="64" spans="1:37">
      <c r="A64" s="5"/>
      <c r="D64" s="94" t="s">
        <v>62</v>
      </c>
      <c r="E64" s="35"/>
      <c r="F64" s="35"/>
      <c r="G64" s="35"/>
      <c r="H64" s="103"/>
      <c r="I64" s="99"/>
      <c r="J64" s="16"/>
      <c r="K64" s="16"/>
      <c r="L64" s="16"/>
      <c r="M64" s="16"/>
      <c r="N64" s="16"/>
      <c r="O64" s="16"/>
    </row>
    <row r="65" spans="1:15">
      <c r="A65" s="5"/>
      <c r="C65" s="76"/>
      <c r="D65" s="5" t="s">
        <v>63</v>
      </c>
      <c r="E65" s="104">
        <f>E614</f>
        <v>1342032425</v>
      </c>
      <c r="F65" s="104">
        <f>F614</f>
        <v>1261830054.8299999</v>
      </c>
      <c r="G65" s="105">
        <f>G614</f>
        <v>1324786268</v>
      </c>
      <c r="H65" s="104">
        <f>H614</f>
        <v>5179661817.8299999</v>
      </c>
      <c r="I65" s="104">
        <f>I614</f>
        <v>4891570839.6499996</v>
      </c>
      <c r="J65" s="16">
        <f t="shared" ref="J65:J81" si="1">+H65-I65</f>
        <v>288090978.18000031</v>
      </c>
      <c r="K65" s="98">
        <f>+J65/I65</f>
        <v>5.8895391199243821E-2</v>
      </c>
      <c r="L65" s="106">
        <f>+H65/$H$83</f>
        <v>0.52482155928533181</v>
      </c>
      <c r="M65" s="16"/>
      <c r="N65" s="16"/>
      <c r="O65" s="16"/>
    </row>
    <row r="66" spans="1:15">
      <c r="A66" s="5"/>
      <c r="C66" s="76"/>
      <c r="D66" s="5" t="s">
        <v>64</v>
      </c>
      <c r="E66" s="104">
        <f>+E621</f>
        <v>0</v>
      </c>
      <c r="F66" s="104">
        <f>+F621</f>
        <v>0</v>
      </c>
      <c r="G66" s="105">
        <f>+G621</f>
        <v>0</v>
      </c>
      <c r="H66" s="104">
        <f>+H621</f>
        <v>0</v>
      </c>
      <c r="I66" s="104">
        <v>150407676</v>
      </c>
      <c r="J66" s="16">
        <f t="shared" si="1"/>
        <v>-150407676</v>
      </c>
      <c r="K66" s="98">
        <v>0</v>
      </c>
      <c r="L66" s="106">
        <f t="shared" ref="L66:L81" si="2">+H66/$H$83</f>
        <v>0</v>
      </c>
      <c r="M66" s="16"/>
      <c r="N66" s="16"/>
      <c r="O66" s="16"/>
    </row>
    <row r="67" spans="1:15">
      <c r="A67" s="5"/>
      <c r="C67" s="76"/>
      <c r="D67" s="5" t="s">
        <v>65</v>
      </c>
      <c r="E67" s="104">
        <f>E762</f>
        <v>17428612</v>
      </c>
      <c r="F67" s="35">
        <f>F762</f>
        <v>52953621</v>
      </c>
      <c r="G67" s="105">
        <f>G762</f>
        <v>2940000</v>
      </c>
      <c r="H67" s="35">
        <f>H762</f>
        <v>148756818</v>
      </c>
      <c r="I67" s="104">
        <v>1724035543</v>
      </c>
      <c r="J67" s="16">
        <f t="shared" si="1"/>
        <v>-1575278725</v>
      </c>
      <c r="K67" s="98">
        <f t="shared" ref="K67:K81" si="3">+J67/I67</f>
        <v>-0.91371592157482573</v>
      </c>
      <c r="L67" s="106">
        <f t="shared" si="2"/>
        <v>1.5072564179449032E-2</v>
      </c>
      <c r="M67" s="16"/>
      <c r="N67" s="16"/>
      <c r="O67" s="16"/>
    </row>
    <row r="68" spans="1:15">
      <c r="A68" s="5"/>
      <c r="C68" s="76"/>
      <c r="D68" s="5" t="s">
        <v>66</v>
      </c>
      <c r="E68" s="104">
        <f>E639</f>
        <v>378848835.03299999</v>
      </c>
      <c r="F68" s="35">
        <f>F639</f>
        <v>-293570988</v>
      </c>
      <c r="G68" s="105">
        <f>G639</f>
        <v>352544735</v>
      </c>
      <c r="H68" s="35">
        <f>H639</f>
        <v>1430468757.033</v>
      </c>
      <c r="I68" s="104">
        <v>0</v>
      </c>
      <c r="J68" s="16">
        <f t="shared" si="1"/>
        <v>1430468757.033</v>
      </c>
      <c r="K68" s="98" t="e">
        <f t="shared" si="3"/>
        <v>#DIV/0!</v>
      </c>
      <c r="L68" s="106">
        <f t="shared" si="2"/>
        <v>0.1449401273632821</v>
      </c>
      <c r="M68" s="16"/>
      <c r="N68" s="16"/>
      <c r="O68" s="16"/>
    </row>
    <row r="69" spans="1:15">
      <c r="A69" s="5"/>
      <c r="C69" s="76"/>
      <c r="D69" s="5" t="s">
        <v>67</v>
      </c>
      <c r="E69" s="104">
        <f>E646</f>
        <v>0</v>
      </c>
      <c r="F69" s="35">
        <f>F646</f>
        <v>0</v>
      </c>
      <c r="G69" s="105">
        <f>G646</f>
        <v>0</v>
      </c>
      <c r="H69" s="35">
        <f>H646</f>
        <v>0</v>
      </c>
      <c r="I69" s="104">
        <v>313566339</v>
      </c>
      <c r="J69" s="16">
        <f t="shared" si="1"/>
        <v>-313566339</v>
      </c>
      <c r="K69" s="98">
        <v>0</v>
      </c>
      <c r="L69" s="106">
        <f t="shared" si="2"/>
        <v>0</v>
      </c>
      <c r="M69" s="16"/>
      <c r="N69" s="16"/>
      <c r="O69" s="16"/>
    </row>
    <row r="70" spans="1:15">
      <c r="A70" s="5"/>
      <c r="C70" s="76"/>
      <c r="D70" s="5" t="s">
        <v>68</v>
      </c>
      <c r="E70" s="104">
        <f>E738</f>
        <v>71312007</v>
      </c>
      <c r="F70" s="35">
        <f>F738</f>
        <v>-33437716</v>
      </c>
      <c r="G70" s="105">
        <f>G738</f>
        <v>13696442</v>
      </c>
      <c r="H70" s="35">
        <f>H738</f>
        <v>159066664</v>
      </c>
      <c r="I70" s="104">
        <v>226486794</v>
      </c>
      <c r="J70" s="16">
        <f t="shared" si="1"/>
        <v>-67420130</v>
      </c>
      <c r="K70" s="98">
        <f t="shared" si="3"/>
        <v>-0.29767797410739982</v>
      </c>
      <c r="L70" s="106">
        <f t="shared" si="2"/>
        <v>1.6117194049894607E-2</v>
      </c>
      <c r="M70" s="16"/>
      <c r="N70" s="16"/>
      <c r="O70" s="16"/>
    </row>
    <row r="71" spans="1:15">
      <c r="A71" s="5"/>
      <c r="C71" s="76"/>
      <c r="D71" s="5" t="s">
        <v>69</v>
      </c>
      <c r="E71" s="104">
        <f>E745</f>
        <v>44136394</v>
      </c>
      <c r="F71" s="35">
        <f>F745</f>
        <v>-117960</v>
      </c>
      <c r="G71" s="105">
        <f>G745</f>
        <v>59227905</v>
      </c>
      <c r="H71" s="35">
        <f>H745</f>
        <v>147136394</v>
      </c>
      <c r="I71" s="104">
        <v>701309598</v>
      </c>
      <c r="J71" s="16">
        <f t="shared" si="1"/>
        <v>-554173204</v>
      </c>
      <c r="K71" s="98">
        <f t="shared" si="3"/>
        <v>-0.79019766103357969</v>
      </c>
      <c r="L71" s="106">
        <f t="shared" si="2"/>
        <v>1.490837711853785E-2</v>
      </c>
      <c r="M71" s="16"/>
      <c r="N71" s="16"/>
      <c r="O71" s="16"/>
    </row>
    <row r="72" spans="1:15">
      <c r="A72" s="5"/>
      <c r="C72" s="76"/>
      <c r="D72" s="5" t="s">
        <v>70</v>
      </c>
      <c r="E72" s="104">
        <f>E671</f>
        <v>162787166</v>
      </c>
      <c r="F72" s="35">
        <f>F671</f>
        <v>162862744.97</v>
      </c>
      <c r="G72" s="105">
        <f>G671</f>
        <v>175527348</v>
      </c>
      <c r="H72" s="35">
        <f>H671</f>
        <v>701057921.97000003</v>
      </c>
      <c r="I72" s="104">
        <v>67672488</v>
      </c>
      <c r="J72" s="16">
        <f t="shared" si="1"/>
        <v>633385433.97000003</v>
      </c>
      <c r="K72" s="98">
        <f t="shared" si="3"/>
        <v>9.3595706717625049</v>
      </c>
      <c r="L72" s="106">
        <f t="shared" si="2"/>
        <v>7.1033655226505288E-2</v>
      </c>
      <c r="M72" s="16"/>
      <c r="N72" s="16"/>
      <c r="O72" s="16"/>
    </row>
    <row r="73" spans="1:15">
      <c r="A73" s="5"/>
      <c r="C73" s="76"/>
      <c r="D73" s="5" t="s">
        <v>71</v>
      </c>
      <c r="E73" s="104">
        <f>E785</f>
        <v>17439688</v>
      </c>
      <c r="F73" s="35">
        <f>F785</f>
        <v>-4439293</v>
      </c>
      <c r="G73" s="105">
        <f>G785</f>
        <v>31020781</v>
      </c>
      <c r="H73" s="35">
        <f>H785</f>
        <v>48798477</v>
      </c>
      <c r="I73" s="104">
        <v>230063158</v>
      </c>
      <c r="J73" s="16">
        <f t="shared" si="1"/>
        <v>-181264681</v>
      </c>
      <c r="K73" s="98">
        <f t="shared" si="3"/>
        <v>-0.78789095383972774</v>
      </c>
      <c r="L73" s="106">
        <f t="shared" si="2"/>
        <v>4.9444333801350032E-3</v>
      </c>
      <c r="M73" s="16"/>
      <c r="N73" s="16"/>
      <c r="O73" s="16"/>
    </row>
    <row r="74" spans="1:15">
      <c r="A74" s="5"/>
      <c r="C74" s="76"/>
      <c r="D74" s="5" t="s">
        <v>72</v>
      </c>
      <c r="E74" s="104">
        <f>E710</f>
        <v>40339240</v>
      </c>
      <c r="F74" s="35">
        <f>F710</f>
        <v>77230328</v>
      </c>
      <c r="G74" s="105">
        <f>G710</f>
        <v>58142952</v>
      </c>
      <c r="H74" s="35">
        <f>H710</f>
        <v>263599652</v>
      </c>
      <c r="I74" s="104">
        <v>204653846</v>
      </c>
      <c r="J74" s="16">
        <f t="shared" si="1"/>
        <v>58945806</v>
      </c>
      <c r="K74" s="98">
        <f t="shared" si="3"/>
        <v>0.28802686659502114</v>
      </c>
      <c r="L74" s="106">
        <f t="shared" si="2"/>
        <v>2.6708844178492917E-2</v>
      </c>
      <c r="M74" s="16"/>
      <c r="N74" s="16"/>
      <c r="O74" s="16"/>
    </row>
    <row r="75" spans="1:15">
      <c r="A75" s="5"/>
      <c r="C75" s="76"/>
      <c r="D75" s="5" t="s">
        <v>73</v>
      </c>
      <c r="E75" s="104">
        <f>E753</f>
        <v>103870000</v>
      </c>
      <c r="F75" s="35">
        <f>F753</f>
        <v>0</v>
      </c>
      <c r="G75" s="105">
        <f>G753</f>
        <v>22400000</v>
      </c>
      <c r="H75" s="35">
        <f>H753</f>
        <v>311670000</v>
      </c>
      <c r="I75" s="104">
        <v>83085367</v>
      </c>
      <c r="J75" s="16">
        <f t="shared" si="1"/>
        <v>228584633</v>
      </c>
      <c r="K75" s="98">
        <f t="shared" si="3"/>
        <v>2.7512020618504338</v>
      </c>
      <c r="L75" s="106">
        <f t="shared" si="2"/>
        <v>3.1579500966529679E-2</v>
      </c>
      <c r="M75" s="16"/>
      <c r="N75" s="16"/>
      <c r="O75" s="16"/>
    </row>
    <row r="76" spans="1:15">
      <c r="A76" s="5"/>
      <c r="C76" s="76"/>
      <c r="D76" s="5" t="s">
        <v>74</v>
      </c>
      <c r="E76" s="104">
        <f>E773</f>
        <v>44500567</v>
      </c>
      <c r="F76" s="35">
        <f>F773</f>
        <v>4735304</v>
      </c>
      <c r="G76" s="105">
        <f>G773</f>
        <v>17924155</v>
      </c>
      <c r="H76" s="35">
        <f>H773</f>
        <v>101425303</v>
      </c>
      <c r="I76" s="104">
        <v>32616668</v>
      </c>
      <c r="J76" s="16">
        <f t="shared" si="1"/>
        <v>68808635</v>
      </c>
      <c r="K76" s="98">
        <f t="shared" si="3"/>
        <v>2.1096157032349225</v>
      </c>
      <c r="L76" s="106">
        <f t="shared" si="2"/>
        <v>1.0276768550451008E-2</v>
      </c>
      <c r="M76" s="16"/>
      <c r="N76" s="16"/>
      <c r="O76" s="16"/>
    </row>
    <row r="77" spans="1:15">
      <c r="A77" s="5"/>
      <c r="C77" s="76"/>
      <c r="D77" s="5" t="s">
        <v>75</v>
      </c>
      <c r="E77" s="104">
        <f>E678</f>
        <v>15155642</v>
      </c>
      <c r="F77" s="35">
        <f>F678</f>
        <v>15155641.67</v>
      </c>
      <c r="G77" s="105">
        <f>G678</f>
        <v>8154167</v>
      </c>
      <c r="H77" s="35">
        <f>H678</f>
        <v>60622567.670000002</v>
      </c>
      <c r="I77" s="104">
        <v>258368726</v>
      </c>
      <c r="J77" s="16">
        <f t="shared" si="1"/>
        <v>-197746158.32999998</v>
      </c>
      <c r="K77" s="98">
        <f t="shared" si="3"/>
        <v>-0.76536414213692405</v>
      </c>
      <c r="L77" s="106">
        <f t="shared" si="2"/>
        <v>6.1424918481993006E-3</v>
      </c>
      <c r="M77" s="16"/>
      <c r="N77" s="16"/>
      <c r="O77" s="16"/>
    </row>
    <row r="78" spans="1:15">
      <c r="A78" s="5"/>
      <c r="C78" s="76"/>
      <c r="D78" s="5" t="s">
        <v>76</v>
      </c>
      <c r="E78" s="104">
        <f>E792</f>
        <v>178486642</v>
      </c>
      <c r="F78" s="35">
        <f>F792</f>
        <v>24080742</v>
      </c>
      <c r="G78" s="105">
        <f>G792</f>
        <v>70095048</v>
      </c>
      <c r="H78" s="35">
        <f>H792</f>
        <v>462617708</v>
      </c>
      <c r="I78" s="104">
        <v>6716846</v>
      </c>
      <c r="J78" s="16">
        <f t="shared" si="1"/>
        <v>455900862</v>
      </c>
      <c r="K78" s="98">
        <f t="shared" si="3"/>
        <v>67.874246633017933</v>
      </c>
      <c r="L78" s="106">
        <f t="shared" si="2"/>
        <v>4.6874053829113312E-2</v>
      </c>
      <c r="M78" s="16"/>
      <c r="N78" s="16"/>
      <c r="O78" s="16"/>
    </row>
    <row r="79" spans="1:15">
      <c r="A79" s="5"/>
      <c r="C79" s="76"/>
      <c r="D79" s="5" t="s">
        <v>77</v>
      </c>
      <c r="E79" s="104">
        <f>E802</f>
        <v>0</v>
      </c>
      <c r="F79" s="35">
        <f>F802</f>
        <v>0</v>
      </c>
      <c r="G79" s="105">
        <f>G802</f>
        <v>2934846</v>
      </c>
      <c r="H79" s="35">
        <f>H802</f>
        <v>-7740900</v>
      </c>
      <c r="I79" s="104">
        <v>45154942</v>
      </c>
      <c r="J79" s="16">
        <f t="shared" si="1"/>
        <v>-52895842</v>
      </c>
      <c r="K79" s="98">
        <f t="shared" si="3"/>
        <v>-1.1714297407357981</v>
      </c>
      <c r="L79" s="106">
        <f t="shared" si="2"/>
        <v>-7.8433522325475533E-4</v>
      </c>
      <c r="M79" s="16"/>
      <c r="N79" s="16"/>
      <c r="O79" s="16"/>
    </row>
    <row r="80" spans="1:15">
      <c r="A80" s="5"/>
      <c r="C80" s="76"/>
      <c r="D80" s="5" t="s">
        <v>78</v>
      </c>
      <c r="E80" s="104">
        <f>E824</f>
        <v>13381990</v>
      </c>
      <c r="F80" s="35">
        <f>F824</f>
        <v>5038105.33</v>
      </c>
      <c r="G80" s="105">
        <f>G824</f>
        <v>10870461</v>
      </c>
      <c r="H80" s="35">
        <f>H824</f>
        <v>53118802.329999998</v>
      </c>
      <c r="I80" s="104">
        <v>334159026</v>
      </c>
      <c r="J80" s="16">
        <f t="shared" si="1"/>
        <v>-281040223.67000002</v>
      </c>
      <c r="K80" s="98">
        <f t="shared" si="3"/>
        <v>-0.84103735587857509</v>
      </c>
      <c r="L80" s="106">
        <f t="shared" si="2"/>
        <v>5.3821839430202908E-3</v>
      </c>
      <c r="M80" s="16"/>
      <c r="N80" s="16"/>
      <c r="O80" s="16"/>
    </row>
    <row r="81" spans="1:15">
      <c r="A81" s="5"/>
      <c r="C81" s="76"/>
      <c r="D81" s="5" t="s">
        <v>79</v>
      </c>
      <c r="E81" s="35">
        <f>E835</f>
        <v>591090116</v>
      </c>
      <c r="F81" s="35">
        <f>F835</f>
        <v>66748533</v>
      </c>
      <c r="G81" s="105">
        <f>G835</f>
        <v>81757541</v>
      </c>
      <c r="H81" s="35">
        <f>H835</f>
        <v>809117001</v>
      </c>
      <c r="I81" s="104">
        <v>0</v>
      </c>
      <c r="J81" s="16">
        <f t="shared" si="1"/>
        <v>809117001</v>
      </c>
      <c r="K81" s="98" t="e">
        <f t="shared" si="3"/>
        <v>#DIV/0!</v>
      </c>
      <c r="L81" s="106">
        <f t="shared" si="2"/>
        <v>8.198258130431256E-2</v>
      </c>
      <c r="M81" s="16"/>
      <c r="N81" s="16"/>
      <c r="O81" s="16"/>
    </row>
    <row r="82" spans="1:15">
      <c r="A82" s="5"/>
      <c r="D82" s="5"/>
      <c r="E82" s="35"/>
      <c r="F82" s="35"/>
      <c r="G82" s="107"/>
      <c r="H82" s="35"/>
      <c r="I82" s="99"/>
      <c r="J82" s="16"/>
      <c r="K82" s="16"/>
      <c r="L82" s="16"/>
      <c r="M82" s="16"/>
      <c r="N82" s="16"/>
      <c r="O82" s="16"/>
    </row>
    <row r="83" spans="1:15">
      <c r="A83" s="5"/>
      <c r="D83" s="108" t="s">
        <v>80</v>
      </c>
      <c r="E83" s="100">
        <f t="shared" ref="E83:J83" si="4">SUM(E65:E81)</f>
        <v>3020809324.033</v>
      </c>
      <c r="F83" s="100">
        <f t="shared" si="4"/>
        <v>1339069117.8</v>
      </c>
      <c r="G83" s="100">
        <f t="shared" si="4"/>
        <v>2232022649</v>
      </c>
      <c r="H83" s="101">
        <f t="shared" si="4"/>
        <v>9869376983.8330002</v>
      </c>
      <c r="I83" s="101">
        <f t="shared" si="4"/>
        <v>9269867856.6499996</v>
      </c>
      <c r="J83" s="100">
        <f t="shared" si="4"/>
        <v>599509127.18300033</v>
      </c>
      <c r="K83" s="102">
        <f>+J83/I83</f>
        <v>6.4672888163440828E-2</v>
      </c>
      <c r="L83" s="106">
        <f>SUM(L65:L82)</f>
        <v>1</v>
      </c>
      <c r="M83" s="16"/>
      <c r="N83" s="16"/>
      <c r="O83" s="16"/>
    </row>
    <row r="84" spans="1:15">
      <c r="A84" s="5"/>
      <c r="D84" s="5"/>
      <c r="E84" s="109"/>
      <c r="F84" s="109">
        <v>0</v>
      </c>
      <c r="G84" s="109"/>
      <c r="H84" s="99"/>
      <c r="I84" s="99"/>
      <c r="J84" s="16"/>
      <c r="K84" s="16"/>
      <c r="L84" s="16"/>
      <c r="M84" s="16"/>
      <c r="N84" s="16"/>
      <c r="O84" s="16"/>
    </row>
    <row r="85" spans="1:15">
      <c r="A85" s="5"/>
      <c r="D85" s="94" t="s">
        <v>81</v>
      </c>
      <c r="E85" s="100">
        <f t="shared" ref="E85:J85" si="5">E62-E83</f>
        <v>-882117878.34299994</v>
      </c>
      <c r="F85" s="100">
        <f t="shared" si="5"/>
        <v>1096168658.28</v>
      </c>
      <c r="G85" s="100">
        <f t="shared" si="5"/>
        <v>-419830289</v>
      </c>
      <c r="H85" s="101">
        <f>H62-H83</f>
        <v>-818906718.62300301</v>
      </c>
      <c r="I85" s="101">
        <f t="shared" si="5"/>
        <v>-2438206253.6499996</v>
      </c>
      <c r="J85" s="100">
        <f t="shared" si="5"/>
        <v>1619299535.0269978</v>
      </c>
      <c r="K85" s="102">
        <f>+J85/I85</f>
        <v>-0.66413558434726483</v>
      </c>
      <c r="L85" s="16"/>
      <c r="M85" s="16"/>
      <c r="N85" s="16"/>
      <c r="O85" s="16"/>
    </row>
    <row r="86" spans="1:15">
      <c r="A86" s="5"/>
      <c r="D86" s="5"/>
      <c r="E86" s="35"/>
      <c r="F86" s="35"/>
      <c r="G86" s="35"/>
      <c r="H86" s="110"/>
      <c r="I86" s="110"/>
      <c r="J86" s="16"/>
      <c r="K86" s="16"/>
      <c r="L86" s="16"/>
      <c r="M86" s="16"/>
      <c r="N86" s="16"/>
      <c r="O86" s="16"/>
    </row>
    <row r="87" spans="1:15">
      <c r="A87" s="5"/>
      <c r="D87" s="94" t="s">
        <v>82</v>
      </c>
      <c r="E87" s="35"/>
      <c r="F87" s="35"/>
      <c r="G87" s="35"/>
      <c r="H87" s="99"/>
      <c r="I87" s="99"/>
      <c r="J87" s="16"/>
      <c r="K87" s="16"/>
      <c r="L87" s="16"/>
      <c r="M87" s="16"/>
      <c r="N87" s="16"/>
      <c r="O87" s="16"/>
    </row>
    <row r="88" spans="1:15">
      <c r="A88" s="5"/>
      <c r="D88" s="5" t="s">
        <v>83</v>
      </c>
      <c r="E88" s="35">
        <f>E845-E843</f>
        <v>8966917.4199999999</v>
      </c>
      <c r="F88" s="35">
        <f>F845-F843</f>
        <v>6956802.2199999997</v>
      </c>
      <c r="G88" s="35">
        <v>-5590765</v>
      </c>
      <c r="H88" s="35">
        <f>H845-H843</f>
        <v>37455779.640000001</v>
      </c>
      <c r="I88" s="104">
        <v>54609929</v>
      </c>
      <c r="J88" s="16">
        <f t="shared" ref="J88:J95" si="6">+H88-I88</f>
        <v>-17154149.359999999</v>
      </c>
      <c r="K88" s="98">
        <f>+J88/I88</f>
        <v>-0.3141214367812124</v>
      </c>
      <c r="L88" s="16"/>
      <c r="M88" s="111">
        <v>28488862.219999999</v>
      </c>
      <c r="N88" s="5" t="s">
        <v>83</v>
      </c>
      <c r="O88" s="16"/>
    </row>
    <row r="89" spans="1:15">
      <c r="A89" s="5"/>
      <c r="D89" s="112" t="s">
        <v>84</v>
      </c>
      <c r="E89" s="35">
        <f>E854</f>
        <v>-10011668.800000001</v>
      </c>
      <c r="F89" s="35">
        <f>F854</f>
        <v>-10547693.560000001</v>
      </c>
      <c r="G89" s="35">
        <v>0</v>
      </c>
      <c r="H89" s="35">
        <f>H854</f>
        <v>-41895903.359999999</v>
      </c>
      <c r="I89" s="104">
        <v>-23303585</v>
      </c>
      <c r="J89" s="16">
        <f t="shared" si="6"/>
        <v>-18592318.359999999</v>
      </c>
      <c r="K89" s="98">
        <f>+J89/I89</f>
        <v>0.79783082130925342</v>
      </c>
      <c r="L89" s="16"/>
      <c r="M89" s="111">
        <v>-31884234.560000002</v>
      </c>
      <c r="N89" s="112" t="s">
        <v>84</v>
      </c>
      <c r="O89" s="16"/>
    </row>
    <row r="90" spans="1:15">
      <c r="A90" s="5"/>
      <c r="D90" s="5" t="s">
        <v>85</v>
      </c>
      <c r="E90" s="35">
        <f>E886</f>
        <v>16080183</v>
      </c>
      <c r="F90" s="35">
        <f>F886</f>
        <v>15982534</v>
      </c>
      <c r="G90" s="35">
        <v>-6211170</v>
      </c>
      <c r="H90" s="35">
        <f>H886</f>
        <v>46839321</v>
      </c>
      <c r="I90" s="104">
        <v>0</v>
      </c>
      <c r="J90" s="16">
        <f t="shared" si="6"/>
        <v>46839321</v>
      </c>
      <c r="K90" s="98">
        <v>0</v>
      </c>
      <c r="L90" s="16"/>
      <c r="M90" s="111">
        <v>30759138</v>
      </c>
      <c r="N90" s="5" t="s">
        <v>85</v>
      </c>
      <c r="O90" s="16"/>
    </row>
    <row r="91" spans="1:15">
      <c r="A91" s="5"/>
      <c r="D91" s="5" t="s">
        <v>86</v>
      </c>
      <c r="E91" s="35">
        <f>E890</f>
        <v>-135266.59999999998</v>
      </c>
      <c r="F91" s="35">
        <f>F890</f>
        <v>-1914734.13</v>
      </c>
      <c r="G91" s="35">
        <v>-76873653</v>
      </c>
      <c r="H91" s="35">
        <f>H890</f>
        <v>-14859994.530000001</v>
      </c>
      <c r="I91" s="104">
        <v>-67351677</v>
      </c>
      <c r="J91" s="16">
        <f t="shared" si="6"/>
        <v>52491682.469999999</v>
      </c>
      <c r="K91" s="98">
        <f>+J91/I91</f>
        <v>-0.77936711909935075</v>
      </c>
      <c r="L91" s="16"/>
      <c r="M91" s="66">
        <v>-14995261.129999999</v>
      </c>
      <c r="N91" s="5" t="s">
        <v>86</v>
      </c>
      <c r="O91" s="16"/>
    </row>
    <row r="92" spans="1:15">
      <c r="A92" s="5"/>
      <c r="D92" s="113" t="s">
        <v>87</v>
      </c>
      <c r="E92" s="35">
        <f>E860+E862</f>
        <v>946144059.85000038</v>
      </c>
      <c r="F92" s="35">
        <f>F860+F862</f>
        <v>506551</v>
      </c>
      <c r="G92" s="35">
        <v>0</v>
      </c>
      <c r="H92" s="35">
        <f>H860+H862</f>
        <v>3235164739.8500004</v>
      </c>
      <c r="I92" s="104">
        <v>1099518684</v>
      </c>
      <c r="J92" s="16">
        <f>+H92-I92</f>
        <v>2135646055.8500004</v>
      </c>
      <c r="K92" s="76">
        <v>0</v>
      </c>
      <c r="L92" s="16"/>
      <c r="M92" s="111">
        <v>2289020680</v>
      </c>
      <c r="N92" s="113" t="s">
        <v>87</v>
      </c>
      <c r="O92" s="4"/>
    </row>
    <row r="93" spans="1:15">
      <c r="A93" s="5"/>
      <c r="D93" s="113" t="s">
        <v>88</v>
      </c>
      <c r="E93" s="35">
        <f>E859+E861</f>
        <v>10996507</v>
      </c>
      <c r="F93" s="35">
        <f>F859+F861</f>
        <v>-117246145</v>
      </c>
      <c r="G93" s="35">
        <v>1200378050</v>
      </c>
      <c r="H93" s="35">
        <f>H859+H861</f>
        <v>19945109</v>
      </c>
      <c r="I93" s="104">
        <v>2701952949</v>
      </c>
      <c r="J93" s="16">
        <f>+H93-I93</f>
        <v>-2682007840</v>
      </c>
      <c r="K93" s="98">
        <f>+J93/I93</f>
        <v>-0.99261826191037794</v>
      </c>
      <c r="L93" s="16"/>
      <c r="M93" s="111">
        <v>8948602</v>
      </c>
      <c r="N93" s="113" t="s">
        <v>88</v>
      </c>
      <c r="O93" s="16"/>
    </row>
    <row r="94" spans="1:15">
      <c r="A94" s="5"/>
      <c r="D94" s="5" t="s">
        <v>89</v>
      </c>
      <c r="E94" s="35">
        <f>+E872</f>
        <v>0</v>
      </c>
      <c r="F94" s="35">
        <f>+F872</f>
        <v>0</v>
      </c>
      <c r="G94" s="35">
        <v>0</v>
      </c>
      <c r="H94" s="35">
        <f>+H872</f>
        <v>0</v>
      </c>
      <c r="I94" s="104">
        <v>0</v>
      </c>
      <c r="J94" s="16">
        <f>+H94-I94</f>
        <v>0</v>
      </c>
      <c r="K94" s="76">
        <v>0</v>
      </c>
      <c r="L94" s="16"/>
      <c r="M94" s="111">
        <v>0</v>
      </c>
      <c r="N94" s="5" t="s">
        <v>89</v>
      </c>
      <c r="O94" s="16"/>
    </row>
    <row r="95" spans="1:15">
      <c r="A95" s="5"/>
      <c r="D95" s="5" t="s">
        <v>90</v>
      </c>
      <c r="E95" s="35">
        <v>0</v>
      </c>
      <c r="F95" s="35">
        <v>0</v>
      </c>
      <c r="G95" s="35">
        <v>0</v>
      </c>
      <c r="H95" s="35">
        <v>0</v>
      </c>
      <c r="I95" s="104">
        <v>0</v>
      </c>
      <c r="J95" s="16">
        <f t="shared" si="6"/>
        <v>0</v>
      </c>
      <c r="K95" s="98"/>
      <c r="L95" s="16"/>
      <c r="M95" s="111">
        <v>0</v>
      </c>
      <c r="N95" s="5" t="s">
        <v>90</v>
      </c>
      <c r="O95" s="16"/>
    </row>
    <row r="96" spans="1:15" ht="12.75" customHeight="1">
      <c r="A96" s="5"/>
      <c r="D96" s="94" t="s">
        <v>91</v>
      </c>
      <c r="E96" s="100">
        <f>SUM(E88:E95)</f>
        <v>972040731.87000036</v>
      </c>
      <c r="F96" s="100">
        <f>SUM(F88:F95)</f>
        <v>-106262685.47</v>
      </c>
      <c r="G96" s="100">
        <f>SUM(G88:G95)</f>
        <v>1111702462</v>
      </c>
      <c r="H96" s="101">
        <f>SUM(H88:H95)</f>
        <v>3282649051.6000004</v>
      </c>
      <c r="I96" s="101">
        <f>SUM(I88:I95)</f>
        <v>3765426300</v>
      </c>
      <c r="J96" s="100">
        <f>SUM(J88:J91)</f>
        <v>63584535.75</v>
      </c>
      <c r="K96" s="102">
        <f>+J96/I96</f>
        <v>1.688641090917116E-2</v>
      </c>
      <c r="L96" s="16"/>
      <c r="M96" s="16"/>
      <c r="N96" s="16"/>
      <c r="O96" s="4"/>
    </row>
    <row r="97" spans="1:23">
      <c r="A97" s="5"/>
      <c r="D97" s="5"/>
      <c r="E97" s="35"/>
      <c r="F97" s="35"/>
      <c r="G97" s="35"/>
      <c r="H97" s="110"/>
      <c r="I97" s="110"/>
      <c r="J97" s="30"/>
      <c r="K97" s="16"/>
      <c r="L97" s="16"/>
      <c r="M97" s="16"/>
      <c r="N97" s="16"/>
      <c r="O97" s="16"/>
    </row>
    <row r="98" spans="1:23" ht="13.5" thickBot="1">
      <c r="A98" s="5"/>
      <c r="D98" s="94" t="s">
        <v>92</v>
      </c>
      <c r="E98" s="114">
        <f>E85+E96</f>
        <v>89922853.527000427</v>
      </c>
      <c r="F98" s="114">
        <f>F85+F96</f>
        <v>989905972.80999994</v>
      </c>
      <c r="G98" s="114">
        <f>G85+G96</f>
        <v>691872173</v>
      </c>
      <c r="H98" s="115">
        <f>H85+H96</f>
        <v>2463742332.9769974</v>
      </c>
      <c r="I98" s="115">
        <f>I85+I96</f>
        <v>1327220046.3500004</v>
      </c>
      <c r="J98" s="69">
        <f>+H98-I98</f>
        <v>1136522286.626997</v>
      </c>
      <c r="K98" s="116">
        <f>+J98/I98</f>
        <v>0.85631790278677378</v>
      </c>
      <c r="L98" s="16"/>
      <c r="M98" s="16"/>
      <c r="N98" s="16"/>
      <c r="O98" s="16"/>
    </row>
    <row r="99" spans="1:23" ht="13.5" thickTop="1">
      <c r="A99" s="5"/>
      <c r="D99" s="117"/>
      <c r="E99" s="35"/>
      <c r="F99" s="35"/>
      <c r="G99" s="35"/>
      <c r="H99" s="99"/>
      <c r="I99" s="99"/>
      <c r="J99" s="30"/>
      <c r="K99" s="16"/>
      <c r="L99" s="16"/>
      <c r="M99" s="16"/>
      <c r="N99" s="16"/>
      <c r="O99" s="16"/>
    </row>
    <row r="100" spans="1:23">
      <c r="A100" s="5"/>
      <c r="D100" s="94" t="s">
        <v>93</v>
      </c>
      <c r="E100" s="35"/>
      <c r="F100" s="35"/>
      <c r="G100" s="35"/>
      <c r="H100" s="29"/>
      <c r="I100" s="29"/>
      <c r="J100" s="30"/>
      <c r="K100" s="16"/>
      <c r="L100" s="16"/>
      <c r="M100" s="16"/>
      <c r="N100" s="16"/>
      <c r="O100" s="16"/>
    </row>
    <row r="101" spans="1:23">
      <c r="A101" s="5"/>
      <c r="D101" s="118" t="s">
        <v>94</v>
      </c>
      <c r="E101" s="35">
        <v>0</v>
      </c>
      <c r="F101" s="35">
        <v>0</v>
      </c>
      <c r="G101" s="35">
        <v>0</v>
      </c>
      <c r="H101" s="99">
        <v>41600750</v>
      </c>
      <c r="I101" s="104">
        <v>477702750</v>
      </c>
      <c r="J101" s="16">
        <f>+H101-I101</f>
        <v>-436102000</v>
      </c>
      <c r="K101" s="98">
        <f>+J101/I101</f>
        <v>-0.91291498740587107</v>
      </c>
      <c r="L101" s="16"/>
      <c r="M101" s="16"/>
      <c r="N101" s="16"/>
      <c r="O101" s="16"/>
    </row>
    <row r="102" spans="1:23">
      <c r="A102" s="5"/>
      <c r="D102" s="118" t="s">
        <v>95</v>
      </c>
      <c r="E102" s="35">
        <v>0</v>
      </c>
      <c r="F102" s="35">
        <v>0</v>
      </c>
      <c r="G102" s="35">
        <v>0</v>
      </c>
      <c r="H102" s="119"/>
      <c r="I102" s="104">
        <v>548520255.95791054</v>
      </c>
      <c r="J102" s="16">
        <f>+H102-I102</f>
        <v>-548520255.95791054</v>
      </c>
      <c r="K102" s="98">
        <f>+J102/I102</f>
        <v>-1</v>
      </c>
      <c r="L102" s="16"/>
      <c r="M102" s="16"/>
      <c r="N102" s="16"/>
      <c r="O102" s="16"/>
    </row>
    <row r="103" spans="1:23">
      <c r="A103" s="5"/>
      <c r="D103" s="5"/>
      <c r="E103" s="35"/>
      <c r="F103" s="35"/>
      <c r="G103" s="35"/>
      <c r="H103" s="99"/>
      <c r="I103" s="99"/>
      <c r="J103" s="30"/>
      <c r="K103" s="16"/>
      <c r="L103" s="16"/>
      <c r="M103" s="16"/>
      <c r="N103" s="16"/>
      <c r="O103" s="16"/>
    </row>
    <row r="104" spans="1:23">
      <c r="A104" s="5"/>
      <c r="D104" s="94" t="s">
        <v>96</v>
      </c>
      <c r="E104" s="120">
        <f>SUM(E101:E102)</f>
        <v>0</v>
      </c>
      <c r="F104" s="120">
        <f>SUM(F101:F102)</f>
        <v>0</v>
      </c>
      <c r="G104" s="120">
        <f>SUM(G101:G102)</f>
        <v>0</v>
      </c>
      <c r="H104" s="110">
        <f>SUM(H101:H102)</f>
        <v>41600750</v>
      </c>
      <c r="I104" s="110">
        <f>SUM(I101:I102)</f>
        <v>1026223005.9579105</v>
      </c>
      <c r="J104" s="121">
        <f>+H104-I104</f>
        <v>-984622255.95791054</v>
      </c>
      <c r="K104" s="122">
        <f>+J104/I104</f>
        <v>-0.95946227110629967</v>
      </c>
      <c r="L104" s="16"/>
      <c r="M104" s="16"/>
      <c r="N104" s="16"/>
      <c r="O104" s="16"/>
    </row>
    <row r="105" spans="1:23">
      <c r="A105" s="5"/>
      <c r="D105" s="5"/>
      <c r="E105" s="123"/>
      <c r="F105" s="123"/>
      <c r="G105" s="123"/>
      <c r="H105" s="110"/>
      <c r="I105" s="110"/>
      <c r="J105" s="30"/>
      <c r="K105" s="16"/>
      <c r="L105" s="16"/>
      <c r="M105" s="16"/>
      <c r="N105" s="16"/>
      <c r="O105" s="16"/>
    </row>
    <row r="106" spans="1:23">
      <c r="A106" s="5"/>
      <c r="D106" s="5"/>
      <c r="E106" s="124"/>
      <c r="F106" s="124"/>
      <c r="G106" s="124"/>
      <c r="H106" s="125"/>
      <c r="I106" s="125"/>
      <c r="J106" s="30"/>
      <c r="K106" s="16"/>
      <c r="L106" s="16"/>
      <c r="M106" s="16"/>
      <c r="N106" s="16"/>
      <c r="O106" s="16"/>
    </row>
    <row r="107" spans="1:23" ht="13.5" thickBot="1">
      <c r="A107" s="5"/>
      <c r="D107" s="94" t="s">
        <v>97</v>
      </c>
      <c r="E107" s="126">
        <f>E98-E104</f>
        <v>89922853.527000427</v>
      </c>
      <c r="F107" s="126">
        <f>F98-F104</f>
        <v>989905972.80999994</v>
      </c>
      <c r="G107" s="126">
        <f>G98-G104</f>
        <v>691872173</v>
      </c>
      <c r="H107" s="127">
        <f>H98+H104</f>
        <v>2505343082.9769974</v>
      </c>
      <c r="I107" s="127">
        <f>I98+I104</f>
        <v>2353443052.3079109</v>
      </c>
      <c r="J107" s="69">
        <f>+H107-I107</f>
        <v>151900030.66908646</v>
      </c>
      <c r="K107" s="116">
        <f>+J107/I107</f>
        <v>6.4543746032063629E-2</v>
      </c>
      <c r="L107" s="16"/>
      <c r="M107" s="16"/>
      <c r="N107" s="16"/>
      <c r="O107" s="16"/>
    </row>
    <row r="108" spans="1:23" ht="13.5" thickTop="1">
      <c r="A108" s="5"/>
      <c r="D108" s="16"/>
      <c r="E108" s="16"/>
      <c r="F108" s="16"/>
      <c r="G108" s="16"/>
      <c r="H108" s="29"/>
      <c r="I108" s="128"/>
      <c r="J108" s="16"/>
      <c r="K108" s="16"/>
      <c r="L108" s="16"/>
      <c r="M108" s="16"/>
      <c r="N108" s="16"/>
      <c r="O108" s="16"/>
    </row>
    <row r="109" spans="1:23">
      <c r="A109" s="5"/>
      <c r="D109" s="16"/>
      <c r="E109" s="16"/>
      <c r="F109" s="16"/>
      <c r="G109" s="16"/>
      <c r="H109" s="29">
        <f>H85+H72+H77</f>
        <v>-57226228.983002976</v>
      </c>
      <c r="I109" s="129">
        <f>I85+I72+I77</f>
        <v>-2112165039.6499996</v>
      </c>
      <c r="J109" s="16"/>
      <c r="K109" s="16"/>
      <c r="L109" s="16"/>
      <c r="M109" s="16"/>
      <c r="N109" s="16"/>
      <c r="O109" s="16"/>
    </row>
    <row r="110" spans="1:23" ht="20.5" hidden="1">
      <c r="A110" s="5"/>
      <c r="D110" s="1177" t="s">
        <v>0</v>
      </c>
      <c r="E110" s="1177"/>
      <c r="F110" s="1177"/>
      <c r="G110" s="130"/>
      <c r="H110" s="131">
        <f>H107/I107</f>
        <v>1.0645437460320637</v>
      </c>
      <c r="I110" s="132"/>
      <c r="J110" s="16"/>
      <c r="K110" s="16"/>
      <c r="L110" s="16"/>
      <c r="M110" s="16"/>
      <c r="N110" s="16"/>
      <c r="O110" s="16"/>
    </row>
    <row r="111" spans="1:23" ht="20.5" hidden="1">
      <c r="A111" s="5"/>
      <c r="D111" s="1177" t="s">
        <v>98</v>
      </c>
      <c r="E111" s="1177"/>
      <c r="F111" s="1177"/>
      <c r="G111" s="79"/>
      <c r="H111" s="132"/>
      <c r="I111" s="132"/>
      <c r="J111" s="16"/>
      <c r="K111" s="16"/>
      <c r="L111" s="16"/>
      <c r="M111" s="16"/>
      <c r="N111" s="16"/>
      <c r="O111" s="16"/>
    </row>
    <row r="112" spans="1:23" ht="18" hidden="1">
      <c r="A112" s="5"/>
      <c r="D112" s="1177" t="str">
        <f>D3</f>
        <v>PERIODE 30 APRIL 2017 DAN 2016</v>
      </c>
      <c r="E112" s="1177"/>
      <c r="F112" s="1177"/>
      <c r="G112" s="79"/>
      <c r="H112" s="78"/>
      <c r="I112" s="29"/>
      <c r="J112" s="16"/>
      <c r="K112" s="16"/>
      <c r="L112" s="16"/>
      <c r="M112" s="16"/>
      <c r="N112" s="16"/>
      <c r="O112" s="16"/>
      <c r="W112" s="16"/>
    </row>
    <row r="113" spans="1:22" ht="13.5" hidden="1" thickBot="1">
      <c r="A113" s="5"/>
      <c r="D113" s="81"/>
      <c r="E113" s="81"/>
      <c r="F113" s="81"/>
      <c r="G113" s="81"/>
      <c r="H113" s="133"/>
      <c r="I113" s="133"/>
      <c r="J113" s="16"/>
      <c r="K113" s="16"/>
      <c r="L113" s="16"/>
      <c r="M113" s="16"/>
      <c r="N113" s="16"/>
      <c r="O113" s="16"/>
    </row>
    <row r="114" spans="1:22" hidden="1">
      <c r="A114" s="5"/>
      <c r="D114" s="16"/>
      <c r="E114" s="16"/>
      <c r="F114" s="16"/>
      <c r="G114" s="16"/>
      <c r="H114" s="29"/>
      <c r="I114" s="29"/>
      <c r="J114" s="16"/>
      <c r="K114" s="16"/>
      <c r="L114" s="16"/>
      <c r="M114" s="16"/>
      <c r="N114" s="16"/>
      <c r="O114" s="16"/>
    </row>
    <row r="115" spans="1:22" hidden="1">
      <c r="A115" s="5"/>
      <c r="D115" s="16"/>
      <c r="E115" s="20" t="str">
        <f>E55</f>
        <v>30 April 2017</v>
      </c>
      <c r="F115" s="20" t="str">
        <f>F55</f>
        <v>31 Maret 2017</v>
      </c>
      <c r="G115" s="20" t="str">
        <f>G55</f>
        <v>30 April 2016</v>
      </c>
      <c r="H115" s="134"/>
      <c r="I115" s="134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V115" s="16"/>
    </row>
    <row r="116" spans="1:22" ht="13.5" hidden="1" thickBot="1">
      <c r="A116" s="5"/>
      <c r="D116" s="16"/>
      <c r="E116" s="135"/>
      <c r="F116" s="135"/>
      <c r="G116" s="135"/>
      <c r="H116" s="136"/>
      <c r="I116" s="136"/>
      <c r="J116" s="16"/>
      <c r="K116" s="16"/>
      <c r="L116" s="16"/>
      <c r="M116" s="16"/>
      <c r="N116" s="16"/>
      <c r="O116" s="16"/>
      <c r="P116" s="16"/>
      <c r="Q116" s="16"/>
      <c r="R116" s="16"/>
      <c r="S116" s="16"/>
    </row>
    <row r="117" spans="1:22" hidden="1">
      <c r="A117" s="5"/>
      <c r="D117" s="16"/>
      <c r="E117" s="30"/>
      <c r="F117" s="30"/>
      <c r="G117" s="30"/>
      <c r="J117" s="16"/>
      <c r="K117" s="16"/>
      <c r="L117" s="16"/>
      <c r="M117" s="16"/>
      <c r="N117" s="16"/>
      <c r="O117" s="16"/>
      <c r="P117" s="16"/>
      <c r="Q117" s="16"/>
      <c r="R117" s="16"/>
    </row>
    <row r="118" spans="1:22" hidden="1">
      <c r="A118" s="5"/>
      <c r="D118" s="16" t="s">
        <v>99</v>
      </c>
      <c r="E118" s="62">
        <f>F122</f>
        <v>2657929223.2800002</v>
      </c>
      <c r="F118" s="16">
        <v>1499193000.4700003</v>
      </c>
      <c r="G118" s="16">
        <v>7975556775</v>
      </c>
      <c r="H118" s="137"/>
      <c r="J118" s="16"/>
      <c r="K118" s="16"/>
      <c r="L118" s="16"/>
      <c r="M118" s="16"/>
      <c r="N118" s="16"/>
      <c r="O118" s="16"/>
      <c r="P118" s="16"/>
      <c r="Q118" s="16"/>
      <c r="R118" s="16"/>
    </row>
    <row r="119" spans="1:22" hidden="1">
      <c r="A119" s="5"/>
      <c r="D119" s="16"/>
      <c r="F119" s="16"/>
      <c r="G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</row>
    <row r="120" spans="1:22" hidden="1">
      <c r="A120" s="5"/>
      <c r="D120" s="16" t="s">
        <v>100</v>
      </c>
      <c r="E120" s="34">
        <f>E107+H104</f>
        <v>131523603.52700043</v>
      </c>
      <c r="F120" s="16">
        <v>1158736222.8099999</v>
      </c>
      <c r="G120" s="16">
        <v>-2139333582.8049293</v>
      </c>
      <c r="J120" s="16"/>
      <c r="K120" s="16"/>
      <c r="L120" s="16"/>
      <c r="M120" s="16"/>
      <c r="N120" s="16"/>
      <c r="O120" s="16"/>
      <c r="P120" s="16"/>
    </row>
    <row r="121" spans="1:22" hidden="1">
      <c r="A121" s="5"/>
      <c r="D121" s="16"/>
      <c r="E121" s="16"/>
      <c r="F121" s="16"/>
      <c r="G121" s="16"/>
      <c r="J121" s="16"/>
      <c r="K121" s="16"/>
      <c r="L121" s="16"/>
      <c r="M121" s="16"/>
      <c r="N121" s="16"/>
      <c r="O121" s="16"/>
      <c r="P121" s="16"/>
      <c r="Q121" s="16"/>
    </row>
    <row r="122" spans="1:22" ht="13.5" hidden="1" thickBot="1">
      <c r="A122" s="5"/>
      <c r="D122" s="72" t="s">
        <v>101</v>
      </c>
      <c r="E122" s="69">
        <f>E118+E120</f>
        <v>2789452826.8070006</v>
      </c>
      <c r="F122" s="69">
        <f>F118+F120</f>
        <v>2657929223.2800002</v>
      </c>
      <c r="G122" s="69">
        <f>SUM(G118:G120)</f>
        <v>5836223192.1950703</v>
      </c>
      <c r="J122" s="16"/>
      <c r="K122" s="16"/>
      <c r="L122" s="16"/>
      <c r="M122" s="16"/>
      <c r="N122" s="16"/>
      <c r="O122" s="16"/>
      <c r="P122" s="16"/>
      <c r="Q122" s="16"/>
    </row>
    <row r="123" spans="1:22" hidden="1">
      <c r="A123" s="5"/>
      <c r="D123" s="16"/>
      <c r="E123" s="16"/>
      <c r="F123" s="16"/>
      <c r="G123" s="16"/>
      <c r="H123" s="29"/>
      <c r="I123" s="29"/>
      <c r="J123" s="16"/>
      <c r="K123" s="16"/>
      <c r="L123" s="16"/>
      <c r="M123" s="16"/>
      <c r="N123" s="16"/>
      <c r="O123" s="16"/>
      <c r="P123" s="16"/>
      <c r="Q123" s="16"/>
      <c r="R123" s="16"/>
      <c r="S123" s="16"/>
    </row>
    <row r="124" spans="1:22" hidden="1">
      <c r="A124" s="5"/>
      <c r="D124" s="16"/>
      <c r="E124" s="16"/>
      <c r="F124" s="16"/>
      <c r="G124" s="106"/>
      <c r="H124" s="29"/>
      <c r="I124" s="29"/>
      <c r="J124" s="16"/>
      <c r="K124" s="16"/>
      <c r="L124" s="16"/>
      <c r="M124" s="16"/>
      <c r="N124" s="16"/>
      <c r="O124" s="16"/>
      <c r="P124" s="16"/>
      <c r="Q124" s="16"/>
      <c r="R124" s="16"/>
      <c r="S124" s="16"/>
    </row>
    <row r="125" spans="1:22" hidden="1">
      <c r="A125" s="5"/>
      <c r="D125" s="16"/>
      <c r="E125" s="16"/>
      <c r="F125" s="16"/>
      <c r="G125" s="16"/>
      <c r="H125" s="29"/>
      <c r="I125" s="29"/>
      <c r="J125" s="16"/>
      <c r="K125" s="16"/>
      <c r="L125" s="16"/>
      <c r="M125" s="16"/>
      <c r="N125" s="16"/>
      <c r="O125" s="16"/>
      <c r="P125" s="16"/>
      <c r="Q125" s="16"/>
      <c r="R125" s="16"/>
      <c r="S125" s="16"/>
    </row>
    <row r="126" spans="1:22">
      <c r="A126" s="5"/>
      <c r="D126" s="16"/>
      <c r="E126" s="16"/>
      <c r="F126" s="16"/>
      <c r="G126" s="16"/>
      <c r="H126" s="29"/>
      <c r="I126" s="29"/>
      <c r="J126" s="16"/>
      <c r="K126" s="16"/>
      <c r="L126" s="16"/>
      <c r="M126" s="16"/>
      <c r="N126" s="16"/>
      <c r="O126" s="16"/>
      <c r="P126" s="16"/>
      <c r="Q126" s="16"/>
      <c r="R126" s="16"/>
      <c r="S126" s="16"/>
    </row>
    <row r="127" spans="1:22">
      <c r="A127" s="5"/>
      <c r="D127" s="16"/>
      <c r="E127" s="16"/>
      <c r="F127" s="16"/>
      <c r="G127" s="16"/>
      <c r="H127" s="138"/>
      <c r="I127" s="29"/>
      <c r="J127" s="16"/>
      <c r="K127" s="16"/>
      <c r="L127" s="16"/>
      <c r="M127" s="16"/>
      <c r="N127" s="16"/>
      <c r="O127" s="16"/>
      <c r="P127" s="16"/>
      <c r="Q127" s="16"/>
      <c r="R127" s="16"/>
      <c r="S127" s="16"/>
    </row>
    <row r="128" spans="1:22" ht="20.5">
      <c r="A128" s="5"/>
      <c r="D128" s="1177" t="s">
        <v>0</v>
      </c>
      <c r="E128" s="1177"/>
      <c r="F128" s="1177"/>
      <c r="G128" s="130"/>
      <c r="H128" s="132"/>
      <c r="I128" s="29"/>
      <c r="J128" s="16"/>
      <c r="K128" s="16"/>
      <c r="L128" s="16"/>
      <c r="M128" s="16"/>
      <c r="N128" s="16"/>
      <c r="O128" s="16"/>
      <c r="P128" s="16"/>
      <c r="Q128" s="16"/>
      <c r="R128" s="16"/>
      <c r="S128" s="16"/>
    </row>
    <row r="129" spans="1:23" ht="18">
      <c r="A129" s="5"/>
      <c r="D129" s="1177" t="s">
        <v>102</v>
      </c>
      <c r="E129" s="1177"/>
      <c r="F129" s="1177"/>
      <c r="G129" s="79"/>
      <c r="H129" s="78"/>
      <c r="I129" s="29"/>
      <c r="J129" s="16"/>
      <c r="K129" s="16"/>
      <c r="L129" s="16"/>
      <c r="M129" s="16"/>
      <c r="N129" s="16"/>
      <c r="O129" s="16"/>
      <c r="P129" s="16"/>
      <c r="Q129" s="16"/>
      <c r="R129" s="16"/>
      <c r="S129" s="16"/>
    </row>
    <row r="130" spans="1:23" ht="18">
      <c r="A130" s="5"/>
      <c r="D130" s="1177" t="str">
        <f>+D112</f>
        <v>PERIODE 30 APRIL 2017 DAN 2016</v>
      </c>
      <c r="E130" s="1177"/>
      <c r="F130" s="1177"/>
      <c r="G130" s="79"/>
      <c r="H130" s="78"/>
      <c r="I130" s="29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W130" s="16"/>
    </row>
    <row r="131" spans="1:23" ht="13.5" thickBot="1">
      <c r="A131" s="5"/>
      <c r="D131" s="81"/>
      <c r="E131" s="81"/>
      <c r="F131" s="81"/>
      <c r="G131" s="81"/>
      <c r="H131" s="29"/>
      <c r="I131" s="29"/>
      <c r="J131" s="16"/>
      <c r="K131" s="16"/>
      <c r="L131" s="16"/>
      <c r="M131" s="16"/>
      <c r="N131" s="16"/>
      <c r="O131" s="16"/>
      <c r="P131" s="16"/>
      <c r="Q131" s="16"/>
      <c r="R131" s="16"/>
      <c r="S131" s="16"/>
    </row>
    <row r="132" spans="1:23" ht="13.5" thickTop="1">
      <c r="A132" s="5"/>
      <c r="D132" s="16"/>
      <c r="E132" s="16"/>
      <c r="F132" s="16"/>
      <c r="G132" s="16"/>
      <c r="H132" s="29"/>
      <c r="I132" s="29"/>
      <c r="J132" s="16"/>
      <c r="K132" s="16"/>
      <c r="L132" s="16"/>
      <c r="M132" s="16"/>
      <c r="N132" s="16"/>
      <c r="O132" s="16"/>
    </row>
    <row r="133" spans="1:23" s="142" customFormat="1">
      <c r="A133" s="139"/>
      <c r="B133" s="139"/>
      <c r="C133" s="139"/>
      <c r="D133" s="140"/>
      <c r="E133" s="140" t="s">
        <v>103</v>
      </c>
      <c r="F133" s="140" t="s">
        <v>104</v>
      </c>
      <c r="G133" s="140" t="s">
        <v>105</v>
      </c>
      <c r="H133" s="141"/>
      <c r="I133" s="141"/>
      <c r="J133" s="140"/>
      <c r="K133" s="140"/>
      <c r="L133" s="140"/>
      <c r="M133" s="16"/>
      <c r="N133" s="16"/>
      <c r="O133" s="16"/>
      <c r="P133" s="16"/>
      <c r="Q133" s="16"/>
      <c r="R133" s="16"/>
      <c r="S133" s="16"/>
      <c r="T133" s="4"/>
      <c r="U133" s="4"/>
    </row>
    <row r="134" spans="1:23" ht="13.5" thickBot="1">
      <c r="A134" s="5"/>
      <c r="D134" s="16"/>
      <c r="E134" s="91"/>
      <c r="F134" s="91"/>
      <c r="G134" s="91"/>
      <c r="H134" s="29"/>
      <c r="I134" s="29"/>
      <c r="J134" s="16"/>
      <c r="K134" s="16"/>
      <c r="L134" s="16"/>
      <c r="M134" s="16"/>
      <c r="N134" s="16"/>
      <c r="O134" s="16"/>
      <c r="P134" s="16"/>
      <c r="Q134" s="16"/>
      <c r="R134" s="16"/>
      <c r="S134" s="16"/>
    </row>
    <row r="135" spans="1:23" ht="13.5" thickTop="1">
      <c r="A135" s="5"/>
      <c r="D135" s="16"/>
      <c r="E135" s="16"/>
      <c r="F135" s="16"/>
      <c r="G135" s="16"/>
      <c r="H135" s="29"/>
      <c r="I135" s="29"/>
      <c r="J135" s="16"/>
      <c r="K135" s="16"/>
      <c r="L135" s="16"/>
      <c r="M135" s="140"/>
      <c r="N135" s="140"/>
      <c r="O135" s="16"/>
      <c r="P135" s="16"/>
      <c r="Q135" s="16"/>
      <c r="R135" s="16"/>
      <c r="S135" s="16"/>
    </row>
    <row r="136" spans="1:23" s="87" customFormat="1">
      <c r="A136" s="94"/>
      <c r="B136" s="94"/>
      <c r="C136" s="94"/>
      <c r="D136" s="72" t="s">
        <v>106</v>
      </c>
      <c r="E136" s="72">
        <v>26260000000</v>
      </c>
      <c r="F136" s="72">
        <f>S38</f>
        <v>18450753228</v>
      </c>
      <c r="G136" s="72">
        <f>SUM(E136:F136)</f>
        <v>44710753228</v>
      </c>
      <c r="H136" s="143"/>
      <c r="I136" s="143"/>
      <c r="J136" s="72"/>
      <c r="K136" s="72"/>
      <c r="L136" s="72"/>
      <c r="M136" s="16"/>
      <c r="N136" s="16"/>
      <c r="O136" s="16"/>
      <c r="P136" s="16"/>
      <c r="Q136" s="16"/>
      <c r="R136" s="16"/>
      <c r="S136" s="16"/>
      <c r="T136" s="4"/>
      <c r="U136" s="4"/>
    </row>
    <row r="137" spans="1:23">
      <c r="A137" s="5"/>
      <c r="D137" s="16"/>
      <c r="E137" s="16"/>
      <c r="F137" s="16"/>
      <c r="G137" s="16"/>
      <c r="H137" s="29"/>
      <c r="I137" s="29"/>
      <c r="J137" s="16"/>
      <c r="K137" s="16"/>
      <c r="L137" s="16"/>
      <c r="M137" s="16"/>
      <c r="N137" s="16"/>
      <c r="O137" s="140"/>
      <c r="P137" s="140"/>
      <c r="Q137" s="140"/>
      <c r="R137" s="140"/>
      <c r="S137" s="140"/>
      <c r="T137" s="142"/>
      <c r="U137" s="142"/>
    </row>
    <row r="138" spans="1:23">
      <c r="A138" s="5"/>
      <c r="D138" s="144" t="s">
        <v>107</v>
      </c>
      <c r="E138" s="16">
        <v>0</v>
      </c>
      <c r="F138" s="16">
        <f>+S39</f>
        <v>2353443052.3079109</v>
      </c>
      <c r="G138" s="16">
        <f>SUM(E138:F138)</f>
        <v>2353443052.3079109</v>
      </c>
      <c r="H138" s="29"/>
      <c r="I138" s="29"/>
      <c r="J138" s="16"/>
      <c r="K138" s="16"/>
      <c r="L138" s="16"/>
      <c r="M138" s="72"/>
      <c r="N138" s="72"/>
      <c r="O138" s="16"/>
      <c r="P138" s="16"/>
      <c r="Q138" s="16"/>
      <c r="R138" s="16"/>
      <c r="S138" s="16"/>
    </row>
    <row r="139" spans="1:23">
      <c r="A139" s="5"/>
      <c r="D139" s="16"/>
      <c r="E139" s="16"/>
      <c r="F139" s="16"/>
      <c r="G139" s="16"/>
      <c r="H139" s="29"/>
      <c r="I139" s="29"/>
      <c r="J139" s="16"/>
      <c r="K139" s="16"/>
      <c r="L139" s="16"/>
      <c r="M139" s="16"/>
      <c r="N139" s="16"/>
      <c r="O139" s="16"/>
      <c r="P139" s="16"/>
      <c r="Q139" s="16"/>
      <c r="R139" s="16"/>
      <c r="S139" s="16"/>
    </row>
    <row r="140" spans="1:23">
      <c r="A140" s="5"/>
      <c r="D140" s="144" t="s">
        <v>108</v>
      </c>
      <c r="E140" s="16">
        <v>0</v>
      </c>
      <c r="F140" s="16">
        <v>0</v>
      </c>
      <c r="G140" s="16">
        <f>SUM(E140:F140)</f>
        <v>0</v>
      </c>
      <c r="H140" s="29"/>
      <c r="I140" s="29"/>
      <c r="J140" s="16"/>
      <c r="K140" s="16"/>
      <c r="L140" s="16"/>
      <c r="M140" s="16"/>
      <c r="N140" s="16"/>
      <c r="O140" s="72"/>
      <c r="P140" s="72"/>
      <c r="Q140" s="72"/>
      <c r="R140" s="72"/>
      <c r="S140" s="72"/>
      <c r="T140" s="87"/>
      <c r="U140" s="87"/>
    </row>
    <row r="141" spans="1:23">
      <c r="A141" s="5"/>
      <c r="D141" s="16"/>
      <c r="E141" s="16"/>
      <c r="F141" s="16"/>
      <c r="G141" s="16"/>
      <c r="H141" s="29"/>
      <c r="I141" s="29"/>
      <c r="J141" s="16"/>
      <c r="K141" s="16"/>
      <c r="L141" s="16"/>
      <c r="M141" s="16"/>
      <c r="N141" s="16"/>
      <c r="O141" s="16"/>
      <c r="P141" s="16"/>
      <c r="Q141" s="16"/>
      <c r="R141" s="16"/>
      <c r="S141" s="16"/>
    </row>
    <row r="142" spans="1:23">
      <c r="A142" s="5"/>
      <c r="D142" s="144" t="s">
        <v>45</v>
      </c>
      <c r="E142" s="16">
        <v>0</v>
      </c>
      <c r="F142" s="16">
        <f>R41</f>
        <v>0</v>
      </c>
      <c r="G142" s="16">
        <f>SUM(E142:F142)</f>
        <v>0</v>
      </c>
      <c r="H142" s="29"/>
      <c r="I142" s="29"/>
      <c r="J142" s="16"/>
      <c r="K142" s="16"/>
      <c r="L142" s="16"/>
      <c r="M142" s="16"/>
      <c r="N142" s="16"/>
      <c r="O142" s="16"/>
      <c r="P142" s="16"/>
      <c r="Q142" s="16"/>
      <c r="R142" s="16"/>
      <c r="S142" s="16"/>
    </row>
    <row r="143" spans="1:23">
      <c r="A143" s="5"/>
      <c r="D143" s="144"/>
      <c r="E143" s="16"/>
      <c r="F143" s="16"/>
      <c r="G143" s="16"/>
      <c r="H143" s="29"/>
      <c r="I143" s="29"/>
      <c r="J143" s="16"/>
      <c r="K143" s="16"/>
      <c r="L143" s="16"/>
      <c r="M143" s="16"/>
      <c r="N143" s="16"/>
      <c r="O143" s="16"/>
      <c r="P143" s="16"/>
      <c r="Q143" s="16"/>
      <c r="R143" s="16"/>
      <c r="S143" s="16"/>
    </row>
    <row r="144" spans="1:23">
      <c r="A144" s="5"/>
      <c r="D144" s="144" t="s">
        <v>47</v>
      </c>
      <c r="E144" s="16">
        <f>Q32</f>
        <v>0</v>
      </c>
      <c r="F144" s="16">
        <v>0</v>
      </c>
      <c r="G144" s="16">
        <f>SUM(E144:F144)</f>
        <v>0</v>
      </c>
      <c r="H144" s="29"/>
      <c r="I144" s="29"/>
      <c r="J144" s="16"/>
      <c r="K144" s="16"/>
      <c r="L144" s="16"/>
      <c r="M144" s="16"/>
      <c r="N144" s="16"/>
      <c r="O144" s="72"/>
      <c r="P144" s="72"/>
      <c r="Q144" s="72"/>
      <c r="R144" s="72"/>
      <c r="S144" s="72"/>
      <c r="T144" s="87"/>
      <c r="U144" s="87"/>
    </row>
    <row r="145" spans="1:21">
      <c r="A145" s="5"/>
      <c r="D145" s="144"/>
      <c r="E145" s="16"/>
      <c r="F145" s="16"/>
      <c r="G145" s="16"/>
      <c r="H145" s="29"/>
      <c r="I145" s="29"/>
      <c r="J145" s="16"/>
      <c r="K145" s="16"/>
      <c r="L145" s="16"/>
      <c r="M145" s="16"/>
      <c r="N145" s="16"/>
      <c r="O145" s="72"/>
      <c r="P145" s="72"/>
      <c r="Q145" s="72"/>
      <c r="R145" s="72"/>
      <c r="S145" s="72"/>
      <c r="T145" s="87"/>
      <c r="U145" s="87"/>
    </row>
    <row r="146" spans="1:21" s="87" customFormat="1" ht="13.5" thickBot="1">
      <c r="A146" s="94"/>
      <c r="B146" s="94"/>
      <c r="C146" s="94"/>
      <c r="D146" s="72" t="s">
        <v>109</v>
      </c>
      <c r="E146" s="69">
        <f>SUM(E136:E142)</f>
        <v>26260000000</v>
      </c>
      <c r="F146" s="69">
        <f>SUM(F136:F142)</f>
        <v>20804196280.307911</v>
      </c>
      <c r="G146" s="69">
        <f>SUM(G136:G142)</f>
        <v>47064196280.307907</v>
      </c>
      <c r="H146" s="143"/>
      <c r="I146" s="143"/>
      <c r="J146" s="72"/>
      <c r="K146" s="72"/>
      <c r="L146" s="72"/>
      <c r="M146" s="16"/>
      <c r="N146" s="16"/>
      <c r="O146" s="16"/>
      <c r="P146" s="16"/>
      <c r="Q146" s="16"/>
      <c r="R146" s="16"/>
      <c r="S146" s="16"/>
      <c r="T146" s="4"/>
      <c r="U146" s="4"/>
    </row>
    <row r="147" spans="1:21" ht="14" thickTop="1" thickBot="1">
      <c r="A147" s="5"/>
      <c r="D147" s="16"/>
      <c r="E147" s="135"/>
      <c r="F147" s="135"/>
      <c r="G147" s="135"/>
      <c r="H147" s="29"/>
      <c r="I147" s="29"/>
      <c r="J147" s="16"/>
      <c r="K147" s="16"/>
      <c r="L147" s="16"/>
      <c r="M147" s="16"/>
      <c r="N147" s="16"/>
      <c r="O147" s="16"/>
      <c r="P147" s="16"/>
      <c r="Q147" s="16"/>
      <c r="R147" s="16"/>
      <c r="S147" s="16"/>
    </row>
    <row r="148" spans="1:21" ht="13.5" thickTop="1">
      <c r="A148" s="5"/>
      <c r="D148" s="16"/>
      <c r="E148" s="16"/>
      <c r="F148" s="16"/>
      <c r="G148" s="16"/>
      <c r="H148" s="29"/>
      <c r="I148" s="29"/>
      <c r="J148" s="16"/>
      <c r="K148" s="16"/>
      <c r="L148" s="16"/>
      <c r="M148" s="72"/>
      <c r="N148" s="72"/>
      <c r="O148" s="16"/>
      <c r="P148" s="16"/>
      <c r="Q148" s="16"/>
      <c r="R148" s="16"/>
      <c r="S148" s="16"/>
    </row>
    <row r="149" spans="1:21" s="87" customFormat="1">
      <c r="A149" s="94"/>
      <c r="B149" s="94"/>
      <c r="C149" s="94"/>
      <c r="D149" s="72" t="s">
        <v>110</v>
      </c>
      <c r="E149" s="72">
        <f>R34</f>
        <v>26260000000</v>
      </c>
      <c r="F149" s="72">
        <f>R38</f>
        <v>21867985292.73</v>
      </c>
      <c r="G149" s="72">
        <f>SUM(E149:F149)</f>
        <v>48127985292.729996</v>
      </c>
      <c r="H149" s="143"/>
      <c r="I149" s="143"/>
      <c r="J149" s="72"/>
      <c r="K149" s="72"/>
      <c r="L149" s="72"/>
      <c r="M149" s="16"/>
      <c r="N149" s="16"/>
      <c r="O149" s="16"/>
      <c r="P149" s="16"/>
      <c r="Q149" s="16"/>
      <c r="R149" s="16"/>
      <c r="S149" s="16"/>
      <c r="T149" s="4"/>
      <c r="U149" s="4"/>
    </row>
    <row r="150" spans="1:21">
      <c r="A150" s="5"/>
      <c r="D150" s="16"/>
      <c r="E150" s="16"/>
      <c r="F150" s="16"/>
      <c r="G150" s="16"/>
      <c r="H150" s="29"/>
      <c r="I150" s="29"/>
      <c r="J150" s="16"/>
      <c r="K150" s="16"/>
      <c r="L150" s="16"/>
      <c r="M150" s="16"/>
      <c r="N150" s="16"/>
      <c r="O150" s="72"/>
      <c r="P150" s="72"/>
      <c r="Q150" s="72"/>
      <c r="R150" s="72"/>
      <c r="S150" s="72"/>
      <c r="T150" s="87"/>
      <c r="U150" s="87"/>
    </row>
    <row r="151" spans="1:21">
      <c r="A151" s="5"/>
      <c r="D151" s="144" t="s">
        <v>111</v>
      </c>
      <c r="E151" s="16">
        <v>0</v>
      </c>
      <c r="F151" s="16">
        <f>+R39</f>
        <v>2542233195.2500014</v>
      </c>
      <c r="G151" s="16">
        <f>SUM(E151:F151)</f>
        <v>2542233195.2500014</v>
      </c>
      <c r="H151" s="29"/>
      <c r="I151" s="29"/>
      <c r="J151" s="16"/>
      <c r="K151" s="16"/>
      <c r="L151" s="16"/>
      <c r="M151" s="72"/>
      <c r="N151" s="72"/>
      <c r="O151" s="16"/>
      <c r="P151" s="16"/>
      <c r="Q151" s="16"/>
      <c r="R151" s="16"/>
      <c r="S151" s="16"/>
    </row>
    <row r="152" spans="1:21">
      <c r="A152" s="5"/>
      <c r="D152" s="16"/>
      <c r="E152" s="16"/>
      <c r="F152" s="16"/>
      <c r="G152" s="16"/>
      <c r="H152" s="29"/>
      <c r="I152" s="29"/>
      <c r="J152" s="16"/>
      <c r="K152" s="16"/>
      <c r="L152" s="16"/>
      <c r="M152" s="16"/>
      <c r="N152" s="16"/>
      <c r="O152" s="16"/>
      <c r="P152" s="16"/>
      <c r="Q152" s="16"/>
      <c r="R152" s="16"/>
      <c r="S152" s="16"/>
    </row>
    <row r="153" spans="1:21">
      <c r="A153" s="5"/>
      <c r="D153" s="144" t="s">
        <v>108</v>
      </c>
      <c r="E153" s="16">
        <v>0</v>
      </c>
      <c r="F153" s="16">
        <v>0</v>
      </c>
      <c r="G153" s="16">
        <f>SUM(E153:F153)</f>
        <v>0</v>
      </c>
      <c r="H153" s="29"/>
      <c r="I153" s="29"/>
      <c r="J153" s="16"/>
      <c r="K153" s="16"/>
      <c r="L153" s="16"/>
      <c r="M153" s="16"/>
      <c r="N153" s="16"/>
      <c r="O153" s="72"/>
      <c r="P153" s="72"/>
      <c r="Q153" s="72"/>
      <c r="R153" s="72"/>
      <c r="S153" s="72"/>
      <c r="T153" s="87"/>
      <c r="U153" s="87"/>
    </row>
    <row r="154" spans="1:21">
      <c r="A154" s="5"/>
      <c r="D154" s="144"/>
      <c r="E154" s="16"/>
      <c r="F154" s="16"/>
      <c r="G154" s="16"/>
      <c r="H154" s="29"/>
      <c r="I154" s="29"/>
      <c r="J154" s="16"/>
      <c r="K154" s="16"/>
      <c r="L154" s="16"/>
      <c r="M154" s="16"/>
      <c r="N154" s="16"/>
      <c r="O154" s="72"/>
      <c r="P154" s="72"/>
      <c r="Q154" s="72"/>
      <c r="R154" s="72"/>
      <c r="S154" s="72"/>
      <c r="T154" s="87"/>
      <c r="U154" s="87"/>
    </row>
    <row r="155" spans="1:21">
      <c r="A155" s="5"/>
      <c r="D155" s="144" t="s">
        <v>112</v>
      </c>
      <c r="E155" s="16">
        <v>0</v>
      </c>
      <c r="F155" s="16">
        <f>R42+R43</f>
        <v>-5183497500</v>
      </c>
      <c r="G155" s="16">
        <f>SUM(E155:F155)</f>
        <v>-5183497500</v>
      </c>
      <c r="H155" s="29"/>
      <c r="I155" s="29"/>
      <c r="J155" s="16"/>
      <c r="K155" s="16"/>
      <c r="L155" s="16"/>
      <c r="M155" s="16"/>
      <c r="N155" s="16"/>
      <c r="O155" s="72"/>
      <c r="P155" s="72"/>
      <c r="Q155" s="72"/>
      <c r="R155" s="72"/>
      <c r="S155" s="72"/>
      <c r="T155" s="87"/>
      <c r="U155" s="87"/>
    </row>
    <row r="156" spans="1:21">
      <c r="A156" s="5"/>
      <c r="D156" s="144"/>
      <c r="E156" s="16"/>
      <c r="F156" s="16"/>
      <c r="G156" s="16"/>
      <c r="H156" s="29"/>
      <c r="I156" s="29"/>
      <c r="J156" s="16"/>
      <c r="K156" s="16"/>
      <c r="L156" s="16"/>
      <c r="M156" s="16"/>
      <c r="N156" s="16"/>
      <c r="O156" s="16"/>
      <c r="P156" s="16"/>
      <c r="Q156" s="16"/>
      <c r="R156" s="16"/>
      <c r="S156" s="16"/>
    </row>
    <row r="157" spans="1:21" s="87" customFormat="1" ht="13.5" thickBot="1">
      <c r="A157" s="94"/>
      <c r="B157" s="94"/>
      <c r="C157" s="94"/>
      <c r="D157" s="72" t="s">
        <v>113</v>
      </c>
      <c r="E157" s="69">
        <f>SUM(E149:E156)</f>
        <v>26260000000</v>
      </c>
      <c r="F157" s="69">
        <f>SUM(F149:F156)</f>
        <v>19226720987.98</v>
      </c>
      <c r="G157" s="69">
        <f>SUM(G149:G156)</f>
        <v>45486720987.979996</v>
      </c>
      <c r="H157" s="143"/>
      <c r="I157" s="143"/>
      <c r="J157" s="72"/>
      <c r="K157" s="72"/>
      <c r="L157" s="72"/>
      <c r="M157" s="16"/>
      <c r="N157" s="16"/>
      <c r="O157" s="16"/>
      <c r="P157" s="16"/>
      <c r="Q157" s="16"/>
      <c r="R157" s="16"/>
      <c r="S157" s="16"/>
      <c r="T157" s="4"/>
      <c r="U157" s="4"/>
    </row>
    <row r="158" spans="1:21" ht="13.5" thickTop="1">
      <c r="A158" s="5"/>
      <c r="D158" s="16"/>
      <c r="E158" s="16"/>
      <c r="F158" s="16"/>
      <c r="G158" s="16"/>
      <c r="H158" s="29"/>
      <c r="I158" s="29"/>
      <c r="J158" s="16"/>
      <c r="K158" s="16"/>
      <c r="L158" s="16"/>
      <c r="M158" s="16"/>
      <c r="N158" s="16"/>
      <c r="O158" s="16"/>
      <c r="P158" s="16"/>
      <c r="Q158" s="16"/>
      <c r="R158" s="16"/>
      <c r="S158" s="16"/>
    </row>
    <row r="159" spans="1:21">
      <c r="A159" s="5"/>
      <c r="D159" s="16"/>
      <c r="E159" s="16"/>
      <c r="F159" s="16"/>
      <c r="G159" s="16"/>
      <c r="H159" s="29"/>
      <c r="I159" s="29"/>
      <c r="J159" s="16"/>
      <c r="K159" s="16"/>
      <c r="L159" s="16"/>
      <c r="M159" s="72"/>
      <c r="N159" s="72"/>
      <c r="O159" s="16"/>
      <c r="P159" s="16"/>
      <c r="Q159" s="16"/>
      <c r="R159" s="16"/>
      <c r="S159" s="16"/>
    </row>
    <row r="160" spans="1:21" ht="20.5">
      <c r="A160" s="5"/>
      <c r="D160" s="1177" t="s">
        <v>0</v>
      </c>
      <c r="E160" s="1177"/>
      <c r="F160" s="1177"/>
      <c r="G160" s="130"/>
      <c r="H160" s="132"/>
      <c r="I160" s="29"/>
      <c r="J160" s="16"/>
      <c r="K160" s="16"/>
      <c r="L160" s="16"/>
      <c r="M160" s="16"/>
      <c r="N160" s="16"/>
      <c r="O160" s="16"/>
      <c r="P160" s="16"/>
      <c r="Q160" s="16"/>
      <c r="R160" s="16"/>
      <c r="S160" s="16"/>
    </row>
    <row r="161" spans="1:37" ht="18">
      <c r="A161" s="5"/>
      <c r="D161" s="1177" t="s">
        <v>114</v>
      </c>
      <c r="E161" s="1177"/>
      <c r="F161" s="1177"/>
      <c r="G161" s="79"/>
      <c r="H161" s="78"/>
      <c r="I161" s="29"/>
      <c r="J161" s="16"/>
      <c r="K161" s="16"/>
      <c r="L161" s="16"/>
      <c r="M161" s="16"/>
      <c r="N161" s="16"/>
      <c r="O161" s="72"/>
      <c r="P161" s="72"/>
      <c r="Q161" s="72"/>
      <c r="R161" s="72"/>
      <c r="S161" s="72"/>
      <c r="T161" s="87"/>
      <c r="U161" s="87"/>
    </row>
    <row r="162" spans="1:37" ht="18">
      <c r="A162" s="5"/>
      <c r="D162" s="1177" t="str">
        <f>D3</f>
        <v>PERIODE 30 APRIL 2017 DAN 2016</v>
      </c>
      <c r="E162" s="1177"/>
      <c r="F162" s="1177"/>
      <c r="G162" s="79"/>
      <c r="H162" s="145"/>
      <c r="I162" s="29"/>
      <c r="J162" s="16"/>
      <c r="K162" s="16"/>
      <c r="L162" s="16"/>
      <c r="M162" s="16"/>
      <c r="N162" s="16"/>
      <c r="O162" s="16"/>
      <c r="P162" s="16"/>
      <c r="Q162" s="16"/>
      <c r="R162" s="16"/>
      <c r="S162" s="16"/>
    </row>
    <row r="163" spans="1:37" ht="13.5" thickBot="1">
      <c r="A163" s="81"/>
      <c r="B163" s="81"/>
      <c r="C163" s="81"/>
      <c r="D163" s="81"/>
      <c r="E163" s="81"/>
      <c r="F163" s="81"/>
      <c r="G163" s="81"/>
      <c r="H163" s="82"/>
      <c r="I163" s="82"/>
      <c r="J163" s="16"/>
      <c r="K163" s="16"/>
      <c r="L163" s="16"/>
      <c r="M163" s="16"/>
      <c r="N163" s="16"/>
      <c r="O163" s="16"/>
      <c r="P163" s="16"/>
      <c r="Q163" s="16"/>
      <c r="R163" s="16"/>
      <c r="S163" s="16"/>
    </row>
    <row r="164" spans="1:37" ht="13.5" thickTop="1">
      <c r="A164" s="5"/>
      <c r="D164" s="16"/>
      <c r="E164" s="16"/>
      <c r="F164" s="16"/>
      <c r="G164" s="16"/>
      <c r="H164" s="29"/>
      <c r="I164" s="133"/>
      <c r="J164" s="16"/>
      <c r="K164" s="16"/>
      <c r="L164" s="16"/>
      <c r="M164" s="16"/>
      <c r="N164" s="16"/>
      <c r="O164" s="16"/>
      <c r="P164" s="16"/>
      <c r="Q164" s="16"/>
      <c r="R164" s="16"/>
      <c r="S164" s="16"/>
    </row>
    <row r="165" spans="1:37">
      <c r="A165" s="5"/>
      <c r="D165" s="16"/>
      <c r="E165" s="16"/>
      <c r="F165" s="16"/>
      <c r="G165" s="16"/>
      <c r="H165" s="29"/>
      <c r="I165" s="29"/>
      <c r="J165" s="16"/>
      <c r="K165" s="16"/>
      <c r="L165" s="16"/>
      <c r="M165" s="16"/>
      <c r="N165" s="16"/>
      <c r="O165" s="16"/>
      <c r="P165" s="16"/>
      <c r="Q165" s="16"/>
      <c r="R165" s="16"/>
    </row>
    <row r="166" spans="1:37" ht="14">
      <c r="A166" s="146" t="s">
        <v>115</v>
      </c>
      <c r="B166" s="147"/>
      <c r="C166" s="147"/>
      <c r="D166" s="148" t="s">
        <v>11</v>
      </c>
      <c r="E166" s="20" t="str">
        <f>E55</f>
        <v>30 April 2017</v>
      </c>
      <c r="F166" s="20" t="str">
        <f>F55</f>
        <v>31 Maret 2017</v>
      </c>
      <c r="G166" s="20" t="str">
        <f>G55</f>
        <v>30 April 2016</v>
      </c>
      <c r="H166" s="149" t="s">
        <v>56</v>
      </c>
      <c r="I166" s="149" t="s">
        <v>9</v>
      </c>
      <c r="J166" s="16"/>
      <c r="K166" s="16"/>
      <c r="L166" s="16"/>
      <c r="M166" s="16"/>
      <c r="N166" s="16"/>
      <c r="O166" s="16"/>
      <c r="P166" s="16"/>
      <c r="Q166" s="16"/>
      <c r="R166" s="16"/>
    </row>
    <row r="167" spans="1:37">
      <c r="A167" s="94"/>
      <c r="B167" s="94"/>
      <c r="C167" s="94"/>
      <c r="D167" s="72"/>
      <c r="E167" s="16"/>
      <c r="F167" s="16"/>
      <c r="G167" s="16"/>
      <c r="J167" s="16"/>
      <c r="K167" s="16"/>
      <c r="L167" s="16"/>
      <c r="M167" s="16"/>
      <c r="N167" s="16"/>
      <c r="O167" s="16"/>
      <c r="P167" s="16"/>
      <c r="Q167" s="16"/>
      <c r="R167" s="16"/>
    </row>
    <row r="168" spans="1:37">
      <c r="A168" s="5"/>
      <c r="D168" s="72" t="s">
        <v>116</v>
      </c>
      <c r="E168" s="16"/>
      <c r="F168" s="16"/>
      <c r="G168" s="16"/>
      <c r="J168" s="16"/>
      <c r="K168" s="16"/>
      <c r="L168" s="16"/>
      <c r="M168" s="16"/>
      <c r="N168" s="16"/>
      <c r="O168" s="16"/>
      <c r="P168" s="16"/>
      <c r="Q168" s="16"/>
      <c r="R168" s="16"/>
    </row>
    <row r="169" spans="1:37">
      <c r="A169" s="5"/>
      <c r="D169" s="16" t="s">
        <v>117</v>
      </c>
      <c r="E169" s="16">
        <f>+E921</f>
        <v>7350000</v>
      </c>
      <c r="F169" s="16">
        <f>+F921</f>
        <v>7350000</v>
      </c>
      <c r="G169" s="16">
        <v>11109400</v>
      </c>
      <c r="H169" s="150">
        <f>+F169-G169</f>
        <v>-3759400</v>
      </c>
      <c r="I169" s="151">
        <f>+H169/G169</f>
        <v>-0.33839811330944963</v>
      </c>
      <c r="J169" s="16"/>
      <c r="K169" s="16"/>
      <c r="L169" s="16"/>
      <c r="M169" s="16"/>
      <c r="N169" s="16"/>
      <c r="O169" s="16"/>
      <c r="P169" s="16"/>
      <c r="Q169" s="16"/>
      <c r="R169" s="16"/>
    </row>
    <row r="170" spans="1:37">
      <c r="A170" s="5"/>
      <c r="D170" s="72" t="s">
        <v>118</v>
      </c>
      <c r="F170" s="16"/>
      <c r="G170" s="16"/>
      <c r="H170" s="8"/>
      <c r="I170" s="151"/>
      <c r="J170" s="16"/>
      <c r="K170" s="16"/>
      <c r="L170" s="16"/>
      <c r="M170" s="16"/>
      <c r="N170" s="16"/>
      <c r="O170" s="16"/>
      <c r="P170" s="16"/>
      <c r="Q170" s="16"/>
      <c r="R170" s="16"/>
    </row>
    <row r="171" spans="1:37">
      <c r="A171" s="5"/>
      <c r="D171" s="16" t="s">
        <v>119</v>
      </c>
      <c r="F171" s="16"/>
      <c r="G171" s="16"/>
      <c r="H171" s="8"/>
      <c r="I171" s="151"/>
      <c r="J171" s="16"/>
      <c r="K171" s="16"/>
      <c r="L171" s="16"/>
      <c r="M171" s="16"/>
      <c r="N171" s="16"/>
      <c r="O171" s="16"/>
      <c r="P171" s="16"/>
      <c r="Q171" s="16"/>
      <c r="R171" s="16"/>
      <c r="S171" s="16"/>
    </row>
    <row r="172" spans="1:37">
      <c r="A172" s="5"/>
      <c r="D172" s="16" t="s">
        <v>120</v>
      </c>
      <c r="E172" s="16">
        <f>+E936</f>
        <v>1389531360.4700003</v>
      </c>
      <c r="F172" s="16">
        <f>+F936</f>
        <v>457913570.50999993</v>
      </c>
      <c r="G172" s="16">
        <v>587473930.12</v>
      </c>
      <c r="H172" s="150">
        <f>+F172-G172</f>
        <v>-129560359.61000007</v>
      </c>
      <c r="I172" s="151">
        <f>+H172/G172</f>
        <v>-0.22053805789056122</v>
      </c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</row>
    <row r="173" spans="1:37">
      <c r="A173" s="5"/>
      <c r="D173" s="16" t="s">
        <v>121</v>
      </c>
      <c r="E173" s="16">
        <f>+E945</f>
        <v>499469705.80999994</v>
      </c>
      <c r="F173" s="16">
        <f>+F945</f>
        <v>408286636.49000001</v>
      </c>
      <c r="G173" s="16">
        <v>487061758</v>
      </c>
      <c r="H173" s="150">
        <f>+F173-G173</f>
        <v>-78775121.50999999</v>
      </c>
      <c r="I173" s="151">
        <f>+H173/G173</f>
        <v>-0.16173538615199592</v>
      </c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</row>
    <row r="174" spans="1:37">
      <c r="A174" s="5"/>
      <c r="D174" s="16"/>
      <c r="F174" s="16"/>
      <c r="G174" s="16"/>
      <c r="H174" s="8"/>
      <c r="I174" s="151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</row>
    <row r="175" spans="1:37">
      <c r="A175" s="5"/>
      <c r="D175" s="72" t="s">
        <v>122</v>
      </c>
      <c r="F175" s="16"/>
      <c r="G175" s="16"/>
      <c r="H175" s="8"/>
      <c r="I175" s="151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</row>
    <row r="176" spans="1:37">
      <c r="A176" s="5"/>
      <c r="D176" s="16" t="s">
        <v>123</v>
      </c>
      <c r="E176" s="66">
        <v>1000000000</v>
      </c>
      <c r="F176" s="16">
        <v>1000000000</v>
      </c>
      <c r="G176" s="16">
        <v>2500000000</v>
      </c>
      <c r="H176" s="150">
        <f t="shared" ref="H176:H182" si="7">+F176-G176</f>
        <v>-1500000000</v>
      </c>
      <c r="I176" s="151">
        <v>0</v>
      </c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</row>
    <row r="177" spans="1:37">
      <c r="A177" s="5"/>
      <c r="D177" s="16" t="s">
        <v>124</v>
      </c>
      <c r="E177" s="66">
        <v>1665875000</v>
      </c>
      <c r="F177" s="16">
        <v>1665125000</v>
      </c>
      <c r="G177" s="16">
        <v>1056320000</v>
      </c>
      <c r="H177" s="150">
        <f t="shared" si="7"/>
        <v>608805000</v>
      </c>
      <c r="I177" s="151">
        <v>0</v>
      </c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</row>
    <row r="178" spans="1:37">
      <c r="A178" s="5"/>
      <c r="D178" s="16" t="s">
        <v>125</v>
      </c>
      <c r="F178" s="16">
        <v>0</v>
      </c>
      <c r="G178" s="16">
        <v>0</v>
      </c>
      <c r="H178" s="150">
        <f t="shared" si="7"/>
        <v>0</v>
      </c>
      <c r="I178" s="151">
        <v>0</v>
      </c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</row>
    <row r="179" spans="1:37">
      <c r="A179" s="5"/>
      <c r="D179" s="16" t="s">
        <v>126</v>
      </c>
      <c r="F179" s="16">
        <v>0</v>
      </c>
      <c r="G179" s="16">
        <v>0</v>
      </c>
      <c r="H179" s="150">
        <f t="shared" si="7"/>
        <v>0</v>
      </c>
      <c r="I179" s="151">
        <v>0</v>
      </c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</row>
    <row r="180" spans="1:37">
      <c r="A180" s="5"/>
      <c r="D180" s="16" t="s">
        <v>127</v>
      </c>
      <c r="F180" s="16">
        <v>0</v>
      </c>
      <c r="G180" s="16">
        <v>0</v>
      </c>
      <c r="H180" s="150">
        <f t="shared" si="7"/>
        <v>0</v>
      </c>
      <c r="I180" s="151">
        <v>0</v>
      </c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</row>
    <row r="181" spans="1:37">
      <c r="A181" s="5"/>
      <c r="D181" s="16" t="s">
        <v>128</v>
      </c>
      <c r="F181" s="16">
        <v>0</v>
      </c>
      <c r="G181" s="16">
        <v>0</v>
      </c>
      <c r="H181" s="150">
        <f t="shared" si="7"/>
        <v>0</v>
      </c>
      <c r="I181" s="151">
        <v>0</v>
      </c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</row>
    <row r="182" spans="1:37">
      <c r="A182" s="5"/>
      <c r="D182" s="16" t="s">
        <v>129</v>
      </c>
      <c r="F182" s="16">
        <v>0</v>
      </c>
      <c r="G182" s="16">
        <v>0</v>
      </c>
      <c r="H182" s="150">
        <f t="shared" si="7"/>
        <v>0</v>
      </c>
      <c r="I182" s="151">
        <v>0</v>
      </c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</row>
    <row r="183" spans="1:37" ht="13.5" thickBot="1">
      <c r="A183" s="5"/>
      <c r="D183" s="27" t="s">
        <v>130</v>
      </c>
      <c r="E183" s="69">
        <f>SUM(E169:E182)</f>
        <v>4562226066.2800007</v>
      </c>
      <c r="F183" s="69">
        <f>SUM(F169:F182)</f>
        <v>3538675207</v>
      </c>
      <c r="G183" s="69">
        <f>SUM(G169:G182)</f>
        <v>4641965088.1199999</v>
      </c>
      <c r="H183" s="152">
        <f>+E183-G183</f>
        <v>-79739021.839999199</v>
      </c>
      <c r="I183" s="153">
        <f>+H183/G183</f>
        <v>-1.717785901580177E-2</v>
      </c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</row>
    <row r="184" spans="1:37" ht="13.5" thickTop="1">
      <c r="A184" s="5"/>
      <c r="D184" s="16"/>
      <c r="E184" s="16" t="s">
        <v>34</v>
      </c>
      <c r="F184" s="16"/>
      <c r="G184" s="16" t="s">
        <v>34</v>
      </c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</row>
    <row r="185" spans="1:37">
      <c r="A185" s="5"/>
      <c r="D185" s="16"/>
      <c r="E185" s="16"/>
      <c r="F185" s="16"/>
      <c r="G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</row>
    <row r="186" spans="1:37" ht="14">
      <c r="A186" s="154" t="s">
        <v>131</v>
      </c>
      <c r="B186" s="155"/>
      <c r="C186" s="155"/>
      <c r="D186" s="148" t="s">
        <v>15</v>
      </c>
      <c r="E186" s="20" t="str">
        <f>E55</f>
        <v>30 April 2017</v>
      </c>
      <c r="F186" s="20" t="str">
        <f>F55</f>
        <v>31 Maret 2017</v>
      </c>
      <c r="G186" s="20" t="str">
        <f>G55</f>
        <v>30 April 2016</v>
      </c>
      <c r="H186" s="149" t="s">
        <v>56</v>
      </c>
      <c r="I186" s="149" t="s">
        <v>9</v>
      </c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</row>
    <row r="187" spans="1:37">
      <c r="A187" s="5"/>
      <c r="D187" s="16"/>
      <c r="E187" s="156"/>
      <c r="F187" s="156"/>
      <c r="G187" s="15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</row>
    <row r="188" spans="1:37">
      <c r="A188" s="5"/>
      <c r="D188" s="16" t="s">
        <v>16</v>
      </c>
      <c r="E188" s="157">
        <f>E985-E951</f>
        <v>2314712880.5400004</v>
      </c>
      <c r="F188" s="157">
        <f>F985-F951</f>
        <v>2578237485.4099998</v>
      </c>
      <c r="G188" s="16">
        <v>1957164709.0900002</v>
      </c>
      <c r="H188" s="150">
        <f>+F188-G188</f>
        <v>621072776.31999969</v>
      </c>
      <c r="I188" s="151">
        <f>+H188/G188</f>
        <v>0.31733291195955227</v>
      </c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</row>
    <row r="189" spans="1:37">
      <c r="A189" s="5"/>
      <c r="D189" s="16"/>
      <c r="E189" s="16"/>
      <c r="F189" s="16"/>
      <c r="G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</row>
    <row r="190" spans="1:37" ht="13.5" thickBot="1">
      <c r="A190" s="5"/>
      <c r="D190" s="27" t="s">
        <v>130</v>
      </c>
      <c r="E190" s="69">
        <f>SUM(E188:E189)</f>
        <v>2314712880.5400004</v>
      </c>
      <c r="F190" s="69">
        <f>SUM(F188:F189)</f>
        <v>2578237485.4099998</v>
      </c>
      <c r="G190" s="69">
        <f>SUM(G188:G189)</f>
        <v>1957164709.0900002</v>
      </c>
      <c r="H190" s="152">
        <f>+E190-G190</f>
        <v>357548171.45000029</v>
      </c>
      <c r="I190" s="153">
        <f>+H190/G190</f>
        <v>0.18268680698633957</v>
      </c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</row>
    <row r="191" spans="1:37" ht="13.5" thickTop="1">
      <c r="A191" s="5"/>
      <c r="D191" s="16"/>
      <c r="E191" s="16"/>
      <c r="F191" s="16"/>
      <c r="G191" s="16"/>
      <c r="H191" s="29" t="s">
        <v>34</v>
      </c>
      <c r="I191" s="29" t="s">
        <v>34</v>
      </c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</row>
    <row r="192" spans="1:37">
      <c r="A192" s="5"/>
      <c r="D192" s="16"/>
      <c r="E192" s="16"/>
      <c r="F192" s="16"/>
      <c r="G192" s="16"/>
      <c r="H192" s="29"/>
      <c r="I192" s="29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</row>
    <row r="193" spans="1:37" ht="14">
      <c r="A193" s="154" t="s">
        <v>132</v>
      </c>
      <c r="B193" s="155"/>
      <c r="C193" s="155"/>
      <c r="D193" s="148" t="s">
        <v>18</v>
      </c>
      <c r="E193" s="20" t="str">
        <f>E55</f>
        <v>30 April 2017</v>
      </c>
      <c r="F193" s="20" t="str">
        <f>F55</f>
        <v>31 Maret 2017</v>
      </c>
      <c r="G193" s="20" t="str">
        <f>G55</f>
        <v>30 April 2016</v>
      </c>
      <c r="H193" s="149" t="s">
        <v>56</v>
      </c>
      <c r="I193" s="149" t="s">
        <v>9</v>
      </c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</row>
    <row r="194" spans="1:37">
      <c r="A194" s="5"/>
      <c r="D194" s="16"/>
      <c r="E194" s="156"/>
      <c r="F194" s="156"/>
      <c r="G194" s="15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</row>
    <row r="195" spans="1:37">
      <c r="A195" s="5"/>
      <c r="D195" s="16" t="s">
        <v>133</v>
      </c>
      <c r="F195" s="16">
        <f>F951</f>
        <v>0</v>
      </c>
      <c r="G195" s="16">
        <v>1088451966</v>
      </c>
      <c r="H195" s="150">
        <f>+F195-G195</f>
        <v>-1088451966</v>
      </c>
      <c r="I195" s="151">
        <v>0</v>
      </c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</row>
    <row r="196" spans="1:37">
      <c r="A196" s="5"/>
      <c r="D196" s="16"/>
      <c r="E196" s="16"/>
      <c r="F196" s="16"/>
      <c r="G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</row>
    <row r="197" spans="1:37" ht="13.5" thickBot="1">
      <c r="A197" s="5"/>
      <c r="D197" s="27" t="s">
        <v>130</v>
      </c>
      <c r="E197" s="69">
        <f>SUM(E195:E196)</f>
        <v>0</v>
      </c>
      <c r="F197" s="69">
        <f>SUM(F195:F196)</f>
        <v>0</v>
      </c>
      <c r="G197" s="69">
        <f>SUM(G195:G196)</f>
        <v>1088451966</v>
      </c>
      <c r="H197" s="152">
        <f>+E197-G197</f>
        <v>-1088451966</v>
      </c>
      <c r="I197" s="153">
        <f>+H197/G197</f>
        <v>-1</v>
      </c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</row>
    <row r="198" spans="1:37" ht="13.5" thickTop="1">
      <c r="A198" s="5"/>
      <c r="D198" s="16"/>
      <c r="E198" s="16"/>
      <c r="F198" s="16"/>
      <c r="G198" s="16"/>
      <c r="H198" s="29" t="s">
        <v>34</v>
      </c>
      <c r="I198" s="29" t="s">
        <v>34</v>
      </c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</row>
    <row r="199" spans="1:37">
      <c r="A199" s="5"/>
      <c r="D199" s="16"/>
      <c r="E199" s="16"/>
      <c r="F199" s="16"/>
      <c r="G199" s="16"/>
      <c r="H199" s="29"/>
      <c r="I199" s="29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</row>
    <row r="200" spans="1:37" ht="15">
      <c r="A200" s="158" t="s">
        <v>134</v>
      </c>
      <c r="B200" s="147"/>
      <c r="C200" s="147"/>
      <c r="D200" s="68" t="s">
        <v>20</v>
      </c>
      <c r="E200" s="68"/>
      <c r="F200" s="16"/>
      <c r="G200" s="16"/>
      <c r="H200" s="29"/>
      <c r="I200" s="29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</row>
    <row r="201" spans="1:37">
      <c r="A201" s="5"/>
      <c r="D201" s="16"/>
      <c r="E201" s="16"/>
      <c r="F201" s="16"/>
      <c r="G201" s="16"/>
      <c r="H201" s="29"/>
      <c r="I201" s="29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</row>
    <row r="202" spans="1:37">
      <c r="A202" s="5"/>
      <c r="D202" s="16" t="s">
        <v>135</v>
      </c>
      <c r="E202" s="19" t="s">
        <v>136</v>
      </c>
      <c r="F202" s="20" t="str">
        <f>E166</f>
        <v>30 April 2017</v>
      </c>
      <c r="G202" s="159"/>
      <c r="I202" s="29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</row>
    <row r="203" spans="1:37">
      <c r="A203" s="5"/>
      <c r="D203" s="72" t="s">
        <v>137</v>
      </c>
      <c r="E203" s="160"/>
      <c r="F203" s="159"/>
      <c r="G203" s="159"/>
      <c r="I203" s="29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</row>
    <row r="204" spans="1:37">
      <c r="A204" s="5"/>
      <c r="B204" s="61" t="s">
        <v>138</v>
      </c>
      <c r="D204" s="16" t="s">
        <v>139</v>
      </c>
      <c r="E204" s="36">
        <f>F221/H221</f>
        <v>520</v>
      </c>
      <c r="F204" s="66">
        <v>4563817500</v>
      </c>
      <c r="G204" s="30"/>
      <c r="I204" s="29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</row>
    <row r="205" spans="1:37">
      <c r="A205" s="5"/>
      <c r="B205" s="61" t="s">
        <v>140</v>
      </c>
      <c r="D205" s="16" t="s">
        <v>141</v>
      </c>
      <c r="E205" s="43">
        <f>F222/H222</f>
        <v>1850</v>
      </c>
      <c r="F205" s="66">
        <v>1831387500</v>
      </c>
      <c r="G205" s="30"/>
      <c r="I205" s="29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</row>
    <row r="206" spans="1:37">
      <c r="A206" s="5"/>
      <c r="D206" s="16"/>
      <c r="E206" s="43"/>
      <c r="G206" s="30"/>
      <c r="I206" s="29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</row>
    <row r="207" spans="1:37">
      <c r="A207" s="5"/>
      <c r="D207" s="72" t="s">
        <v>142</v>
      </c>
      <c r="E207" s="43"/>
      <c r="G207" s="30"/>
      <c r="I207" s="29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</row>
    <row r="208" spans="1:37">
      <c r="A208" s="5"/>
      <c r="B208" s="61" t="s">
        <v>143</v>
      </c>
      <c r="D208" s="16" t="s">
        <v>144</v>
      </c>
      <c r="E208" s="43">
        <f>F225/H225</f>
        <v>54</v>
      </c>
      <c r="F208" s="66">
        <v>4212</v>
      </c>
      <c r="G208" s="30"/>
      <c r="I208" s="29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</row>
    <row r="209" spans="1:36">
      <c r="A209" s="5"/>
      <c r="B209" s="61" t="s">
        <v>145</v>
      </c>
      <c r="D209" s="16" t="s">
        <v>146</v>
      </c>
      <c r="E209" s="43">
        <f>F226/H226</f>
        <v>4052.5744558900283</v>
      </c>
      <c r="F209" s="66">
        <v>12656149500</v>
      </c>
      <c r="G209" s="30"/>
      <c r="I209" s="29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</row>
    <row r="210" spans="1:36">
      <c r="A210" s="5"/>
      <c r="B210" s="61" t="s">
        <v>147</v>
      </c>
      <c r="D210" s="16" t="s">
        <v>148</v>
      </c>
      <c r="E210" s="43">
        <f>F227/H227</f>
        <v>1015</v>
      </c>
      <c r="F210" s="66">
        <v>672894000</v>
      </c>
      <c r="G210" s="30"/>
      <c r="I210" s="29"/>
      <c r="J210" s="16"/>
      <c r="K210" s="16"/>
      <c r="L210" s="16"/>
      <c r="M210" s="16"/>
      <c r="N210" s="16"/>
      <c r="O210" s="16"/>
      <c r="P210" s="16"/>
      <c r="Q210" s="16"/>
      <c r="R210" s="16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</row>
    <row r="211" spans="1:36">
      <c r="A211" s="5"/>
      <c r="B211" s="61" t="s">
        <v>149</v>
      </c>
      <c r="D211" s="16" t="s">
        <v>150</v>
      </c>
      <c r="E211" s="43">
        <f>F228/H228</f>
        <v>1415</v>
      </c>
      <c r="F211" s="66">
        <v>442000000</v>
      </c>
      <c r="G211" s="30"/>
      <c r="I211" s="29"/>
      <c r="J211" s="16"/>
      <c r="K211" s="16"/>
      <c r="L211" s="16"/>
      <c r="M211" s="16"/>
      <c r="N211" s="16"/>
      <c r="O211" s="16"/>
      <c r="P211" s="16"/>
      <c r="Q211" s="16"/>
      <c r="R211" s="16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</row>
    <row r="212" spans="1:36">
      <c r="A212" s="5"/>
      <c r="B212" s="61" t="s">
        <v>151</v>
      </c>
      <c r="D212" s="16" t="s">
        <v>152</v>
      </c>
      <c r="E212" s="43">
        <f>F229/H229</f>
        <v>67</v>
      </c>
      <c r="F212" s="66">
        <v>288100000</v>
      </c>
      <c r="G212" s="30"/>
      <c r="I212" s="29"/>
      <c r="J212" s="16"/>
      <c r="K212" s="16"/>
      <c r="L212" s="16"/>
      <c r="M212" s="16"/>
      <c r="N212" s="16"/>
      <c r="O212" s="16"/>
      <c r="P212" s="16"/>
      <c r="Q212" s="16"/>
      <c r="R212" s="16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</row>
    <row r="213" spans="1:36">
      <c r="A213" s="5"/>
      <c r="D213" s="16"/>
      <c r="E213" s="43"/>
      <c r="F213" s="16"/>
      <c r="G213" s="30"/>
      <c r="H213" s="161"/>
      <c r="I213" s="29"/>
      <c r="J213" s="16"/>
      <c r="K213" s="16"/>
      <c r="L213" s="16"/>
      <c r="M213" s="16"/>
      <c r="N213" s="16"/>
      <c r="O213" s="16"/>
      <c r="P213" s="16"/>
      <c r="Q213" s="16"/>
      <c r="R213" s="16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</row>
    <row r="214" spans="1:36">
      <c r="A214" s="5"/>
      <c r="D214" s="16"/>
      <c r="E214" s="43"/>
      <c r="F214" s="16"/>
      <c r="G214" s="30"/>
      <c r="I214" s="29"/>
      <c r="J214" s="16"/>
      <c r="K214" s="16"/>
      <c r="L214" s="16"/>
      <c r="M214" s="16"/>
      <c r="N214" s="16"/>
      <c r="O214" s="16"/>
      <c r="P214" s="16"/>
      <c r="Q214" s="16"/>
      <c r="R214" s="16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</row>
    <row r="215" spans="1:36">
      <c r="A215" s="5"/>
      <c r="B215" s="61"/>
      <c r="G215" s="30"/>
      <c r="I215" s="29"/>
      <c r="J215" s="16"/>
      <c r="K215" s="16"/>
      <c r="L215" s="16"/>
      <c r="M215" s="16"/>
      <c r="N215" s="16"/>
      <c r="O215" s="16"/>
      <c r="P215" s="16"/>
      <c r="Q215" s="16"/>
      <c r="R215" s="16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</row>
    <row r="216" spans="1:36" ht="13.5" thickBot="1">
      <c r="A216" s="5"/>
      <c r="B216" s="61"/>
      <c r="D216" s="27" t="s">
        <v>130</v>
      </c>
      <c r="E216" s="5"/>
      <c r="F216" s="69">
        <f>SUM(F204:F215)</f>
        <v>20454352712</v>
      </c>
      <c r="G216" s="49"/>
      <c r="I216" s="29"/>
      <c r="J216" s="16"/>
      <c r="K216" s="16"/>
      <c r="L216" s="16"/>
      <c r="M216" s="16"/>
      <c r="N216" s="16"/>
      <c r="O216" s="16"/>
      <c r="P216" s="16"/>
      <c r="Q216" s="16"/>
      <c r="R216" s="16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</row>
    <row r="217" spans="1:36" ht="13.5" thickTop="1">
      <c r="A217" s="5"/>
      <c r="D217" s="16"/>
      <c r="E217" s="16"/>
      <c r="F217" s="30"/>
      <c r="G217" s="16"/>
      <c r="H217" s="29"/>
      <c r="I217" s="29"/>
      <c r="J217" s="16"/>
      <c r="K217" s="16"/>
      <c r="L217" s="16"/>
      <c r="M217" s="16"/>
      <c r="N217" s="16"/>
      <c r="O217" s="16"/>
      <c r="P217" s="16"/>
      <c r="Q217" s="16"/>
      <c r="R217" s="16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</row>
    <row r="218" spans="1:36">
      <c r="A218" s="5"/>
      <c r="D218" s="16"/>
      <c r="E218" s="16"/>
      <c r="F218" s="30"/>
      <c r="G218" s="16"/>
      <c r="H218" s="29"/>
      <c r="I218" s="29"/>
      <c r="J218" s="16"/>
      <c r="K218" s="16"/>
      <c r="L218" s="16"/>
      <c r="M218" s="16"/>
      <c r="N218" s="16"/>
      <c r="O218" s="16"/>
      <c r="P218" s="16"/>
      <c r="Q218" s="16"/>
      <c r="R218" s="16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</row>
    <row r="219" spans="1:36">
      <c r="A219" s="5"/>
      <c r="D219" s="16" t="s">
        <v>135</v>
      </c>
      <c r="E219" s="19" t="s">
        <v>136</v>
      </c>
      <c r="F219" s="20" t="str">
        <f>F166</f>
        <v>31 Maret 2017</v>
      </c>
      <c r="G219" s="16"/>
      <c r="H219" s="29"/>
      <c r="I219" s="29"/>
      <c r="J219" s="16"/>
      <c r="K219" s="16"/>
      <c r="L219" s="16"/>
      <c r="M219" s="16"/>
      <c r="N219" s="16"/>
      <c r="O219" s="16"/>
      <c r="P219" s="16"/>
      <c r="Q219" s="16"/>
      <c r="R219" s="16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</row>
    <row r="220" spans="1:36">
      <c r="A220" s="5"/>
      <c r="D220" s="72" t="s">
        <v>137</v>
      </c>
      <c r="E220" s="160"/>
      <c r="F220" s="159"/>
      <c r="G220" s="16"/>
      <c r="H220" s="29"/>
      <c r="I220" s="29"/>
      <c r="J220" s="16"/>
      <c r="K220" s="16"/>
      <c r="L220" s="16"/>
      <c r="M220" s="16"/>
      <c r="N220" s="16"/>
      <c r="O220" s="16"/>
      <c r="P220" s="16"/>
      <c r="Q220" s="16"/>
      <c r="R220" s="16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</row>
    <row r="221" spans="1:36">
      <c r="A221" s="5"/>
      <c r="B221" s="61"/>
      <c r="D221" s="16" t="s">
        <v>139</v>
      </c>
      <c r="E221" s="36">
        <f>F221/H221</f>
        <v>520</v>
      </c>
      <c r="F221" s="16">
        <v>4435860000</v>
      </c>
      <c r="G221" s="16"/>
      <c r="H221" s="162">
        <v>8530500</v>
      </c>
      <c r="I221" s="29"/>
      <c r="J221" s="16"/>
      <c r="K221" s="16"/>
      <c r="L221" s="16"/>
      <c r="M221" s="16"/>
      <c r="N221" s="16"/>
      <c r="O221" s="16"/>
      <c r="P221" s="16"/>
      <c r="Q221" s="16"/>
      <c r="R221" s="16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</row>
    <row r="222" spans="1:36">
      <c r="A222" s="5"/>
      <c r="D222" s="16" t="s">
        <v>141</v>
      </c>
      <c r="E222" s="36">
        <f>F222/H222</f>
        <v>1850</v>
      </c>
      <c r="F222" s="16">
        <v>1856475000</v>
      </c>
      <c r="G222" s="16"/>
      <c r="H222" s="161">
        <v>1003500</v>
      </c>
      <c r="I222" s="29"/>
      <c r="J222" s="16"/>
      <c r="K222" s="16"/>
      <c r="L222" s="16"/>
      <c r="M222" s="16"/>
      <c r="N222" s="16"/>
      <c r="O222" s="16"/>
      <c r="P222" s="16"/>
      <c r="Q222" s="16"/>
      <c r="R222" s="16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</row>
    <row r="223" spans="1:36">
      <c r="A223" s="5"/>
      <c r="D223" s="16"/>
      <c r="E223" s="43"/>
      <c r="F223" s="16"/>
      <c r="G223" s="16"/>
      <c r="H223" s="161"/>
      <c r="I223" s="29"/>
      <c r="J223" s="16"/>
      <c r="K223" s="16"/>
      <c r="L223" s="16"/>
      <c r="M223" s="16"/>
      <c r="N223" s="16"/>
      <c r="O223" s="16"/>
      <c r="P223" s="16"/>
      <c r="Q223" s="16"/>
      <c r="R223" s="16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</row>
    <row r="224" spans="1:36">
      <c r="A224" s="5"/>
      <c r="D224" s="72" t="s">
        <v>142</v>
      </c>
      <c r="E224" s="43"/>
      <c r="F224" s="16"/>
      <c r="G224" s="16"/>
      <c r="H224" s="161"/>
      <c r="I224" s="29"/>
      <c r="J224" s="16"/>
      <c r="K224" s="16"/>
      <c r="L224" s="16"/>
      <c r="M224" s="16"/>
      <c r="N224" s="16"/>
      <c r="O224" s="16"/>
      <c r="P224" s="16"/>
      <c r="Q224" s="16"/>
      <c r="R224" s="16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</row>
    <row r="225" spans="1:36">
      <c r="A225" s="5"/>
      <c r="D225" s="16" t="s">
        <v>144</v>
      </c>
      <c r="E225" s="43">
        <f>F225/H225</f>
        <v>54</v>
      </c>
      <c r="F225" s="16">
        <v>4374</v>
      </c>
      <c r="G225" s="16"/>
      <c r="H225" s="161">
        <v>81</v>
      </c>
      <c r="I225" s="29"/>
      <c r="J225" s="16"/>
      <c r="K225" s="16"/>
      <c r="L225" s="16"/>
      <c r="M225" s="16"/>
      <c r="N225" s="16"/>
      <c r="O225" s="16"/>
      <c r="P225" s="16"/>
      <c r="Q225" s="16"/>
      <c r="R225" s="16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</row>
    <row r="226" spans="1:36">
      <c r="A226" s="5"/>
      <c r="D226" s="16" t="s">
        <v>146</v>
      </c>
      <c r="E226" s="43">
        <f>F226/H226</f>
        <v>4052.5744558900283</v>
      </c>
      <c r="F226" s="16">
        <v>12656149500</v>
      </c>
      <c r="G226" s="16"/>
      <c r="H226" s="161">
        <v>3122990</v>
      </c>
      <c r="I226" s="29"/>
      <c r="J226" s="16"/>
      <c r="K226" s="16"/>
      <c r="L226" s="16"/>
      <c r="M226" s="16"/>
      <c r="N226" s="16"/>
      <c r="O226" s="16"/>
      <c r="P226" s="16"/>
      <c r="Q226" s="16"/>
      <c r="R226" s="16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</row>
    <row r="227" spans="1:36">
      <c r="A227" s="5"/>
      <c r="D227" s="16" t="s">
        <v>148</v>
      </c>
      <c r="E227" s="43">
        <f>F227/H227</f>
        <v>1015</v>
      </c>
      <c r="F227" s="16">
        <v>669595500</v>
      </c>
      <c r="G227" s="16"/>
      <c r="H227" s="161">
        <v>659700</v>
      </c>
      <c r="I227" s="29"/>
      <c r="J227" s="16"/>
      <c r="K227" s="16"/>
      <c r="L227" s="16"/>
      <c r="M227" s="16"/>
      <c r="N227" s="16"/>
      <c r="O227" s="16"/>
      <c r="P227" s="16"/>
      <c r="Q227" s="16"/>
      <c r="R227" s="16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</row>
    <row r="228" spans="1:36">
      <c r="A228" s="5"/>
      <c r="D228" s="16" t="s">
        <v>150</v>
      </c>
      <c r="E228" s="43">
        <f>F228/H228</f>
        <v>1415</v>
      </c>
      <c r="F228" s="16">
        <v>459875000</v>
      </c>
      <c r="G228" s="16"/>
      <c r="H228" s="161">
        <v>325000</v>
      </c>
      <c r="I228" s="29"/>
      <c r="J228" s="16"/>
      <c r="K228" s="16"/>
      <c r="L228" s="16"/>
      <c r="M228" s="16"/>
      <c r="N228" s="16"/>
      <c r="O228" s="16"/>
      <c r="P228" s="16"/>
      <c r="Q228" s="16"/>
      <c r="R228" s="16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</row>
    <row r="229" spans="1:36">
      <c r="A229" s="5"/>
      <c r="D229" s="16" t="s">
        <v>152</v>
      </c>
      <c r="E229" s="43">
        <f>F229/H229</f>
        <v>67</v>
      </c>
      <c r="F229" s="16">
        <v>288100000</v>
      </c>
      <c r="G229" s="16"/>
      <c r="H229" s="161">
        <v>4300000</v>
      </c>
      <c r="I229" s="29"/>
      <c r="J229" s="16"/>
      <c r="K229" s="16"/>
      <c r="L229" s="16"/>
      <c r="M229" s="16"/>
      <c r="N229" s="16"/>
      <c r="O229" s="16"/>
      <c r="P229" s="16"/>
      <c r="Q229" s="16"/>
      <c r="R229" s="16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</row>
    <row r="230" spans="1:36">
      <c r="A230" s="5"/>
      <c r="D230" s="16"/>
      <c r="E230" s="43"/>
      <c r="F230" s="16"/>
      <c r="G230" s="16"/>
      <c r="H230" s="161">
        <v>400000</v>
      </c>
      <c r="I230" s="29"/>
      <c r="J230" s="16"/>
      <c r="K230" s="16"/>
      <c r="L230" s="16"/>
      <c r="M230" s="16"/>
      <c r="N230" s="16"/>
      <c r="O230" s="16"/>
      <c r="P230" s="16"/>
      <c r="Q230" s="16"/>
      <c r="R230" s="16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</row>
    <row r="231" spans="1:36" hidden="1">
      <c r="A231" s="5"/>
      <c r="D231" s="16"/>
      <c r="E231" s="43"/>
      <c r="F231" s="43"/>
      <c r="G231" s="16"/>
      <c r="H231" s="29"/>
      <c r="I231" s="29"/>
      <c r="J231" s="16"/>
      <c r="K231" s="16"/>
      <c r="L231" s="16"/>
      <c r="M231" s="16"/>
      <c r="N231" s="16"/>
      <c r="O231" s="16"/>
      <c r="P231" s="16"/>
      <c r="Q231" s="16"/>
      <c r="R231" s="16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</row>
    <row r="232" spans="1:36" hidden="1">
      <c r="A232" s="5"/>
      <c r="D232" s="16"/>
      <c r="E232" s="43"/>
      <c r="F232" s="16"/>
      <c r="G232" s="30"/>
      <c r="I232" s="29"/>
      <c r="J232" s="16"/>
      <c r="K232" s="16"/>
      <c r="L232" s="16"/>
      <c r="M232" s="16"/>
      <c r="N232" s="16"/>
      <c r="O232" s="16"/>
      <c r="P232" s="16"/>
      <c r="Q232" s="16"/>
      <c r="R232" s="16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</row>
    <row r="233" spans="1:36" hidden="1">
      <c r="A233" s="5"/>
      <c r="D233" s="16"/>
      <c r="E233" s="43"/>
      <c r="F233" s="43"/>
      <c r="G233" s="16"/>
      <c r="H233" s="29"/>
      <c r="I233" s="29"/>
      <c r="J233" s="16"/>
      <c r="K233" s="16"/>
      <c r="L233" s="16"/>
      <c r="M233" s="16"/>
      <c r="N233" s="16"/>
      <c r="O233" s="16"/>
      <c r="P233" s="16"/>
      <c r="Q233" s="16"/>
      <c r="R233" s="16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</row>
    <row r="234" spans="1:36" hidden="1">
      <c r="A234" s="5"/>
      <c r="D234" s="16"/>
      <c r="E234" s="43"/>
      <c r="F234" s="43"/>
      <c r="G234" s="16"/>
      <c r="H234" s="29"/>
      <c r="I234" s="29"/>
      <c r="J234" s="16"/>
      <c r="K234" s="16"/>
      <c r="L234" s="16"/>
      <c r="M234" s="16"/>
      <c r="N234" s="16"/>
      <c r="O234" s="16"/>
      <c r="P234" s="16"/>
      <c r="Q234" s="16"/>
      <c r="R234" s="16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</row>
    <row r="235" spans="1:36" hidden="1">
      <c r="A235" s="5"/>
      <c r="D235" s="16"/>
      <c r="E235" s="43"/>
      <c r="F235" s="16"/>
      <c r="G235" s="16"/>
      <c r="H235" s="29"/>
      <c r="I235" s="29"/>
      <c r="J235" s="16"/>
      <c r="K235" s="16"/>
      <c r="L235" s="16"/>
      <c r="M235" s="16"/>
      <c r="N235" s="16"/>
      <c r="O235" s="16"/>
      <c r="P235" s="16"/>
      <c r="Q235" s="16"/>
      <c r="R235" s="16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</row>
    <row r="236" spans="1:36" hidden="1">
      <c r="A236" s="5"/>
      <c r="D236" s="16"/>
      <c r="E236" s="43"/>
      <c r="F236" s="16"/>
      <c r="G236" s="16"/>
      <c r="H236" s="29"/>
      <c r="I236" s="29"/>
      <c r="J236" s="16"/>
      <c r="K236" s="16"/>
      <c r="L236" s="16"/>
      <c r="M236" s="16"/>
      <c r="N236" s="16"/>
      <c r="O236" s="16"/>
      <c r="P236" s="16"/>
      <c r="Q236" s="16"/>
      <c r="R236" s="16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</row>
    <row r="237" spans="1:36" hidden="1">
      <c r="A237" s="5"/>
      <c r="D237" s="16"/>
      <c r="E237" s="43"/>
      <c r="F237" s="16"/>
      <c r="G237" s="16"/>
      <c r="H237" s="29"/>
      <c r="I237" s="29"/>
      <c r="J237" s="16"/>
      <c r="K237" s="16"/>
      <c r="L237" s="16"/>
      <c r="M237" s="16"/>
      <c r="N237" s="16"/>
      <c r="O237" s="16"/>
      <c r="P237" s="16"/>
      <c r="Q237" s="16"/>
      <c r="R237" s="16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</row>
    <row r="238" spans="1:36" hidden="1">
      <c r="A238" s="5"/>
      <c r="D238" s="16"/>
      <c r="E238" s="43"/>
      <c r="F238" s="16"/>
      <c r="G238" s="16"/>
      <c r="H238" s="29"/>
      <c r="I238" s="29"/>
      <c r="J238" s="16"/>
      <c r="K238" s="16"/>
      <c r="L238" s="16"/>
      <c r="M238" s="16"/>
      <c r="N238" s="16"/>
      <c r="O238" s="16"/>
      <c r="P238" s="16"/>
      <c r="Q238" s="16"/>
      <c r="R238" s="16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</row>
    <row r="239" spans="1:36" hidden="1">
      <c r="A239" s="5"/>
      <c r="D239" s="16"/>
      <c r="E239" s="43"/>
      <c r="F239" s="16"/>
      <c r="G239" s="16"/>
      <c r="H239" s="29"/>
      <c r="I239" s="29"/>
      <c r="J239" s="16"/>
      <c r="K239" s="16"/>
      <c r="L239" s="16"/>
      <c r="M239" s="16"/>
      <c r="N239" s="16"/>
      <c r="O239" s="16"/>
      <c r="P239" s="16"/>
      <c r="Q239" s="16"/>
      <c r="R239" s="16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</row>
    <row r="240" spans="1:36">
      <c r="A240" s="5"/>
      <c r="G240" s="16"/>
      <c r="H240" s="29"/>
      <c r="I240" s="29"/>
      <c r="J240" s="16"/>
      <c r="K240" s="16"/>
      <c r="L240" s="16"/>
      <c r="M240" s="16"/>
      <c r="N240" s="16"/>
      <c r="O240" s="16"/>
      <c r="P240" s="16"/>
      <c r="Q240" s="16"/>
      <c r="R240" s="16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</row>
    <row r="241" spans="1:36" ht="13.5" thickBot="1">
      <c r="A241" s="5"/>
      <c r="D241" s="27" t="s">
        <v>130</v>
      </c>
      <c r="E241" s="5"/>
      <c r="F241" s="69">
        <f>SUM(F221:F240)</f>
        <v>20366059374</v>
      </c>
      <c r="G241" s="16"/>
      <c r="H241" s="29"/>
      <c r="I241" s="29"/>
      <c r="J241" s="16"/>
      <c r="K241" s="16"/>
      <c r="L241" s="16"/>
      <c r="M241" s="16"/>
      <c r="N241" s="16"/>
      <c r="O241" s="16"/>
      <c r="P241" s="16"/>
      <c r="Q241" s="16"/>
      <c r="R241" s="16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</row>
    <row r="242" spans="1:36" ht="13.5" thickTop="1">
      <c r="A242" s="5"/>
      <c r="D242" s="16"/>
      <c r="E242" s="16"/>
      <c r="F242" s="30"/>
      <c r="G242" s="16"/>
      <c r="H242" s="29"/>
      <c r="I242" s="29"/>
      <c r="J242" s="16"/>
      <c r="K242" s="16"/>
      <c r="L242" s="16"/>
      <c r="M242" s="16"/>
      <c r="N242" s="16"/>
      <c r="O242" s="16"/>
      <c r="P242" s="16"/>
      <c r="Q242" s="16"/>
      <c r="R242" s="16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</row>
    <row r="243" spans="1:36">
      <c r="A243" s="5"/>
      <c r="D243" s="16"/>
      <c r="E243" s="16"/>
      <c r="F243" s="30"/>
      <c r="G243" s="16"/>
      <c r="H243" s="29"/>
      <c r="I243" s="29"/>
      <c r="J243" s="16"/>
      <c r="K243" s="16"/>
      <c r="L243" s="16"/>
      <c r="M243" s="16"/>
      <c r="N243" s="16"/>
      <c r="O243" s="16"/>
      <c r="P243" s="16"/>
      <c r="Q243" s="16"/>
      <c r="R243" s="16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</row>
    <row r="244" spans="1:36">
      <c r="A244" s="5"/>
      <c r="D244" s="16" t="s">
        <v>135</v>
      </c>
      <c r="E244" s="19" t="s">
        <v>136</v>
      </c>
      <c r="F244" s="20" t="str">
        <f>G166</f>
        <v>30 April 2016</v>
      </c>
      <c r="H244" s="29"/>
      <c r="I244" s="29"/>
      <c r="J244" s="16"/>
      <c r="K244" s="16"/>
      <c r="L244" s="16"/>
      <c r="M244" s="16"/>
      <c r="N244" s="16"/>
      <c r="O244" s="16"/>
      <c r="P244" s="16"/>
      <c r="Q244" s="16"/>
      <c r="R244" s="16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</row>
    <row r="245" spans="1:36">
      <c r="A245" s="5"/>
      <c r="D245" s="16" t="s">
        <v>139</v>
      </c>
      <c r="E245" s="36">
        <v>1160</v>
      </c>
      <c r="F245" s="16">
        <v>9895380000</v>
      </c>
      <c r="G245" s="30"/>
      <c r="H245" s="162">
        <v>8530500</v>
      </c>
      <c r="I245" s="29"/>
      <c r="J245" s="16"/>
      <c r="K245" s="16"/>
      <c r="L245" s="16"/>
      <c r="M245" s="16"/>
      <c r="N245" s="16"/>
      <c r="O245" s="16"/>
      <c r="P245" s="16"/>
      <c r="Q245" s="16"/>
      <c r="R245" s="16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</row>
    <row r="246" spans="1:36">
      <c r="A246" s="5"/>
      <c r="D246" s="16" t="s">
        <v>144</v>
      </c>
      <c r="E246" s="36">
        <v>72</v>
      </c>
      <c r="F246" s="16">
        <v>5832</v>
      </c>
      <c r="G246" s="30"/>
      <c r="H246" s="161">
        <v>81</v>
      </c>
      <c r="I246" s="29"/>
      <c r="J246" s="16"/>
      <c r="K246" s="16"/>
      <c r="L246" s="16"/>
      <c r="M246" s="16"/>
      <c r="N246" s="16"/>
      <c r="O246" s="16"/>
      <c r="P246" s="16"/>
      <c r="Q246" s="16"/>
      <c r="R246" s="16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</row>
    <row r="247" spans="1:36">
      <c r="A247" s="5"/>
      <c r="D247" s="16" t="s">
        <v>153</v>
      </c>
      <c r="E247" s="36">
        <v>60</v>
      </c>
      <c r="F247" s="16">
        <v>187379400</v>
      </c>
      <c r="G247" s="30"/>
      <c r="H247" s="161">
        <v>3122990</v>
      </c>
      <c r="I247" s="29"/>
      <c r="J247" s="16"/>
      <c r="K247" s="16"/>
      <c r="L247" s="16"/>
      <c r="M247" s="16"/>
      <c r="N247" s="16"/>
      <c r="O247" s="16"/>
      <c r="P247" s="16"/>
      <c r="Q247" s="16"/>
      <c r="R247" s="16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</row>
    <row r="248" spans="1:36">
      <c r="A248" s="5"/>
      <c r="D248" s="16" t="s">
        <v>141</v>
      </c>
      <c r="E248" s="36">
        <v>2350</v>
      </c>
      <c r="F248" s="16">
        <v>2358225000</v>
      </c>
      <c r="G248" s="30"/>
      <c r="H248" s="161">
        <v>1003500</v>
      </c>
      <c r="I248" s="29"/>
      <c r="J248" s="16"/>
      <c r="L248" s="16"/>
      <c r="M248" s="16"/>
      <c r="N248" s="16"/>
      <c r="O248" s="16"/>
      <c r="P248" s="16"/>
      <c r="Q248" s="16"/>
      <c r="R248" s="16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</row>
    <row r="249" spans="1:36">
      <c r="A249" s="5"/>
      <c r="D249" s="16" t="s">
        <v>148</v>
      </c>
      <c r="E249" s="36">
        <v>1295</v>
      </c>
      <c r="F249" s="16">
        <v>854311500</v>
      </c>
      <c r="G249" s="30"/>
      <c r="H249" s="161">
        <v>659700</v>
      </c>
      <c r="I249" s="29"/>
      <c r="J249" s="16"/>
      <c r="L249" s="16"/>
      <c r="M249" s="16"/>
      <c r="N249" s="16"/>
      <c r="O249" s="16"/>
      <c r="P249" s="16"/>
      <c r="Q249" s="16"/>
      <c r="R249" s="16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</row>
    <row r="250" spans="1:36">
      <c r="A250" s="5"/>
      <c r="D250" s="16" t="s">
        <v>150</v>
      </c>
      <c r="E250" s="36">
        <v>1235</v>
      </c>
      <c r="F250" s="16">
        <v>401375000</v>
      </c>
      <c r="G250" s="30"/>
      <c r="H250" s="161">
        <v>325000</v>
      </c>
      <c r="I250" s="29"/>
      <c r="J250" s="16"/>
      <c r="L250" s="16"/>
      <c r="M250" s="16"/>
      <c r="N250" s="16"/>
      <c r="O250" s="16"/>
      <c r="P250" s="16"/>
      <c r="Q250" s="16"/>
      <c r="R250" s="16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</row>
    <row r="251" spans="1:36">
      <c r="A251" s="5"/>
      <c r="D251" s="16" t="s">
        <v>152</v>
      </c>
      <c r="E251" s="36">
        <v>74</v>
      </c>
      <c r="F251" s="16">
        <v>318200000</v>
      </c>
      <c r="G251" s="30"/>
      <c r="H251" s="161">
        <v>4300000</v>
      </c>
      <c r="I251" s="29"/>
      <c r="J251" s="16"/>
      <c r="L251" s="16"/>
      <c r="M251" s="16"/>
      <c r="N251" s="16"/>
      <c r="O251" s="16"/>
      <c r="P251" s="16"/>
      <c r="Q251" s="16"/>
      <c r="R251" s="16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</row>
    <row r="252" spans="1:36" hidden="1">
      <c r="A252" s="5"/>
      <c r="D252" s="16"/>
      <c r="E252" s="16"/>
      <c r="F252" s="16"/>
      <c r="G252" s="30"/>
      <c r="H252" s="29" t="e">
        <f t="shared" ref="H252:H260" si="8">F252/E252</f>
        <v>#DIV/0!</v>
      </c>
      <c r="I252" s="29"/>
      <c r="J252" s="16"/>
      <c r="K252" s="61" t="s">
        <v>154</v>
      </c>
      <c r="L252" s="16"/>
      <c r="M252" s="16"/>
      <c r="N252" s="16"/>
      <c r="O252" s="16"/>
      <c r="P252" s="16"/>
      <c r="Q252" s="16"/>
      <c r="R252" s="16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</row>
    <row r="253" spans="1:36">
      <c r="A253" s="5"/>
      <c r="D253" s="16"/>
      <c r="E253" s="16"/>
      <c r="F253" s="16"/>
      <c r="G253" s="30"/>
      <c r="H253" s="29" t="e">
        <f t="shared" si="8"/>
        <v>#DIV/0!</v>
      </c>
      <c r="I253" s="29"/>
      <c r="J253" s="16"/>
      <c r="L253" s="16"/>
      <c r="M253" s="16"/>
      <c r="N253" s="16"/>
      <c r="O253" s="16"/>
      <c r="P253" s="16"/>
      <c r="Q253" s="16"/>
      <c r="R253" s="16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</row>
    <row r="254" spans="1:36" hidden="1">
      <c r="A254" s="5"/>
      <c r="D254" s="16"/>
      <c r="E254" s="16"/>
      <c r="F254" s="16"/>
      <c r="G254" s="30"/>
      <c r="H254" s="29" t="e">
        <f t="shared" si="8"/>
        <v>#DIV/0!</v>
      </c>
      <c r="I254" s="29"/>
      <c r="J254" s="16"/>
      <c r="K254" s="61" t="s">
        <v>155</v>
      </c>
      <c r="L254" s="16"/>
      <c r="M254" s="16"/>
      <c r="N254" s="16"/>
      <c r="O254" s="16"/>
      <c r="P254" s="16"/>
      <c r="Q254" s="16"/>
      <c r="R254" s="16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</row>
    <row r="255" spans="1:36" hidden="1">
      <c r="A255" s="5"/>
      <c r="D255" s="16"/>
      <c r="E255" s="16"/>
      <c r="F255" s="16"/>
      <c r="G255" s="30"/>
      <c r="H255" s="29" t="e">
        <f t="shared" si="8"/>
        <v>#DIV/0!</v>
      </c>
      <c r="I255" s="29"/>
      <c r="J255" s="16"/>
      <c r="K255" s="16"/>
      <c r="L255" s="16"/>
      <c r="M255" s="16"/>
      <c r="N255" s="16"/>
      <c r="O255" s="16"/>
      <c r="P255" s="16"/>
      <c r="Q255" s="16"/>
      <c r="R255" s="16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</row>
    <row r="256" spans="1:36" hidden="1">
      <c r="A256" s="5"/>
      <c r="D256" s="16"/>
      <c r="E256" s="16"/>
      <c r="F256" s="16"/>
      <c r="G256" s="30"/>
      <c r="H256" s="29" t="e">
        <f t="shared" si="8"/>
        <v>#DIV/0!</v>
      </c>
      <c r="I256" s="29"/>
      <c r="J256" s="16"/>
      <c r="K256" s="16"/>
      <c r="L256" s="16"/>
      <c r="M256" s="16"/>
      <c r="N256" s="16"/>
      <c r="O256" s="16"/>
      <c r="P256" s="16"/>
      <c r="Q256" s="16"/>
      <c r="R256" s="16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</row>
    <row r="257" spans="1:37" hidden="1">
      <c r="A257" s="5"/>
      <c r="D257" s="16"/>
      <c r="F257" s="16"/>
      <c r="G257" s="30"/>
      <c r="H257" s="29" t="e">
        <f t="shared" si="8"/>
        <v>#DIV/0!</v>
      </c>
      <c r="I257" s="29"/>
      <c r="J257" s="16"/>
      <c r="K257" s="16"/>
      <c r="L257" s="16"/>
      <c r="M257" s="16"/>
      <c r="N257" s="16"/>
      <c r="O257" s="16"/>
      <c r="P257" s="16"/>
      <c r="Q257" s="16"/>
      <c r="R257" s="16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</row>
    <row r="258" spans="1:37" hidden="1">
      <c r="A258" s="5"/>
      <c r="D258" s="16"/>
      <c r="F258" s="16"/>
      <c r="G258" s="30"/>
      <c r="H258" s="29" t="e">
        <f t="shared" si="8"/>
        <v>#DIV/0!</v>
      </c>
      <c r="I258" s="29"/>
      <c r="J258" s="16"/>
      <c r="K258" s="16"/>
      <c r="L258" s="16"/>
      <c r="M258" s="16"/>
      <c r="N258" s="16"/>
      <c r="O258" s="16"/>
      <c r="P258" s="16"/>
      <c r="Q258" s="16"/>
      <c r="R258" s="16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</row>
    <row r="259" spans="1:37" hidden="1">
      <c r="A259" s="5"/>
      <c r="D259" s="16"/>
      <c r="E259" s="5"/>
      <c r="F259" s="16"/>
      <c r="G259" s="30"/>
      <c r="H259" s="29" t="e">
        <f t="shared" si="8"/>
        <v>#DIV/0!</v>
      </c>
      <c r="I259" s="29"/>
      <c r="J259" s="16"/>
      <c r="K259" s="16"/>
      <c r="L259" s="16"/>
      <c r="M259" s="16"/>
      <c r="N259" s="16"/>
      <c r="O259" s="16"/>
      <c r="P259" s="16"/>
      <c r="Q259" s="16"/>
      <c r="R259" s="16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</row>
    <row r="260" spans="1:37" hidden="1">
      <c r="A260" s="5"/>
      <c r="D260" s="16"/>
      <c r="F260" s="111"/>
      <c r="G260" s="30"/>
      <c r="H260" s="29" t="e">
        <f t="shared" si="8"/>
        <v>#DIV/0!</v>
      </c>
      <c r="I260" s="29"/>
      <c r="J260" s="16"/>
      <c r="K260" s="16"/>
      <c r="L260" s="16"/>
      <c r="M260" s="16"/>
      <c r="N260" s="16"/>
      <c r="O260" s="16"/>
      <c r="P260" s="16"/>
      <c r="Q260" s="16"/>
      <c r="R260" s="16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</row>
    <row r="261" spans="1:37">
      <c r="A261" s="5"/>
      <c r="D261" s="16"/>
      <c r="F261" s="111"/>
      <c r="G261" s="16"/>
      <c r="H261" s="29"/>
      <c r="I261" s="29"/>
      <c r="J261" s="16"/>
      <c r="K261" s="16"/>
      <c r="L261" s="16"/>
      <c r="M261" s="16"/>
      <c r="N261" s="16"/>
      <c r="O261" s="16"/>
      <c r="P261" s="16"/>
      <c r="Q261" s="16"/>
      <c r="R261" s="16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</row>
    <row r="262" spans="1:37" ht="13.5" thickBot="1">
      <c r="A262" s="5"/>
      <c r="D262" s="27" t="s">
        <v>130</v>
      </c>
      <c r="F262" s="69">
        <f>SUM(F245:F261)</f>
        <v>14014876732</v>
      </c>
      <c r="G262" s="16"/>
      <c r="H262" s="29"/>
      <c r="I262" s="29"/>
      <c r="J262" s="16"/>
      <c r="K262" s="16"/>
      <c r="L262" s="16"/>
      <c r="M262" s="16"/>
      <c r="N262" s="16"/>
      <c r="O262" s="16"/>
      <c r="P262" s="16"/>
      <c r="Q262" s="16"/>
      <c r="R262" s="16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</row>
    <row r="263" spans="1:37" ht="13.5" thickTop="1">
      <c r="A263" s="5"/>
      <c r="D263" s="16"/>
      <c r="E263" s="16"/>
      <c r="F263" s="16"/>
      <c r="G263" s="16"/>
      <c r="H263" s="29"/>
      <c r="I263" s="29"/>
      <c r="J263" s="16"/>
      <c r="K263" s="16"/>
      <c r="L263" s="16"/>
      <c r="M263" s="16"/>
      <c r="N263" s="16"/>
      <c r="O263" s="16"/>
      <c r="P263" s="16"/>
      <c r="Q263" s="16"/>
      <c r="R263" s="16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</row>
    <row r="264" spans="1:37">
      <c r="A264" s="5"/>
      <c r="D264" s="16"/>
      <c r="E264" s="20" t="str">
        <f>E55</f>
        <v>30 April 2017</v>
      </c>
      <c r="F264" s="20" t="str">
        <f>F55</f>
        <v>31 Maret 2017</v>
      </c>
      <c r="G264" s="20" t="str">
        <f>G55</f>
        <v>30 April 2016</v>
      </c>
      <c r="H264" s="149" t="s">
        <v>56</v>
      </c>
      <c r="I264" s="149" t="s">
        <v>9</v>
      </c>
      <c r="J264" s="16"/>
      <c r="K264" s="16"/>
      <c r="L264" s="16"/>
      <c r="M264" s="16"/>
      <c r="N264" s="16"/>
      <c r="O264" s="16"/>
      <c r="P264" s="16"/>
      <c r="Q264" s="16"/>
      <c r="R264" s="16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</row>
    <row r="265" spans="1:37">
      <c r="A265" s="5"/>
      <c r="D265" s="16"/>
      <c r="E265" s="159"/>
      <c r="F265" s="159"/>
      <c r="G265" s="159"/>
      <c r="H265" s="163"/>
      <c r="I265" s="163"/>
      <c r="J265" s="16"/>
      <c r="K265" s="16"/>
      <c r="L265" s="16"/>
      <c r="M265" s="16"/>
      <c r="N265" s="16"/>
      <c r="O265" s="16"/>
      <c r="P265" s="16"/>
      <c r="Q265" s="16"/>
      <c r="R265" s="16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</row>
    <row r="266" spans="1:37">
      <c r="A266" s="5"/>
      <c r="B266" s="164" t="s">
        <v>156</v>
      </c>
      <c r="D266" s="16" t="s">
        <v>157</v>
      </c>
      <c r="E266" s="66">
        <v>4085239194</v>
      </c>
      <c r="F266" s="16">
        <v>4759266261</v>
      </c>
      <c r="G266" s="16">
        <v>8311123609</v>
      </c>
      <c r="H266" s="150">
        <f t="shared" ref="H266:H272" si="9">+F266-G266</f>
        <v>-3551857348</v>
      </c>
      <c r="I266" s="151">
        <f>+H266/G266</f>
        <v>-0.4273618724854174</v>
      </c>
      <c r="J266" s="16"/>
      <c r="K266" s="165"/>
      <c r="L266" s="16"/>
      <c r="M266" s="16"/>
      <c r="N266" s="16"/>
      <c r="O266" s="16"/>
      <c r="P266" s="16"/>
      <c r="Q266" s="16"/>
      <c r="R266" s="16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</row>
    <row r="267" spans="1:37">
      <c r="A267" s="5"/>
      <c r="B267" s="164" t="s">
        <v>158</v>
      </c>
      <c r="D267" s="16" t="s">
        <v>159</v>
      </c>
      <c r="E267" s="66">
        <v>2541968641</v>
      </c>
      <c r="F267" s="16">
        <v>2531386588</v>
      </c>
      <c r="G267" s="16">
        <v>0</v>
      </c>
      <c r="H267" s="150">
        <f t="shared" si="9"/>
        <v>2531386588</v>
      </c>
      <c r="I267" s="151">
        <v>0</v>
      </c>
      <c r="J267" s="16"/>
      <c r="K267" s="165"/>
      <c r="L267" s="16"/>
      <c r="M267" s="16"/>
      <c r="N267" s="16"/>
      <c r="O267" s="16"/>
      <c r="P267" s="16"/>
      <c r="Q267" s="16"/>
      <c r="R267" s="16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</row>
    <row r="268" spans="1:37" hidden="1">
      <c r="A268" s="5"/>
      <c r="D268" s="16" t="s">
        <v>160</v>
      </c>
      <c r="E268" s="66">
        <v>0</v>
      </c>
      <c r="F268" s="16">
        <v>0</v>
      </c>
      <c r="G268" s="16">
        <v>0</v>
      </c>
      <c r="H268" s="150">
        <f t="shared" si="9"/>
        <v>0</v>
      </c>
      <c r="I268" s="151">
        <v>0</v>
      </c>
      <c r="J268" s="16"/>
      <c r="L268" s="16"/>
      <c r="M268" s="16"/>
      <c r="N268" s="16"/>
      <c r="O268" s="16"/>
      <c r="P268" s="16"/>
      <c r="Q268" s="16"/>
      <c r="R268" s="16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</row>
    <row r="269" spans="1:37" hidden="1">
      <c r="A269" s="5"/>
      <c r="D269" s="16" t="s">
        <v>161</v>
      </c>
      <c r="E269" s="66">
        <v>0</v>
      </c>
      <c r="F269" s="16">
        <v>0</v>
      </c>
      <c r="G269" s="16">
        <v>0</v>
      </c>
      <c r="H269" s="150">
        <f t="shared" si="9"/>
        <v>0</v>
      </c>
      <c r="I269" s="151">
        <v>0</v>
      </c>
      <c r="J269" s="16"/>
      <c r="L269" s="16"/>
      <c r="M269" s="16"/>
      <c r="N269" s="16"/>
      <c r="O269" s="16"/>
      <c r="P269" s="16"/>
      <c r="Q269" s="16"/>
      <c r="R269" s="16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</row>
    <row r="270" spans="1:37">
      <c r="A270" s="5"/>
      <c r="B270" s="164" t="s">
        <v>162</v>
      </c>
      <c r="D270" s="16" t="s">
        <v>163</v>
      </c>
      <c r="E270" s="66">
        <v>268179023</v>
      </c>
      <c r="F270" s="16">
        <v>273267982</v>
      </c>
      <c r="G270" s="16">
        <v>0</v>
      </c>
      <c r="H270" s="150">
        <f t="shared" si="9"/>
        <v>273267982</v>
      </c>
      <c r="I270" s="151">
        <v>0</v>
      </c>
      <c r="J270" s="16"/>
      <c r="K270" s="165"/>
      <c r="L270" s="16"/>
      <c r="M270" s="16"/>
      <c r="N270" s="16"/>
      <c r="O270" s="16"/>
      <c r="P270" s="16"/>
      <c r="Q270" s="16"/>
      <c r="R270" s="16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</row>
    <row r="271" spans="1:37">
      <c r="A271" s="5"/>
      <c r="B271" s="164" t="s">
        <v>164</v>
      </c>
      <c r="D271" s="16" t="s">
        <v>165</v>
      </c>
      <c r="E271" s="66">
        <v>269218936</v>
      </c>
      <c r="F271" s="16">
        <v>275780519</v>
      </c>
      <c r="G271" s="16">
        <v>0</v>
      </c>
      <c r="H271" s="150">
        <f t="shared" si="9"/>
        <v>275780519</v>
      </c>
      <c r="I271" s="151">
        <v>0</v>
      </c>
      <c r="J271" s="16"/>
      <c r="K271" s="165"/>
      <c r="L271" s="16"/>
      <c r="M271" s="16"/>
      <c r="N271" s="16"/>
      <c r="O271" s="16"/>
      <c r="P271" s="16"/>
      <c r="Q271" s="16"/>
      <c r="R271" s="16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</row>
    <row r="272" spans="1:37">
      <c r="A272" s="5"/>
      <c r="B272" s="164" t="s">
        <v>154</v>
      </c>
      <c r="D272" s="16" t="s">
        <v>166</v>
      </c>
      <c r="E272" s="66">
        <v>5130905000</v>
      </c>
      <c r="F272" s="16">
        <v>5130905000</v>
      </c>
      <c r="G272" s="16">
        <v>0</v>
      </c>
      <c r="H272" s="150">
        <f t="shared" si="9"/>
        <v>5130905000</v>
      </c>
      <c r="I272" s="151">
        <v>0</v>
      </c>
      <c r="J272" s="16"/>
      <c r="K272" s="165"/>
      <c r="L272" s="16"/>
      <c r="M272" s="16"/>
      <c r="N272" s="16"/>
      <c r="O272" s="16"/>
      <c r="P272" s="16"/>
      <c r="Q272" s="16"/>
      <c r="R272" s="16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</row>
    <row r="273" spans="1:37">
      <c r="A273" s="5"/>
      <c r="B273" s="164" t="s">
        <v>167</v>
      </c>
      <c r="D273" s="16" t="s">
        <v>168</v>
      </c>
      <c r="E273" s="66">
        <v>0</v>
      </c>
      <c r="F273" s="16">
        <v>0</v>
      </c>
      <c r="G273" s="16"/>
      <c r="H273" s="150"/>
      <c r="I273" s="151"/>
      <c r="J273" s="16"/>
      <c r="K273" s="165"/>
      <c r="L273" s="16"/>
      <c r="M273" s="16"/>
      <c r="N273" s="16"/>
      <c r="O273" s="16"/>
      <c r="P273" s="16"/>
      <c r="Q273" s="16"/>
      <c r="R273" s="16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</row>
    <row r="274" spans="1:37">
      <c r="A274" s="5"/>
      <c r="B274" s="164" t="s">
        <v>155</v>
      </c>
      <c r="D274" s="16" t="s">
        <v>169</v>
      </c>
      <c r="E274" s="65">
        <v>0</v>
      </c>
      <c r="F274" s="16">
        <v>251294975</v>
      </c>
      <c r="G274" s="16"/>
      <c r="H274" s="150"/>
      <c r="I274" s="151"/>
      <c r="J274" s="16"/>
      <c r="K274" s="165"/>
      <c r="L274" s="16"/>
      <c r="M274" s="16"/>
      <c r="N274" s="16"/>
      <c r="O274" s="16"/>
      <c r="P274" s="16"/>
      <c r="Q274" s="16"/>
      <c r="R274" s="16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</row>
    <row r="275" spans="1:37" ht="13.5" thickBot="1">
      <c r="A275" s="5"/>
      <c r="D275" s="16"/>
      <c r="E275" s="69">
        <f>SUM(E266:E274)</f>
        <v>12295510794</v>
      </c>
      <c r="F275" s="69">
        <f>SUM(F266:F274)</f>
        <v>13221901325</v>
      </c>
      <c r="G275" s="69">
        <f>SUM(G265:G273)</f>
        <v>8311123609</v>
      </c>
      <c r="H275" s="70">
        <f>SUM(H265:H273)</f>
        <v>4659482741</v>
      </c>
      <c r="I275" s="166">
        <f>H275/G275</f>
        <v>0.56063210706604227</v>
      </c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</row>
    <row r="276" spans="1:37" ht="13.5" thickTop="1">
      <c r="A276" s="5"/>
      <c r="D276" s="16"/>
      <c r="E276" s="49"/>
      <c r="F276" s="49"/>
      <c r="G276" s="49"/>
      <c r="H276" s="167"/>
      <c r="I276" s="168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</row>
    <row r="277" spans="1:37" hidden="1">
      <c r="A277" s="5"/>
      <c r="D277" s="16"/>
      <c r="E277" s="20"/>
      <c r="F277" s="20" t="s">
        <v>170</v>
      </c>
      <c r="G277" s="20" t="str">
        <f>G264</f>
        <v>30 April 2016</v>
      </c>
      <c r="H277" s="149" t="s">
        <v>56</v>
      </c>
      <c r="I277" s="149" t="s">
        <v>9</v>
      </c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</row>
    <row r="278" spans="1:37" hidden="1">
      <c r="A278" s="5"/>
      <c r="D278" s="16"/>
      <c r="E278" s="49"/>
      <c r="F278" s="49"/>
      <c r="G278" s="30"/>
      <c r="H278" s="150"/>
      <c r="I278" s="151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</row>
    <row r="279" spans="1:37" ht="13.5" hidden="1" thickBot="1">
      <c r="A279" s="5"/>
      <c r="D279" s="16"/>
      <c r="E279" s="69"/>
      <c r="F279" s="69" t="e">
        <f>SUM(#REF!)</f>
        <v>#REF!</v>
      </c>
      <c r="G279" s="69" t="e">
        <f>SUM(#REF!)</f>
        <v>#REF!</v>
      </c>
      <c r="H279" s="70" t="e">
        <f>SUM(#REF!)</f>
        <v>#REF!</v>
      </c>
      <c r="I279" s="166" t="e">
        <f>H279/G279</f>
        <v>#REF!</v>
      </c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</row>
    <row r="280" spans="1:37">
      <c r="A280" s="5"/>
      <c r="D280" s="16"/>
      <c r="E280" s="16"/>
      <c r="F280" s="16"/>
      <c r="G280" s="16"/>
      <c r="H280" s="29"/>
      <c r="I280" s="29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</row>
    <row r="281" spans="1:37" ht="14">
      <c r="A281" s="146" t="s">
        <v>171</v>
      </c>
      <c r="B281" s="147"/>
      <c r="C281" s="147"/>
      <c r="D281" s="148" t="s">
        <v>23</v>
      </c>
      <c r="E281" s="20" t="str">
        <f>E55</f>
        <v>30 April 2017</v>
      </c>
      <c r="F281" s="20" t="str">
        <f>F55</f>
        <v>31 Maret 2017</v>
      </c>
      <c r="G281" s="20" t="str">
        <f>G55</f>
        <v>30 April 2016</v>
      </c>
      <c r="H281" s="149" t="s">
        <v>56</v>
      </c>
      <c r="I281" s="149" t="s">
        <v>9</v>
      </c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</row>
    <row r="282" spans="1:37">
      <c r="A282" s="5"/>
      <c r="D282" s="16"/>
      <c r="E282" s="16"/>
      <c r="F282" s="16"/>
      <c r="G282" s="16"/>
      <c r="H282" s="29"/>
      <c r="I282" s="29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</row>
    <row r="283" spans="1:37">
      <c r="A283" s="5"/>
      <c r="D283" s="16" t="s">
        <v>172</v>
      </c>
      <c r="E283" s="16">
        <v>0</v>
      </c>
      <c r="F283" s="16">
        <v>0</v>
      </c>
      <c r="G283" s="16">
        <v>0</v>
      </c>
      <c r="H283" s="150">
        <f>+E283-G283</f>
        <v>0</v>
      </c>
      <c r="I283" s="151">
        <v>0</v>
      </c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</row>
    <row r="284" spans="1:37" hidden="1">
      <c r="A284" s="5"/>
      <c r="D284" s="16" t="s">
        <v>173</v>
      </c>
      <c r="E284" s="16">
        <v>0</v>
      </c>
      <c r="F284" s="16">
        <v>0</v>
      </c>
      <c r="G284" s="16">
        <v>0</v>
      </c>
      <c r="H284" s="150">
        <f>+E284-G284</f>
        <v>0</v>
      </c>
      <c r="I284" s="151">
        <v>0</v>
      </c>
      <c r="J284" s="16"/>
      <c r="K284" s="16"/>
      <c r="L284" s="16"/>
      <c r="M284" s="16"/>
      <c r="N284" s="16"/>
      <c r="O284" s="16"/>
      <c r="P284" s="16"/>
      <c r="Q284" s="16"/>
      <c r="R284" s="16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</row>
    <row r="285" spans="1:37" hidden="1">
      <c r="A285" s="5"/>
      <c r="D285" s="16"/>
      <c r="E285" s="16"/>
      <c r="F285" s="16"/>
      <c r="G285" s="16"/>
      <c r="H285" s="150"/>
      <c r="I285" s="151"/>
      <c r="J285" s="16"/>
      <c r="K285" s="16"/>
      <c r="L285" s="16"/>
      <c r="M285" s="16"/>
      <c r="N285" s="16"/>
      <c r="O285" s="16"/>
      <c r="P285" s="16"/>
      <c r="Q285" s="16"/>
      <c r="R285" s="16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</row>
    <row r="286" spans="1:37">
      <c r="A286" s="5"/>
      <c r="D286" s="16"/>
      <c r="E286" s="16"/>
      <c r="F286" s="16"/>
      <c r="G286" s="16"/>
      <c r="H286" s="150"/>
      <c r="I286" s="151"/>
      <c r="J286" s="16"/>
      <c r="K286" s="16"/>
      <c r="L286" s="16"/>
      <c r="M286" s="16"/>
      <c r="N286" s="16"/>
      <c r="O286" s="16"/>
      <c r="P286" s="16"/>
      <c r="Q286" s="16"/>
      <c r="R286" s="16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</row>
    <row r="287" spans="1:37" ht="13.5" thickBot="1">
      <c r="A287" s="5"/>
      <c r="D287" s="27" t="s">
        <v>174</v>
      </c>
      <c r="E287" s="69">
        <f>SUM(E283:E286)</f>
        <v>0</v>
      </c>
      <c r="F287" s="69">
        <f>SUM(F283:F284)</f>
        <v>0</v>
      </c>
      <c r="G287" s="69">
        <f>SUM(G283:G284)</f>
        <v>0</v>
      </c>
      <c r="H287" s="152">
        <f>+E287-G287</f>
        <v>0</v>
      </c>
      <c r="I287" s="166">
        <v>0</v>
      </c>
      <c r="J287" s="16"/>
      <c r="K287" s="16"/>
      <c r="L287" s="16"/>
      <c r="M287" s="16"/>
      <c r="N287" s="16"/>
      <c r="O287" s="16"/>
      <c r="P287" s="16"/>
      <c r="Q287" s="16"/>
      <c r="R287" s="16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</row>
    <row r="288" spans="1:37" ht="13.5" thickTop="1">
      <c r="A288" s="5"/>
      <c r="D288" s="16"/>
      <c r="E288" s="16"/>
      <c r="F288" s="16"/>
      <c r="G288" s="16"/>
      <c r="H288" s="29"/>
      <c r="I288" s="29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</row>
    <row r="289" spans="1:37">
      <c r="A289" s="5"/>
      <c r="D289" s="16"/>
      <c r="E289" s="49"/>
      <c r="F289" s="16"/>
      <c r="G289" s="16"/>
      <c r="H289" s="29"/>
      <c r="I289" s="29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</row>
    <row r="290" spans="1:37">
      <c r="A290" s="5"/>
      <c r="D290" s="16"/>
      <c r="E290" s="16"/>
      <c r="F290" s="16"/>
      <c r="G290" s="169"/>
      <c r="H290" s="134"/>
      <c r="I290" s="29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</row>
    <row r="291" spans="1:37" ht="14" hidden="1">
      <c r="A291" s="146" t="s">
        <v>175</v>
      </c>
      <c r="B291" s="147"/>
      <c r="C291" s="147"/>
      <c r="D291" s="148" t="s">
        <v>24</v>
      </c>
      <c r="E291" s="20" t="str">
        <f>E55</f>
        <v>30 April 2017</v>
      </c>
      <c r="F291" s="20" t="str">
        <f>F55</f>
        <v>31 Maret 2017</v>
      </c>
      <c r="G291" s="20" t="str">
        <f>G55</f>
        <v>30 April 2016</v>
      </c>
      <c r="H291" s="149" t="s">
        <v>56</v>
      </c>
      <c r="I291" s="149" t="s">
        <v>9</v>
      </c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</row>
    <row r="292" spans="1:37" hidden="1">
      <c r="A292" s="5"/>
      <c r="D292" s="16"/>
      <c r="E292" s="16"/>
      <c r="F292" s="16"/>
      <c r="G292" s="16"/>
      <c r="H292" s="29"/>
      <c r="I292" s="29"/>
      <c r="J292" s="16"/>
      <c r="K292" s="16"/>
      <c r="L292" s="16"/>
      <c r="M292" s="16"/>
      <c r="N292" s="16"/>
      <c r="O292" s="16"/>
      <c r="P292" s="16"/>
      <c r="Q292" s="16"/>
      <c r="R292" s="16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</row>
    <row r="293" spans="1:37" hidden="1">
      <c r="A293" s="5"/>
      <c r="D293" s="16" t="s">
        <v>176</v>
      </c>
      <c r="E293" s="16">
        <v>0</v>
      </c>
      <c r="F293" s="16">
        <v>0</v>
      </c>
      <c r="G293" s="16">
        <v>0</v>
      </c>
      <c r="H293" s="150">
        <f>+E293-G293</f>
        <v>0</v>
      </c>
      <c r="I293" s="151">
        <v>0</v>
      </c>
      <c r="J293" s="16"/>
      <c r="K293" s="16"/>
      <c r="L293" s="16"/>
      <c r="M293" s="16"/>
      <c r="N293" s="16"/>
      <c r="O293" s="16"/>
      <c r="P293" s="16"/>
      <c r="Q293" s="16"/>
      <c r="R293" s="16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</row>
    <row r="294" spans="1:37" hidden="1">
      <c r="A294" s="5"/>
      <c r="D294" s="16"/>
      <c r="E294" s="16">
        <v>0</v>
      </c>
      <c r="F294" s="16">
        <v>0</v>
      </c>
      <c r="G294" s="16">
        <v>0</v>
      </c>
      <c r="H294" s="150">
        <f>+E294-G294</f>
        <v>0</v>
      </c>
      <c r="J294" s="16"/>
      <c r="K294" s="16"/>
      <c r="L294" s="16"/>
      <c r="M294" s="16"/>
      <c r="N294" s="16"/>
      <c r="O294" s="16"/>
      <c r="P294" s="16"/>
      <c r="Q294" s="16"/>
      <c r="R294" s="16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</row>
    <row r="295" spans="1:37" hidden="1">
      <c r="A295" s="5"/>
      <c r="D295" s="16"/>
      <c r="E295" s="16"/>
      <c r="F295" s="16"/>
      <c r="G295" s="16"/>
      <c r="H295" s="150"/>
      <c r="I295" s="168"/>
      <c r="J295" s="16"/>
      <c r="K295" s="16"/>
      <c r="L295" s="16"/>
      <c r="M295" s="16"/>
      <c r="N295" s="16"/>
      <c r="O295" s="16"/>
      <c r="P295" s="16"/>
      <c r="Q295" s="16"/>
      <c r="R295" s="16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</row>
    <row r="296" spans="1:37" hidden="1">
      <c r="A296" s="5"/>
      <c r="D296" s="16"/>
      <c r="E296" s="16"/>
      <c r="F296" s="16"/>
      <c r="G296" s="16"/>
      <c r="H296" s="8"/>
      <c r="I296" s="170"/>
      <c r="J296" s="16"/>
      <c r="K296" s="16"/>
      <c r="L296" s="16"/>
      <c r="M296" s="16"/>
      <c r="N296" s="16"/>
      <c r="O296" s="16"/>
      <c r="P296" s="16"/>
      <c r="Q296" s="16"/>
      <c r="R296" s="16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</row>
    <row r="297" spans="1:37" ht="13.5" hidden="1" thickBot="1">
      <c r="A297" s="5"/>
      <c r="D297" s="27" t="s">
        <v>174</v>
      </c>
      <c r="E297" s="69">
        <f>SUM(E293:E296)</f>
        <v>0</v>
      </c>
      <c r="F297" s="69">
        <f>SUM(F293:F296)</f>
        <v>0</v>
      </c>
      <c r="G297" s="69">
        <f>SUM(G293:G296)</f>
        <v>0</v>
      </c>
      <c r="H297" s="152">
        <f>+E297-G297</f>
        <v>0</v>
      </c>
      <c r="I297" s="153">
        <v>0</v>
      </c>
      <c r="J297" s="16"/>
      <c r="K297" s="16"/>
      <c r="L297" s="16"/>
      <c r="M297" s="16"/>
      <c r="N297" s="16"/>
      <c r="O297" s="16"/>
      <c r="P297" s="16"/>
      <c r="Q297" s="16"/>
      <c r="R297" s="16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</row>
    <row r="298" spans="1:37" hidden="1">
      <c r="A298" s="5"/>
      <c r="D298" s="16"/>
      <c r="E298" s="16"/>
      <c r="F298" s="16"/>
      <c r="G298" s="16"/>
      <c r="H298" s="29"/>
      <c r="I298" s="29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</row>
    <row r="299" spans="1:37">
      <c r="A299" s="5"/>
      <c r="D299" s="16"/>
      <c r="E299" s="16"/>
      <c r="F299" s="16"/>
      <c r="G299" s="16"/>
      <c r="H299" s="171"/>
      <c r="I299" s="171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</row>
    <row r="300" spans="1:37" ht="14">
      <c r="A300" s="146" t="s">
        <v>177</v>
      </c>
      <c r="B300" s="147"/>
      <c r="C300" s="147"/>
      <c r="D300" s="148" t="s">
        <v>178</v>
      </c>
      <c r="E300" s="148"/>
      <c r="F300" s="148"/>
      <c r="G300" s="16"/>
      <c r="H300" s="171"/>
      <c r="I300" s="171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</row>
    <row r="301" spans="1:37" ht="14">
      <c r="A301" s="5"/>
      <c r="D301" s="148" t="s">
        <v>179</v>
      </c>
      <c r="E301" s="20" t="str">
        <f>E55</f>
        <v>30 April 2017</v>
      </c>
      <c r="F301" s="20" t="str">
        <f>F55</f>
        <v>31 Maret 2017</v>
      </c>
      <c r="G301" s="20" t="str">
        <f>G55</f>
        <v>30 April 2016</v>
      </c>
      <c r="H301" s="149" t="s">
        <v>56</v>
      </c>
      <c r="I301" s="149" t="s">
        <v>9</v>
      </c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</row>
    <row r="302" spans="1:37" ht="14">
      <c r="A302" s="5"/>
      <c r="D302" s="148"/>
      <c r="E302" s="148"/>
      <c r="F302" s="148"/>
      <c r="G302" s="16"/>
      <c r="H302" s="29"/>
      <c r="I302" s="29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</row>
    <row r="303" spans="1:37">
      <c r="A303" s="5"/>
      <c r="D303" s="172" t="s">
        <v>180</v>
      </c>
      <c r="E303" s="172"/>
      <c r="F303" s="172"/>
      <c r="G303" s="16"/>
      <c r="H303" s="29"/>
      <c r="I303" s="29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</row>
    <row r="304" spans="1:37">
      <c r="A304" s="5"/>
      <c r="B304" s="164" t="s">
        <v>181</v>
      </c>
      <c r="D304" s="16" t="s">
        <v>182</v>
      </c>
      <c r="E304" s="66">
        <v>711751576</v>
      </c>
      <c r="F304" s="16">
        <v>494254677</v>
      </c>
      <c r="G304" s="16">
        <v>657990617</v>
      </c>
      <c r="H304" s="150">
        <f>+F304-G304</f>
        <v>-163735940</v>
      </c>
      <c r="I304" s="151">
        <f>+H304/G304</f>
        <v>-0.24884236305150836</v>
      </c>
      <c r="J304" s="16"/>
      <c r="K304" s="165"/>
      <c r="L304" s="16"/>
      <c r="M304" s="16"/>
      <c r="N304" s="16"/>
      <c r="O304" s="16"/>
      <c r="P304" s="16"/>
      <c r="Q304" s="16"/>
      <c r="R304" s="16"/>
      <c r="S304" s="16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</row>
    <row r="305" spans="1:37">
      <c r="A305" s="5"/>
      <c r="B305" s="16"/>
      <c r="D305" s="16"/>
      <c r="E305" s="16"/>
      <c r="F305" s="16"/>
      <c r="G305" s="16"/>
      <c r="H305" s="8"/>
      <c r="I305" s="151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</row>
    <row r="306" spans="1:37">
      <c r="A306" s="5"/>
      <c r="B306" s="16"/>
      <c r="D306" s="27" t="s">
        <v>183</v>
      </c>
      <c r="E306" s="47">
        <f>SUM(E304:E305)</f>
        <v>711751576</v>
      </c>
      <c r="F306" s="47">
        <f>SUM(F304:F305)</f>
        <v>494254677</v>
      </c>
      <c r="G306" s="47">
        <f>SUM(G304:G305)</f>
        <v>657990617</v>
      </c>
      <c r="H306" s="173">
        <f>+E306-G306</f>
        <v>53760959</v>
      </c>
      <c r="I306" s="166">
        <f>H306/G306</f>
        <v>8.1704750206187213E-2</v>
      </c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</row>
    <row r="307" spans="1:37">
      <c r="A307" s="5"/>
      <c r="B307" s="16"/>
      <c r="D307" s="172" t="s">
        <v>184</v>
      </c>
      <c r="E307" s="16"/>
      <c r="F307" s="16"/>
      <c r="G307" s="16"/>
      <c r="H307" s="8"/>
      <c r="I307" s="151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</row>
    <row r="308" spans="1:37" ht="15" customHeight="1">
      <c r="A308" s="5"/>
      <c r="B308" s="164" t="s">
        <v>185</v>
      </c>
      <c r="D308" s="16" t="s">
        <v>186</v>
      </c>
      <c r="E308" s="66">
        <v>26134611.670000002</v>
      </c>
      <c r="F308" s="16">
        <v>26134611.670000002</v>
      </c>
      <c r="G308" s="16">
        <v>28757495</v>
      </c>
      <c r="H308" s="150">
        <f t="shared" ref="H308:H336" si="10">+F308-G308</f>
        <v>-2622883.3299999982</v>
      </c>
      <c r="I308" s="151">
        <v>0</v>
      </c>
      <c r="J308" s="16"/>
      <c r="K308" s="165"/>
      <c r="L308" s="16"/>
      <c r="M308" s="16"/>
      <c r="N308" s="16"/>
      <c r="O308" s="16"/>
      <c r="P308" s="16"/>
      <c r="Q308" s="16"/>
      <c r="R308" s="16"/>
      <c r="S308" s="16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</row>
    <row r="309" spans="1:37">
      <c r="A309" s="5"/>
      <c r="B309" s="164" t="s">
        <v>187</v>
      </c>
      <c r="D309" s="16" t="s">
        <v>188</v>
      </c>
      <c r="E309" s="66">
        <v>7566840</v>
      </c>
      <c r="F309" s="16">
        <v>8239260</v>
      </c>
      <c r="G309" s="16">
        <v>2798000</v>
      </c>
      <c r="H309" s="150">
        <f t="shared" si="10"/>
        <v>5441260</v>
      </c>
      <c r="I309" s="151">
        <f t="shared" ref="I309:I333" si="11">+H309/G309</f>
        <v>1.9446962115796997</v>
      </c>
      <c r="J309" s="16"/>
      <c r="K309" s="165"/>
      <c r="L309" s="16"/>
      <c r="M309" s="16"/>
      <c r="N309" s="16"/>
      <c r="O309" s="16"/>
      <c r="P309" s="16"/>
      <c r="Q309" s="16"/>
      <c r="R309" s="16"/>
      <c r="S309" s="16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</row>
    <row r="310" spans="1:37">
      <c r="A310" s="5"/>
      <c r="D310" s="16" t="s">
        <v>189</v>
      </c>
      <c r="F310" s="16">
        <v>0</v>
      </c>
      <c r="G310" s="16">
        <v>0</v>
      </c>
      <c r="H310" s="150">
        <f t="shared" si="10"/>
        <v>0</v>
      </c>
      <c r="I310" s="151">
        <v>0</v>
      </c>
      <c r="J310" s="16"/>
      <c r="L310" s="16"/>
      <c r="M310" s="16"/>
      <c r="N310" s="16"/>
      <c r="O310" s="16"/>
      <c r="P310" s="16"/>
      <c r="Q310" s="16"/>
      <c r="R310" s="16"/>
      <c r="S310" s="16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</row>
    <row r="311" spans="1:37">
      <c r="A311" s="5"/>
      <c r="D311" s="16" t="s">
        <v>190</v>
      </c>
      <c r="F311" s="16">
        <v>0</v>
      </c>
      <c r="G311" s="16">
        <v>0</v>
      </c>
      <c r="H311" s="150">
        <f t="shared" si="10"/>
        <v>0</v>
      </c>
      <c r="I311" s="151">
        <v>0</v>
      </c>
      <c r="J311" s="16"/>
      <c r="L311" s="16"/>
      <c r="M311" s="16"/>
      <c r="N311" s="16"/>
      <c r="O311" s="17"/>
      <c r="P311" s="16"/>
      <c r="Q311" s="17"/>
      <c r="R311" s="17"/>
      <c r="S311" s="16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</row>
    <row r="312" spans="1:37">
      <c r="A312" s="5"/>
      <c r="D312" s="16" t="s">
        <v>191</v>
      </c>
      <c r="F312" s="16">
        <v>0</v>
      </c>
      <c r="G312" s="16">
        <v>0</v>
      </c>
      <c r="H312" s="150">
        <f t="shared" si="10"/>
        <v>0</v>
      </c>
      <c r="I312" s="151">
        <v>0</v>
      </c>
      <c r="J312" s="16"/>
      <c r="L312" s="16"/>
      <c r="M312" s="16"/>
      <c r="N312" s="16"/>
      <c r="O312" s="17"/>
      <c r="P312" s="16"/>
      <c r="Q312" s="17"/>
      <c r="R312" s="17"/>
      <c r="S312" s="16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</row>
    <row r="313" spans="1:37">
      <c r="A313" s="5"/>
      <c r="D313" s="16" t="s">
        <v>192</v>
      </c>
      <c r="F313" s="16">
        <v>0</v>
      </c>
      <c r="G313" s="16">
        <v>0</v>
      </c>
      <c r="H313" s="150">
        <f t="shared" si="10"/>
        <v>0</v>
      </c>
      <c r="I313" s="151">
        <v>0</v>
      </c>
      <c r="J313" s="16"/>
      <c r="L313" s="16"/>
      <c r="M313" s="16"/>
      <c r="N313" s="16"/>
      <c r="O313" s="17"/>
      <c r="P313" s="16"/>
      <c r="Q313" s="17"/>
      <c r="R313" s="17"/>
      <c r="S313" s="16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</row>
    <row r="314" spans="1:37">
      <c r="B314" s="164" t="s">
        <v>193</v>
      </c>
      <c r="D314" s="16" t="s">
        <v>194</v>
      </c>
      <c r="E314" s="66">
        <v>1116120</v>
      </c>
      <c r="F314" s="16">
        <v>1674180</v>
      </c>
      <c r="G314" s="16">
        <v>2312664</v>
      </c>
      <c r="H314" s="150">
        <f t="shared" si="10"/>
        <v>-638484</v>
      </c>
      <c r="I314" s="151">
        <f t="shared" si="11"/>
        <v>-0.27608160977989021</v>
      </c>
      <c r="J314" s="16"/>
      <c r="K314" s="165"/>
      <c r="L314" s="16"/>
      <c r="M314" s="16"/>
      <c r="N314" s="16"/>
      <c r="O314" s="17"/>
      <c r="P314" s="16"/>
      <c r="Q314" s="17"/>
      <c r="R314" s="17"/>
      <c r="S314" s="16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</row>
    <row r="315" spans="1:37">
      <c r="B315" s="164" t="s">
        <v>195</v>
      </c>
      <c r="D315" s="16" t="s">
        <v>196</v>
      </c>
      <c r="E315" s="66">
        <v>765482</v>
      </c>
      <c r="F315" s="16">
        <v>1084899</v>
      </c>
      <c r="G315" s="16">
        <v>1399000</v>
      </c>
      <c r="H315" s="150">
        <f t="shared" si="10"/>
        <v>-314101</v>
      </c>
      <c r="I315" s="151">
        <f t="shared" si="11"/>
        <v>-0.224518227305218</v>
      </c>
      <c r="J315" s="16"/>
      <c r="K315" s="165"/>
      <c r="L315" s="16"/>
      <c r="M315" s="17"/>
      <c r="N315" s="17"/>
      <c r="O315" s="17"/>
      <c r="P315" s="16"/>
      <c r="Q315" s="17"/>
      <c r="R315" s="17"/>
      <c r="S315" s="16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</row>
    <row r="316" spans="1:37">
      <c r="B316" s="174"/>
      <c r="D316" s="16" t="s">
        <v>197</v>
      </c>
      <c r="F316" s="16">
        <v>0</v>
      </c>
      <c r="G316" s="16">
        <v>0</v>
      </c>
      <c r="H316" s="150">
        <f t="shared" si="10"/>
        <v>0</v>
      </c>
      <c r="I316" s="151">
        <v>0</v>
      </c>
      <c r="J316" s="16"/>
      <c r="K316" s="175"/>
      <c r="L316" s="176"/>
      <c r="M316" s="17"/>
      <c r="N316" s="17"/>
      <c r="O316" s="17"/>
      <c r="P316" s="16"/>
      <c r="Q316" s="17"/>
      <c r="R316" s="17"/>
      <c r="S316" s="16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</row>
    <row r="317" spans="1:37">
      <c r="B317" s="177" t="s">
        <v>198</v>
      </c>
      <c r="D317" s="16" t="s">
        <v>199</v>
      </c>
      <c r="E317" s="66">
        <v>2280499.96</v>
      </c>
      <c r="F317" s="16">
        <v>3420749.96</v>
      </c>
      <c r="G317" s="16">
        <v>3739199.96</v>
      </c>
      <c r="H317" s="150">
        <f t="shared" si="10"/>
        <v>-318450</v>
      </c>
      <c r="I317" s="151">
        <f t="shared" si="11"/>
        <v>-8.5165276905918672E-2</v>
      </c>
      <c r="J317" s="16"/>
      <c r="K317" s="178"/>
      <c r="L317" s="176"/>
      <c r="M317" s="17"/>
      <c r="N317" s="17"/>
      <c r="O317" s="17"/>
      <c r="P317" s="16"/>
      <c r="Q317" s="17"/>
      <c r="R317" s="17"/>
      <c r="S317" s="17"/>
      <c r="T317" s="17"/>
      <c r="U317" s="17"/>
      <c r="V317" s="17"/>
    </row>
    <row r="318" spans="1:37">
      <c r="B318" s="54" t="s">
        <v>200</v>
      </c>
      <c r="D318" s="16" t="s">
        <v>201</v>
      </c>
      <c r="E318" s="66">
        <v>2307397631.6700001</v>
      </c>
      <c r="F318" s="16">
        <v>2332403017</v>
      </c>
      <c r="G318" s="16">
        <v>3015057553</v>
      </c>
      <c r="H318" s="150">
        <f t="shared" si="10"/>
        <v>-682654536</v>
      </c>
      <c r="I318" s="151">
        <f t="shared" si="11"/>
        <v>-0.22641509291282175</v>
      </c>
      <c r="J318" s="16"/>
      <c r="K318" s="61"/>
      <c r="L318" s="16"/>
      <c r="M318" s="17"/>
      <c r="N318" s="17"/>
      <c r="O318" s="17"/>
      <c r="P318" s="16"/>
      <c r="Q318" s="17"/>
      <c r="R318" s="17"/>
      <c r="S318" s="17"/>
      <c r="T318" s="17"/>
      <c r="U318" s="17"/>
      <c r="V318" s="17"/>
    </row>
    <row r="319" spans="1:37">
      <c r="D319" s="16" t="s">
        <v>202</v>
      </c>
      <c r="F319" s="16">
        <v>0</v>
      </c>
      <c r="G319" s="16">
        <v>0</v>
      </c>
      <c r="H319" s="150">
        <f t="shared" si="10"/>
        <v>0</v>
      </c>
      <c r="I319" s="151">
        <v>0</v>
      </c>
      <c r="J319" s="16"/>
      <c r="L319" s="16"/>
      <c r="M319" s="17"/>
      <c r="N319" s="17"/>
      <c r="O319" s="17"/>
      <c r="P319" s="16"/>
      <c r="Q319" s="17"/>
      <c r="R319" s="17"/>
      <c r="S319" s="17"/>
      <c r="T319" s="17"/>
      <c r="U319" s="17"/>
      <c r="V319" s="17"/>
    </row>
    <row r="320" spans="1:37">
      <c r="B320" s="54" t="s">
        <v>203</v>
      </c>
      <c r="D320" s="16" t="s">
        <v>204</v>
      </c>
      <c r="E320" s="66">
        <v>1254500</v>
      </c>
      <c r="F320" s="16">
        <v>1827750</v>
      </c>
      <c r="G320" s="16">
        <v>2587336</v>
      </c>
      <c r="H320" s="150">
        <f t="shared" si="10"/>
        <v>-759586</v>
      </c>
      <c r="I320" s="151">
        <f t="shared" si="11"/>
        <v>-0.293578414245386</v>
      </c>
      <c r="J320" s="16"/>
      <c r="K320" s="61"/>
      <c r="L320" s="16"/>
      <c r="M320" s="17"/>
      <c r="N320" s="17"/>
      <c r="O320" s="17"/>
      <c r="P320" s="16"/>
      <c r="Q320" s="17"/>
      <c r="R320" s="17"/>
      <c r="S320" s="17"/>
      <c r="T320" s="17"/>
      <c r="U320" s="17"/>
    </row>
    <row r="321" spans="2:21">
      <c r="D321" s="16" t="s">
        <v>205</v>
      </c>
      <c r="F321" s="16">
        <v>0</v>
      </c>
      <c r="G321" s="16">
        <v>0</v>
      </c>
      <c r="H321" s="150">
        <f t="shared" si="10"/>
        <v>0</v>
      </c>
      <c r="I321" s="151">
        <v>0</v>
      </c>
      <c r="J321" s="16"/>
      <c r="L321" s="16"/>
      <c r="M321" s="17"/>
      <c r="N321" s="17"/>
      <c r="O321" s="17"/>
      <c r="P321" s="16"/>
      <c r="Q321" s="17"/>
      <c r="R321" s="17"/>
      <c r="S321" s="17"/>
      <c r="T321" s="17"/>
      <c r="U321" s="17"/>
    </row>
    <row r="322" spans="2:21">
      <c r="D322" s="16" t="s">
        <v>206</v>
      </c>
      <c r="F322" s="16">
        <v>0</v>
      </c>
      <c r="G322" s="16">
        <v>5000000</v>
      </c>
      <c r="H322" s="150">
        <f t="shared" si="10"/>
        <v>-5000000</v>
      </c>
      <c r="I322" s="151">
        <f t="shared" si="11"/>
        <v>-1</v>
      </c>
      <c r="J322" s="16"/>
      <c r="L322" s="5"/>
      <c r="O322" s="17"/>
      <c r="P322" s="16"/>
      <c r="Q322" s="17"/>
      <c r="R322" s="17"/>
      <c r="S322" s="17"/>
      <c r="T322" s="17"/>
      <c r="U322" s="17"/>
    </row>
    <row r="323" spans="2:21">
      <c r="D323" s="16" t="s">
        <v>207</v>
      </c>
      <c r="F323" s="16">
        <v>0</v>
      </c>
      <c r="G323" s="16">
        <v>0</v>
      </c>
      <c r="H323" s="150">
        <f t="shared" si="10"/>
        <v>0</v>
      </c>
      <c r="I323" s="151">
        <v>0</v>
      </c>
      <c r="J323" s="16"/>
      <c r="L323" s="5"/>
      <c r="O323" s="17"/>
      <c r="P323" s="16"/>
      <c r="Q323" s="17"/>
      <c r="R323" s="17"/>
      <c r="S323" s="17"/>
      <c r="T323" s="17"/>
      <c r="U323" s="17"/>
    </row>
    <row r="324" spans="2:21">
      <c r="D324" s="16" t="s">
        <v>208</v>
      </c>
      <c r="F324" s="16">
        <v>0</v>
      </c>
      <c r="G324" s="16">
        <v>0</v>
      </c>
      <c r="H324" s="150">
        <f t="shared" si="10"/>
        <v>0</v>
      </c>
      <c r="I324" s="151">
        <v>0</v>
      </c>
      <c r="L324" s="5"/>
      <c r="O324" s="4"/>
    </row>
    <row r="325" spans="2:21">
      <c r="D325" s="16" t="s">
        <v>209</v>
      </c>
      <c r="F325" s="16">
        <v>0</v>
      </c>
      <c r="G325" s="16">
        <v>0</v>
      </c>
      <c r="H325" s="150">
        <f t="shared" si="10"/>
        <v>0</v>
      </c>
      <c r="I325" s="151">
        <v>0</v>
      </c>
      <c r="J325" s="16"/>
      <c r="L325" s="5"/>
      <c r="O325" s="4"/>
    </row>
    <row r="326" spans="2:21">
      <c r="B326" s="54" t="s">
        <v>210</v>
      </c>
      <c r="D326" s="16" t="s">
        <v>211</v>
      </c>
      <c r="E326" s="66">
        <v>22400</v>
      </c>
      <c r="F326" s="16">
        <v>33800</v>
      </c>
      <c r="G326" s="16">
        <v>49800</v>
      </c>
      <c r="H326" s="150">
        <f t="shared" si="10"/>
        <v>-16000</v>
      </c>
      <c r="I326" s="151">
        <f t="shared" si="11"/>
        <v>-0.32128514056224899</v>
      </c>
      <c r="J326" s="16"/>
      <c r="K326" s="61"/>
      <c r="L326" s="5"/>
      <c r="O326" s="4"/>
    </row>
    <row r="327" spans="2:21">
      <c r="B327" s="54" t="s">
        <v>212</v>
      </c>
      <c r="D327" s="16" t="s">
        <v>213</v>
      </c>
      <c r="E327" s="66">
        <v>845600</v>
      </c>
      <c r="F327" s="16">
        <v>1186125</v>
      </c>
      <c r="G327" s="16">
        <v>1477800</v>
      </c>
      <c r="H327" s="150">
        <f t="shared" si="10"/>
        <v>-291675</v>
      </c>
      <c r="I327" s="151">
        <f t="shared" si="11"/>
        <v>-0.1973710921640276</v>
      </c>
      <c r="J327" s="16"/>
      <c r="K327" s="61"/>
      <c r="O327" s="4"/>
    </row>
    <row r="328" spans="2:21">
      <c r="B328" s="54" t="s">
        <v>214</v>
      </c>
      <c r="D328" s="16" t="s">
        <v>215</v>
      </c>
      <c r="E328" s="66">
        <v>461367.67000000004</v>
      </c>
      <c r="F328" s="16">
        <v>825150.67</v>
      </c>
      <c r="G328" s="16">
        <v>1483936</v>
      </c>
      <c r="H328" s="150">
        <f t="shared" si="10"/>
        <v>-658785.32999999996</v>
      </c>
      <c r="I328" s="151">
        <f t="shared" si="11"/>
        <v>-0.44394457038578478</v>
      </c>
      <c r="J328" s="16"/>
      <c r="K328" s="61"/>
      <c r="O328" s="4"/>
    </row>
    <row r="329" spans="2:21">
      <c r="D329" s="16" t="s">
        <v>216</v>
      </c>
      <c r="F329" s="16">
        <v>0</v>
      </c>
      <c r="G329" s="16">
        <v>0</v>
      </c>
      <c r="H329" s="150">
        <f t="shared" si="10"/>
        <v>0</v>
      </c>
      <c r="I329" s="151">
        <v>0</v>
      </c>
      <c r="J329" s="16"/>
      <c r="L329" s="5"/>
      <c r="O329" s="4"/>
      <c r="P329" s="5"/>
    </row>
    <row r="330" spans="2:21">
      <c r="B330" s="54" t="s">
        <v>217</v>
      </c>
      <c r="D330" s="16" t="s">
        <v>218</v>
      </c>
      <c r="E330" s="66">
        <v>2218584</v>
      </c>
      <c r="F330" s="16">
        <v>2218584</v>
      </c>
      <c r="G330" s="16">
        <v>0</v>
      </c>
      <c r="H330" s="150">
        <f t="shared" si="10"/>
        <v>2218584</v>
      </c>
      <c r="I330" s="151">
        <v>0</v>
      </c>
      <c r="J330" s="16"/>
      <c r="K330" s="61"/>
      <c r="O330" s="4"/>
      <c r="P330" s="5"/>
    </row>
    <row r="331" spans="2:21">
      <c r="B331" s="54" t="s">
        <v>219</v>
      </c>
      <c r="D331" s="16" t="s">
        <v>220</v>
      </c>
      <c r="E331" s="66">
        <v>7098359</v>
      </c>
      <c r="F331" s="16"/>
      <c r="G331" s="16"/>
      <c r="H331" s="150"/>
      <c r="I331" s="151"/>
      <c r="J331" s="16"/>
      <c r="K331" s="61"/>
      <c r="O331" s="4"/>
      <c r="P331" s="5"/>
    </row>
    <row r="332" spans="2:21">
      <c r="B332" s="54" t="s">
        <v>221</v>
      </c>
      <c r="D332" s="16" t="s">
        <v>222</v>
      </c>
      <c r="E332" s="66">
        <v>1192046760</v>
      </c>
      <c r="F332" s="16">
        <v>1192046760</v>
      </c>
      <c r="G332" s="16">
        <v>1268402760</v>
      </c>
      <c r="H332" s="150">
        <f t="shared" si="10"/>
        <v>-76356000</v>
      </c>
      <c r="I332" s="151">
        <f t="shared" si="11"/>
        <v>-6.0198544506478366E-2</v>
      </c>
      <c r="J332" s="16"/>
      <c r="K332" s="61"/>
      <c r="O332" s="4"/>
      <c r="P332" s="5"/>
    </row>
    <row r="333" spans="2:21">
      <c r="B333" s="54" t="s">
        <v>223</v>
      </c>
      <c r="D333" s="16" t="s">
        <v>224</v>
      </c>
      <c r="E333" s="66">
        <v>11670552</v>
      </c>
      <c r="F333" s="16">
        <v>11670552</v>
      </c>
      <c r="G333" s="16">
        <v>18089360</v>
      </c>
      <c r="H333" s="150">
        <f t="shared" si="10"/>
        <v>-6418808</v>
      </c>
      <c r="I333" s="151">
        <f t="shared" si="11"/>
        <v>-0.35483886660445696</v>
      </c>
      <c r="J333" s="16"/>
      <c r="K333" s="61"/>
      <c r="O333" s="4"/>
      <c r="P333" s="5"/>
    </row>
    <row r="334" spans="2:21">
      <c r="D334" s="16" t="s">
        <v>225</v>
      </c>
      <c r="F334" s="16">
        <v>0</v>
      </c>
      <c r="G334" s="16">
        <v>0</v>
      </c>
      <c r="H334" s="150">
        <f t="shared" si="10"/>
        <v>0</v>
      </c>
      <c r="I334" s="151">
        <v>0</v>
      </c>
      <c r="J334" s="16"/>
      <c r="O334" s="4"/>
    </row>
    <row r="335" spans="2:21">
      <c r="B335" s="54" t="s">
        <v>226</v>
      </c>
      <c r="D335" s="16" t="s">
        <v>227</v>
      </c>
      <c r="E335" s="66">
        <v>23760221</v>
      </c>
      <c r="F335" s="16">
        <v>23760221</v>
      </c>
      <c r="G335" s="16">
        <v>0</v>
      </c>
      <c r="H335" s="150">
        <f t="shared" si="10"/>
        <v>23760221</v>
      </c>
      <c r="I335" s="151">
        <v>0</v>
      </c>
      <c r="J335" s="16"/>
      <c r="K335" s="61"/>
      <c r="O335" s="4"/>
      <c r="P335" s="5"/>
    </row>
    <row r="336" spans="2:21">
      <c r="B336" s="54" t="s">
        <v>228</v>
      </c>
      <c r="D336" s="16" t="s">
        <v>229</v>
      </c>
      <c r="E336" s="66">
        <v>37611109.600000001</v>
      </c>
      <c r="F336" s="16">
        <v>43879628</v>
      </c>
      <c r="G336" s="16">
        <v>0</v>
      </c>
      <c r="H336" s="150">
        <f t="shared" si="10"/>
        <v>43879628</v>
      </c>
      <c r="I336" s="151">
        <v>0</v>
      </c>
      <c r="J336" s="16"/>
      <c r="K336" s="61"/>
      <c r="O336" s="4"/>
      <c r="P336" s="5"/>
    </row>
    <row r="337" spans="1:37">
      <c r="B337" s="54" t="s">
        <v>230</v>
      </c>
      <c r="D337" s="16" t="s">
        <v>231</v>
      </c>
      <c r="E337" s="66">
        <v>9068000</v>
      </c>
      <c r="F337" s="16">
        <v>9068000</v>
      </c>
      <c r="G337" s="16">
        <v>0</v>
      </c>
      <c r="H337" s="150"/>
      <c r="I337" s="151">
        <v>0</v>
      </c>
      <c r="J337" s="16"/>
      <c r="K337" s="61"/>
      <c r="O337" s="4"/>
      <c r="P337" s="5"/>
    </row>
    <row r="338" spans="1:37" hidden="1">
      <c r="D338" s="16"/>
      <c r="E338" s="16">
        <v>0</v>
      </c>
      <c r="F338" s="16"/>
      <c r="G338" s="111">
        <v>0</v>
      </c>
      <c r="H338" s="150"/>
      <c r="I338" s="151" t="e">
        <f>+H338/G338</f>
        <v>#DIV/0!</v>
      </c>
      <c r="J338" s="16"/>
      <c r="O338" s="4"/>
      <c r="P338" s="5"/>
    </row>
    <row r="339" spans="1:37" hidden="1">
      <c r="D339" s="16"/>
      <c r="E339" s="16">
        <v>0</v>
      </c>
      <c r="F339" s="16"/>
      <c r="G339" s="111">
        <v>0</v>
      </c>
      <c r="H339" s="150"/>
      <c r="I339" s="151" t="e">
        <f>+H339/G339</f>
        <v>#DIV/0!</v>
      </c>
      <c r="J339" s="16"/>
      <c r="O339" s="4"/>
      <c r="P339" s="5"/>
    </row>
    <row r="340" spans="1:37" hidden="1">
      <c r="A340" s="5"/>
      <c r="D340" s="16"/>
      <c r="E340" s="16"/>
      <c r="F340" s="16"/>
      <c r="G340" s="16"/>
      <c r="H340" s="179"/>
      <c r="I340" s="151" t="e">
        <f>+H340/G340</f>
        <v>#DIV/0!</v>
      </c>
      <c r="J340" s="16"/>
      <c r="O340" s="4"/>
      <c r="P340" s="5"/>
    </row>
    <row r="341" spans="1:37">
      <c r="A341" s="5"/>
      <c r="D341" s="27" t="s">
        <v>183</v>
      </c>
      <c r="E341" s="47">
        <f>SUM(E308:E340)</f>
        <v>3631318638.5700002</v>
      </c>
      <c r="F341" s="47">
        <f>SUM(F308:F340)</f>
        <v>3659473288.3000002</v>
      </c>
      <c r="G341" s="47">
        <f>SUM(G308:G340)</f>
        <v>4351154903.96</v>
      </c>
      <c r="H341" s="180">
        <f>SUM(H308:H340)</f>
        <v>-700749615.66000009</v>
      </c>
      <c r="I341" s="166">
        <f>+H341/G341</f>
        <v>-0.16104910790977486</v>
      </c>
      <c r="O341" s="4"/>
      <c r="P341" s="5"/>
    </row>
    <row r="342" spans="1:37">
      <c r="A342" s="5"/>
      <c r="B342" s="4"/>
      <c r="D342" s="16"/>
      <c r="E342" s="16"/>
      <c r="F342" s="16"/>
      <c r="G342" s="16"/>
      <c r="H342" s="8"/>
      <c r="I342" s="8"/>
      <c r="O342" s="4"/>
      <c r="P342" s="5"/>
    </row>
    <row r="343" spans="1:37" ht="13.5" thickBot="1">
      <c r="A343" s="5"/>
      <c r="D343" s="27" t="s">
        <v>174</v>
      </c>
      <c r="E343" s="69">
        <f>+E341+E306</f>
        <v>4343070214.5699997</v>
      </c>
      <c r="F343" s="69">
        <f>+F341+F306</f>
        <v>4153727965.3000002</v>
      </c>
      <c r="G343" s="69">
        <f>+G341+G306</f>
        <v>5009145520.96</v>
      </c>
      <c r="H343" s="152">
        <f>+E343-G343</f>
        <v>-666075306.39000034</v>
      </c>
      <c r="I343" s="153">
        <f>+H343/G343</f>
        <v>-0.13297184192451797</v>
      </c>
      <c r="O343" s="4"/>
      <c r="P343" s="5"/>
    </row>
    <row r="344" spans="1:37" ht="13.5" thickTop="1">
      <c r="A344" s="5"/>
      <c r="D344" s="27"/>
      <c r="E344" s="27"/>
      <c r="F344" s="27"/>
      <c r="G344" s="16"/>
      <c r="H344" s="181"/>
      <c r="I344" s="181"/>
      <c r="J344" s="16"/>
      <c r="O344" s="4"/>
      <c r="P344" s="5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</row>
    <row r="345" spans="1:37">
      <c r="A345" s="5"/>
      <c r="D345" s="16"/>
      <c r="E345" s="16"/>
      <c r="F345" s="16"/>
      <c r="G345" s="16"/>
      <c r="H345" s="29"/>
      <c r="I345" s="29"/>
      <c r="J345" s="16"/>
      <c r="O345" s="4"/>
      <c r="P345" s="5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</row>
    <row r="346" spans="1:37" ht="14">
      <c r="A346" s="154" t="s">
        <v>175</v>
      </c>
      <c r="B346" s="155"/>
      <c r="C346" s="155"/>
      <c r="D346" s="148" t="s">
        <v>26</v>
      </c>
      <c r="E346" s="20" t="str">
        <f>E55</f>
        <v>30 April 2017</v>
      </c>
      <c r="F346" s="20" t="str">
        <f>F55</f>
        <v>31 Maret 2017</v>
      </c>
      <c r="G346" s="20" t="str">
        <f>G55</f>
        <v>30 April 2016</v>
      </c>
      <c r="H346" s="149" t="s">
        <v>56</v>
      </c>
      <c r="I346" s="149" t="s">
        <v>9</v>
      </c>
      <c r="J346" s="16"/>
      <c r="O346" s="4"/>
      <c r="P346" s="5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</row>
    <row r="347" spans="1:37">
      <c r="A347" s="5"/>
      <c r="D347" s="16"/>
      <c r="E347" s="16"/>
      <c r="F347" s="16"/>
      <c r="G347" s="16"/>
      <c r="H347" s="29"/>
      <c r="I347" s="29"/>
      <c r="J347" s="16"/>
      <c r="O347" s="4"/>
      <c r="P347" s="5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</row>
    <row r="348" spans="1:37">
      <c r="A348" s="5"/>
      <c r="B348" s="54" t="s">
        <v>232</v>
      </c>
      <c r="D348" s="16" t="s">
        <v>233</v>
      </c>
      <c r="E348" s="66">
        <v>181009400.10000002</v>
      </c>
      <c r="F348" s="16">
        <v>601162482.19000006</v>
      </c>
      <c r="G348" s="16">
        <v>136633174.44</v>
      </c>
      <c r="H348" s="150">
        <f>+F348-G348</f>
        <v>464529307.75000006</v>
      </c>
      <c r="I348" s="151">
        <v>0</v>
      </c>
      <c r="J348" s="16"/>
      <c r="O348" s="4"/>
      <c r="P348" s="5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</row>
    <row r="349" spans="1:37">
      <c r="A349" s="5"/>
      <c r="B349" s="54" t="s">
        <v>234</v>
      </c>
      <c r="D349" s="16" t="s">
        <v>235</v>
      </c>
      <c r="E349" s="66">
        <v>0</v>
      </c>
      <c r="F349" s="16">
        <v>633807825</v>
      </c>
      <c r="G349" s="16">
        <v>504753939</v>
      </c>
      <c r="H349" s="150">
        <f>+F349-G349</f>
        <v>129053886</v>
      </c>
      <c r="I349" s="151">
        <v>0</v>
      </c>
      <c r="J349" s="16"/>
      <c r="L349" s="16"/>
      <c r="M349" s="16"/>
      <c r="N349" s="16"/>
      <c r="O349" s="4"/>
      <c r="P349" s="5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</row>
    <row r="350" spans="1:37">
      <c r="A350" s="5"/>
      <c r="B350" s="54" t="s">
        <v>236</v>
      </c>
      <c r="D350" s="16" t="s">
        <v>237</v>
      </c>
      <c r="E350" s="66">
        <v>1096734736</v>
      </c>
      <c r="F350" s="16">
        <v>0</v>
      </c>
      <c r="G350" s="16">
        <v>5218627891</v>
      </c>
      <c r="H350" s="150">
        <f>+E350-G350</f>
        <v>-4121893155</v>
      </c>
      <c r="I350" s="151">
        <f>+H350/G350</f>
        <v>-0.78984231891846146</v>
      </c>
      <c r="J350" s="16"/>
      <c r="L350" s="16"/>
      <c r="M350" s="16"/>
      <c r="N350" s="16"/>
      <c r="O350" s="4"/>
      <c r="P350" s="5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</row>
    <row r="351" spans="1:37" ht="13.5" thickBot="1">
      <c r="A351" s="5"/>
      <c r="D351" s="27" t="s">
        <v>174</v>
      </c>
      <c r="E351" s="69">
        <f>SUM(E348:E350)</f>
        <v>1277744136.0999999</v>
      </c>
      <c r="F351" s="69">
        <f>SUM(F348:F350)</f>
        <v>1234970307.1900001</v>
      </c>
      <c r="G351" s="69">
        <f>SUM(G348:G350)</f>
        <v>5860015004.4400005</v>
      </c>
      <c r="H351" s="152">
        <f>+E351-G351</f>
        <v>-4582270868.3400002</v>
      </c>
      <c r="I351" s="153">
        <f>+H351/G351</f>
        <v>-0.78195548387983949</v>
      </c>
      <c r="J351" s="16"/>
      <c r="L351" s="16"/>
      <c r="M351" s="16"/>
      <c r="N351" s="16"/>
      <c r="O351" s="17"/>
      <c r="P351" s="16"/>
      <c r="Q351" s="17"/>
      <c r="R351" s="17"/>
      <c r="S351" s="16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</row>
    <row r="352" spans="1:37" ht="13.5" thickTop="1">
      <c r="A352" s="5"/>
      <c r="D352" s="27"/>
      <c r="E352" s="27"/>
      <c r="F352" s="27"/>
      <c r="G352" s="16"/>
      <c r="H352" s="181"/>
      <c r="I352" s="181"/>
      <c r="J352" s="16"/>
      <c r="L352" s="16"/>
      <c r="M352" s="16"/>
      <c r="N352" s="16"/>
      <c r="O352" s="17"/>
      <c r="P352" s="16"/>
      <c r="Q352" s="17"/>
      <c r="R352" s="17"/>
      <c r="S352" s="16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</row>
    <row r="353" spans="1:36">
      <c r="A353" s="5"/>
      <c r="D353" s="16"/>
      <c r="E353" s="16"/>
      <c r="F353" s="16"/>
      <c r="G353" s="16"/>
      <c r="H353" s="29"/>
      <c r="I353" s="29"/>
      <c r="J353" s="16"/>
      <c r="L353" s="16"/>
      <c r="M353" s="16"/>
      <c r="N353" s="16"/>
      <c r="O353" s="16"/>
      <c r="P353" s="16"/>
      <c r="Q353" s="16"/>
      <c r="R353" s="16"/>
      <c r="S353" s="16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</row>
    <row r="354" spans="1:36" ht="14">
      <c r="A354" s="154" t="s">
        <v>238</v>
      </c>
      <c r="B354" s="155"/>
      <c r="C354" s="155"/>
      <c r="D354" s="148" t="s">
        <v>33</v>
      </c>
      <c r="E354" s="148"/>
      <c r="F354" s="16"/>
      <c r="G354" s="16"/>
      <c r="H354" s="29"/>
      <c r="I354" s="29"/>
      <c r="J354" s="16"/>
      <c r="L354" s="16"/>
      <c r="M354" s="16"/>
      <c r="N354" s="16"/>
      <c r="O354" s="16"/>
      <c r="P354" s="16"/>
      <c r="Q354" s="16"/>
      <c r="R354" s="16"/>
      <c r="S354" s="16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</row>
    <row r="355" spans="1:36">
      <c r="A355" s="5"/>
      <c r="D355" s="16"/>
      <c r="E355" s="182" t="s">
        <v>239</v>
      </c>
      <c r="F355" s="182" t="s">
        <v>240</v>
      </c>
      <c r="G355" s="183" t="s">
        <v>239</v>
      </c>
      <c r="I355" s="29"/>
      <c r="J355" s="16"/>
      <c r="L355" s="16"/>
      <c r="M355" s="16"/>
      <c r="N355" s="16"/>
      <c r="O355" s="16"/>
      <c r="P355" s="16"/>
      <c r="Q355" s="16"/>
      <c r="R355" s="16"/>
      <c r="S355" s="16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</row>
    <row r="356" spans="1:36">
      <c r="A356" s="5"/>
      <c r="D356" s="16"/>
      <c r="E356" s="184" t="s">
        <v>241</v>
      </c>
      <c r="F356" s="185"/>
      <c r="G356" s="186" t="str">
        <f>F202</f>
        <v>30 April 2017</v>
      </c>
      <c r="I356" s="29"/>
      <c r="J356" s="16"/>
      <c r="L356" s="16"/>
      <c r="M356" s="16"/>
      <c r="N356" s="16"/>
      <c r="O356" s="16"/>
      <c r="P356" s="16"/>
      <c r="Q356" s="16"/>
      <c r="R356" s="16"/>
      <c r="S356" s="16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</row>
    <row r="357" spans="1:36">
      <c r="A357" s="5"/>
      <c r="D357" s="16" t="s">
        <v>242</v>
      </c>
      <c r="E357" s="16"/>
      <c r="F357" s="16"/>
      <c r="G357" s="16"/>
      <c r="I357" s="29"/>
      <c r="J357" s="16"/>
      <c r="L357" s="16"/>
      <c r="M357" s="16"/>
      <c r="N357" s="16"/>
      <c r="O357" s="16"/>
      <c r="P357" s="16"/>
      <c r="Q357" s="16"/>
      <c r="R357" s="16"/>
      <c r="S357" s="16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</row>
    <row r="358" spans="1:36" ht="14">
      <c r="A358" s="5"/>
      <c r="D358" s="16" t="s">
        <v>243</v>
      </c>
      <c r="E358" s="16">
        <v>6342752256.1999998</v>
      </c>
      <c r="F358" s="16">
        <f>G380-E358</f>
        <v>0</v>
      </c>
      <c r="G358" s="34">
        <f>E995</f>
        <v>6342752256.1999998</v>
      </c>
      <c r="H358" s="137"/>
      <c r="I358" s="29"/>
      <c r="J358" s="16"/>
      <c r="L358" s="16"/>
      <c r="M358" s="30"/>
      <c r="N358" s="30"/>
      <c r="O358" s="187"/>
      <c r="P358" s="30"/>
      <c r="Q358" s="30"/>
      <c r="R358" s="30"/>
      <c r="S358" s="16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</row>
    <row r="359" spans="1:36">
      <c r="A359" s="5"/>
      <c r="D359" s="16" t="s">
        <v>244</v>
      </c>
      <c r="E359" s="16">
        <v>3107100000</v>
      </c>
      <c r="F359" s="16">
        <f>G381-E359</f>
        <v>0</v>
      </c>
      <c r="G359" s="34">
        <f>E1000</f>
        <v>3107100000</v>
      </c>
      <c r="H359" s="137"/>
      <c r="I359" s="137"/>
      <c r="J359" s="16"/>
      <c r="K359" s="16"/>
      <c r="L359" s="16"/>
      <c r="M359" s="188"/>
      <c r="N359" s="188"/>
      <c r="O359" s="30"/>
      <c r="P359" s="30"/>
      <c r="Q359" s="30"/>
      <c r="R359" s="30"/>
      <c r="S359" s="16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</row>
    <row r="360" spans="1:36">
      <c r="A360" s="5"/>
      <c r="D360" s="16" t="s">
        <v>245</v>
      </c>
      <c r="E360" s="16">
        <v>3110668462.8000002</v>
      </c>
      <c r="F360" s="16">
        <f>G382-E360</f>
        <v>4070000</v>
      </c>
      <c r="G360" s="34">
        <f>E1027</f>
        <v>3113581062.8000002</v>
      </c>
      <c r="H360" s="137"/>
      <c r="I360" s="137"/>
      <c r="J360" s="16"/>
      <c r="K360" s="16"/>
      <c r="L360" s="16"/>
      <c r="M360" s="27"/>
      <c r="N360" s="27"/>
      <c r="O360" s="30"/>
      <c r="P360" s="30"/>
      <c r="Q360" s="30"/>
      <c r="R360" s="16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</row>
    <row r="361" spans="1:36">
      <c r="A361" s="5"/>
      <c r="D361" s="16" t="s">
        <v>246</v>
      </c>
      <c r="E361" s="16">
        <v>1516900000</v>
      </c>
      <c r="F361" s="16">
        <f>G383-E361</f>
        <v>0</v>
      </c>
      <c r="G361" s="34">
        <f>E1030</f>
        <v>1516900000</v>
      </c>
      <c r="H361" s="137"/>
      <c r="J361" s="16"/>
      <c r="K361" s="16"/>
      <c r="L361" s="16"/>
      <c r="M361" s="16"/>
      <c r="N361" s="16"/>
      <c r="O361" s="30"/>
      <c r="P361" s="49"/>
      <c r="Q361" s="49"/>
      <c r="R361" s="16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</row>
    <row r="362" spans="1:36">
      <c r="A362" s="5"/>
      <c r="D362" s="16"/>
      <c r="E362" s="16"/>
      <c r="F362" s="16"/>
      <c r="G362" s="16"/>
      <c r="J362" s="16"/>
      <c r="K362" s="16"/>
      <c r="L362" s="16"/>
      <c r="M362" s="16"/>
      <c r="N362" s="16"/>
      <c r="O362" s="16"/>
      <c r="P362" s="49"/>
      <c r="Q362" s="49"/>
      <c r="R362" s="16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</row>
    <row r="363" spans="1:36">
      <c r="A363" s="5"/>
      <c r="D363" s="27" t="s">
        <v>130</v>
      </c>
      <c r="E363" s="47">
        <v>14077420719</v>
      </c>
      <c r="F363" s="47">
        <f>SUM(F358:F361)</f>
        <v>4070000</v>
      </c>
      <c r="G363" s="47">
        <f>SUM(G358:G361)</f>
        <v>14080333319</v>
      </c>
      <c r="J363" s="16"/>
      <c r="K363" s="16"/>
      <c r="L363" s="16"/>
      <c r="M363" s="16"/>
      <c r="N363" s="16"/>
      <c r="O363" s="16"/>
      <c r="P363" s="16"/>
      <c r="Q363" s="16"/>
      <c r="R363" s="16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</row>
    <row r="364" spans="1:36">
      <c r="A364" s="5"/>
      <c r="D364" s="16"/>
      <c r="E364" s="16"/>
      <c r="F364" s="16"/>
      <c r="G364" s="16"/>
      <c r="J364" s="16"/>
      <c r="K364" s="16"/>
      <c r="L364" s="16"/>
      <c r="M364" s="16"/>
      <c r="N364" s="16"/>
      <c r="O364" s="16"/>
      <c r="P364" s="16"/>
      <c r="Q364" s="16"/>
      <c r="R364" s="16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</row>
    <row r="365" spans="1:36">
      <c r="A365" s="5"/>
      <c r="D365" s="16" t="s">
        <v>247</v>
      </c>
      <c r="E365" s="16"/>
      <c r="F365" s="16"/>
      <c r="G365" s="16"/>
      <c r="J365" s="16"/>
      <c r="K365" s="16"/>
      <c r="L365" s="16"/>
      <c r="M365" s="16"/>
      <c r="N365" s="16"/>
      <c r="O365" s="16"/>
      <c r="P365" s="16"/>
      <c r="Q365" s="16"/>
      <c r="R365" s="16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</row>
    <row r="366" spans="1:36">
      <c r="A366" s="5"/>
      <c r="D366" s="16" t="s">
        <v>243</v>
      </c>
      <c r="E366" s="16">
        <v>3416523519.4499998</v>
      </c>
      <c r="F366" s="16">
        <f>+G388-E366</f>
        <v>266639197</v>
      </c>
      <c r="G366" s="34">
        <f>E1041</f>
        <v>3771767101.4499998</v>
      </c>
      <c r="H366" s="137"/>
      <c r="J366" s="16"/>
      <c r="K366" s="16"/>
      <c r="L366" s="16"/>
      <c r="M366" s="16"/>
      <c r="N366" s="16"/>
      <c r="O366" s="16"/>
      <c r="P366" s="16"/>
      <c r="Q366" s="16"/>
      <c r="R366" s="16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</row>
    <row r="367" spans="1:36">
      <c r="A367" s="5"/>
      <c r="D367" s="16" t="s">
        <v>244</v>
      </c>
      <c r="E367" s="16">
        <v>2412156664.9299998</v>
      </c>
      <c r="F367" s="16">
        <f>+G389-E367</f>
        <v>120480000</v>
      </c>
      <c r="G367" s="34">
        <f>E1046</f>
        <v>2572796664.9299998</v>
      </c>
      <c r="H367" s="189"/>
      <c r="I367" s="190"/>
      <c r="J367" s="16"/>
      <c r="K367" s="16"/>
      <c r="L367" s="16"/>
      <c r="M367" s="16"/>
      <c r="N367" s="16"/>
      <c r="O367" s="16"/>
      <c r="P367" s="16"/>
      <c r="Q367" s="16"/>
      <c r="R367" s="16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</row>
    <row r="368" spans="1:36">
      <c r="A368" s="5"/>
      <c r="D368" s="16" t="s">
        <v>245</v>
      </c>
      <c r="E368" s="16">
        <v>2440569081.0700002</v>
      </c>
      <c r="F368" s="16">
        <f>+G390-E368</f>
        <v>75306557.96999979</v>
      </c>
      <c r="G368" s="34">
        <f>E1069</f>
        <v>2524616753.04</v>
      </c>
      <c r="H368" s="137"/>
      <c r="J368" s="16"/>
      <c r="K368" s="16"/>
      <c r="L368" s="16"/>
      <c r="M368" s="16"/>
      <c r="N368" s="16"/>
      <c r="O368" s="16"/>
      <c r="P368" s="16"/>
      <c r="Q368" s="16"/>
      <c r="R368" s="16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</row>
    <row r="369" spans="1:36">
      <c r="A369" s="5"/>
      <c r="D369" s="16" t="s">
        <v>246</v>
      </c>
      <c r="E369" s="16">
        <v>221690002</v>
      </c>
      <c r="F369" s="16">
        <f>+G391-E369</f>
        <v>75845001</v>
      </c>
      <c r="G369" s="34">
        <f>E1074</f>
        <v>322816670</v>
      </c>
      <c r="H369" s="137"/>
      <c r="J369" s="16"/>
      <c r="K369" s="16"/>
      <c r="L369" s="16"/>
      <c r="M369" s="16"/>
      <c r="N369" s="16"/>
      <c r="O369" s="16"/>
      <c r="P369" s="16"/>
      <c r="Q369" s="16"/>
      <c r="R369" s="16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</row>
    <row r="370" spans="1:36">
      <c r="A370" s="5"/>
      <c r="D370" s="16"/>
      <c r="E370" s="16"/>
      <c r="F370" s="16"/>
      <c r="G370" s="191"/>
      <c r="I370" s="37" t="s">
        <v>248</v>
      </c>
      <c r="J370" s="16"/>
      <c r="K370" s="16"/>
      <c r="L370" s="16"/>
      <c r="M370" s="16"/>
      <c r="N370" s="16"/>
      <c r="O370" s="16"/>
      <c r="P370" s="16"/>
      <c r="Q370" s="16"/>
      <c r="R370" s="16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</row>
    <row r="371" spans="1:36">
      <c r="A371" s="5"/>
      <c r="D371" s="27" t="s">
        <v>130</v>
      </c>
      <c r="E371" s="47">
        <v>8490939267.4499989</v>
      </c>
      <c r="F371" s="47">
        <f>SUM(F366:F369)</f>
        <v>538270755.96999979</v>
      </c>
      <c r="G371" s="47">
        <f>SUM(G366:G369)</f>
        <v>9191997189.4199982</v>
      </c>
      <c r="I371" s="192">
        <f>F371-H72</f>
        <v>-162787166.00000024</v>
      </c>
      <c r="J371" s="16"/>
      <c r="K371" s="16"/>
      <c r="L371" s="16"/>
      <c r="M371" s="16"/>
      <c r="N371" s="16"/>
      <c r="O371" s="16"/>
      <c r="P371" s="16"/>
      <c r="Q371" s="16"/>
      <c r="R371" s="16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</row>
    <row r="372" spans="1:36">
      <c r="A372" s="5"/>
      <c r="D372" s="16"/>
      <c r="E372" s="16"/>
      <c r="F372" s="16"/>
      <c r="G372" s="16"/>
      <c r="J372" s="16"/>
      <c r="K372" s="16"/>
      <c r="L372" s="16"/>
      <c r="M372" s="16"/>
      <c r="N372" s="16"/>
      <c r="O372" s="16"/>
      <c r="P372" s="16"/>
      <c r="Q372" s="16"/>
      <c r="R372" s="16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</row>
    <row r="373" spans="1:36" ht="13.5" thickBot="1">
      <c r="A373" s="5"/>
      <c r="D373" s="72" t="s">
        <v>249</v>
      </c>
      <c r="E373" s="69">
        <v>5586481451.5500011</v>
      </c>
      <c r="F373" s="16"/>
      <c r="G373" s="69">
        <f>+G363-G371</f>
        <v>4888336129.5800018</v>
      </c>
      <c r="J373" s="16"/>
      <c r="K373" s="16"/>
      <c r="L373" s="16"/>
      <c r="M373" s="16"/>
      <c r="N373" s="16"/>
      <c r="O373" s="16"/>
      <c r="P373" s="16"/>
      <c r="Q373" s="16"/>
      <c r="R373" s="16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</row>
    <row r="374" spans="1:36" ht="13.5" thickTop="1">
      <c r="A374" s="5"/>
      <c r="D374" s="16"/>
      <c r="E374" s="16"/>
      <c r="F374" s="16"/>
      <c r="G374" s="16"/>
      <c r="J374" s="16"/>
      <c r="K374" s="16"/>
      <c r="L374" s="16"/>
      <c r="M374" s="16"/>
      <c r="N374" s="16"/>
      <c r="O374" s="16"/>
      <c r="P374" s="16"/>
      <c r="Q374" s="16"/>
      <c r="R374" s="16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</row>
    <row r="375" spans="1:36">
      <c r="A375" s="5"/>
      <c r="D375" s="16"/>
      <c r="E375" s="16"/>
      <c r="F375" s="16"/>
      <c r="G375" s="16"/>
      <c r="J375" s="16"/>
      <c r="K375" s="16"/>
      <c r="L375" s="16"/>
      <c r="M375" s="16"/>
      <c r="N375" s="16"/>
      <c r="O375" s="16"/>
      <c r="P375" s="16"/>
      <c r="Q375" s="16"/>
      <c r="R375" s="16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</row>
    <row r="376" spans="1:36">
      <c r="A376" s="5"/>
      <c r="D376" s="16"/>
      <c r="E376" s="16"/>
      <c r="F376" s="16"/>
      <c r="G376" s="16"/>
      <c r="J376" s="16"/>
      <c r="K376" s="16"/>
      <c r="L376" s="16"/>
      <c r="M376" s="16"/>
      <c r="N376" s="16"/>
      <c r="O376" s="16"/>
      <c r="P376" s="16"/>
      <c r="Q376" s="16"/>
      <c r="R376" s="16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</row>
    <row r="377" spans="1:36">
      <c r="A377" s="5"/>
      <c r="D377" s="16"/>
      <c r="E377" s="182" t="s">
        <v>239</v>
      </c>
      <c r="F377" s="182" t="s">
        <v>240</v>
      </c>
      <c r="G377" s="182" t="s">
        <v>239</v>
      </c>
      <c r="I377" s="29"/>
      <c r="J377" s="16"/>
      <c r="K377" s="16"/>
      <c r="L377" s="16"/>
      <c r="M377" s="16"/>
      <c r="N377" s="16"/>
      <c r="O377" s="16"/>
      <c r="P377" s="16"/>
      <c r="Q377" s="16"/>
      <c r="R377" s="16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</row>
    <row r="378" spans="1:36">
      <c r="A378" s="5"/>
      <c r="D378" s="16"/>
      <c r="E378" s="184" t="s">
        <v>241</v>
      </c>
      <c r="F378" s="185"/>
      <c r="G378" s="193" t="str">
        <f>F166</f>
        <v>31 Maret 2017</v>
      </c>
      <c r="I378" s="29"/>
      <c r="J378" s="16"/>
      <c r="K378" s="16"/>
      <c r="L378" s="16"/>
      <c r="M378" s="16"/>
      <c r="N378" s="16"/>
      <c r="O378" s="16"/>
      <c r="P378" s="16"/>
      <c r="Q378" s="16"/>
      <c r="R378" s="16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</row>
    <row r="379" spans="1:36">
      <c r="A379" s="5"/>
      <c r="D379" s="16" t="s">
        <v>242</v>
      </c>
      <c r="E379" s="16"/>
      <c r="F379" s="16"/>
      <c r="G379" s="16"/>
      <c r="I379" s="29"/>
      <c r="J379" s="16"/>
      <c r="K379" s="16"/>
      <c r="L379" s="16"/>
      <c r="M379" s="16"/>
      <c r="N379" s="16"/>
      <c r="O379" s="16"/>
      <c r="P379" s="16"/>
      <c r="Q379" s="16"/>
      <c r="R379" s="16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</row>
    <row r="380" spans="1:36">
      <c r="A380" s="5"/>
      <c r="D380" s="16" t="s">
        <v>243</v>
      </c>
      <c r="E380" s="16">
        <v>6342752256.1999998</v>
      </c>
      <c r="F380" s="16">
        <f>G380-E380</f>
        <v>0</v>
      </c>
      <c r="G380" s="16">
        <f>+F995</f>
        <v>6342752256.1999998</v>
      </c>
      <c r="H380" s="137"/>
      <c r="I380" s="29"/>
      <c r="J380" s="16"/>
      <c r="K380" s="16"/>
      <c r="L380" s="16"/>
      <c r="M380" s="16"/>
      <c r="N380" s="16"/>
      <c r="O380" s="16"/>
      <c r="P380" s="16"/>
      <c r="Q380" s="16"/>
      <c r="R380" s="16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</row>
    <row r="381" spans="1:36">
      <c r="A381" s="5"/>
      <c r="D381" s="16" t="s">
        <v>244</v>
      </c>
      <c r="E381" s="16">
        <v>3107100000</v>
      </c>
      <c r="F381" s="16">
        <f>G381-E381</f>
        <v>0</v>
      </c>
      <c r="G381" s="16">
        <f>+F1000</f>
        <v>3107100000</v>
      </c>
      <c r="H381" s="137"/>
      <c r="J381" s="16"/>
      <c r="K381" s="16"/>
      <c r="L381" s="16"/>
      <c r="M381" s="16"/>
      <c r="N381" s="16"/>
      <c r="O381" s="16"/>
      <c r="P381" s="16"/>
      <c r="Q381" s="16"/>
      <c r="R381" s="16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</row>
    <row r="382" spans="1:36">
      <c r="A382" s="5"/>
      <c r="D382" s="16" t="s">
        <v>245</v>
      </c>
      <c r="E382" s="16">
        <v>3110668462.8000002</v>
      </c>
      <c r="F382" s="16">
        <f>G382-E382</f>
        <v>4070000</v>
      </c>
      <c r="G382" s="16">
        <f>+F1027</f>
        <v>3114738462.8000002</v>
      </c>
      <c r="H382" s="137"/>
      <c r="J382" s="16"/>
      <c r="K382" s="16"/>
      <c r="L382" s="16"/>
      <c r="M382" s="27"/>
      <c r="N382" s="27"/>
      <c r="O382" s="16"/>
      <c r="P382" s="16"/>
      <c r="Q382" s="16"/>
      <c r="R382" s="16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</row>
    <row r="383" spans="1:36">
      <c r="A383" s="5"/>
      <c r="D383" s="16" t="s">
        <v>246</v>
      </c>
      <c r="E383" s="16">
        <v>1516900000</v>
      </c>
      <c r="F383" s="16">
        <f>G383-E383</f>
        <v>0</v>
      </c>
      <c r="G383" s="16">
        <f>+F1032</f>
        <v>1516900000</v>
      </c>
      <c r="H383" s="137"/>
      <c r="J383" s="16"/>
      <c r="K383" s="16"/>
      <c r="L383" s="16"/>
      <c r="M383" s="16"/>
      <c r="N383" s="16"/>
      <c r="O383" s="16"/>
      <c r="P383" s="16"/>
      <c r="Q383" s="16"/>
      <c r="R383" s="16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</row>
    <row r="384" spans="1:36">
      <c r="A384" s="5"/>
      <c r="D384" s="16"/>
      <c r="E384" s="16"/>
      <c r="F384" s="16"/>
      <c r="G384" s="16"/>
      <c r="J384" s="16"/>
      <c r="K384" s="16"/>
      <c r="L384" s="16"/>
      <c r="M384" s="16"/>
      <c r="N384" s="16"/>
      <c r="O384" s="16"/>
      <c r="P384" s="49"/>
      <c r="Q384" s="49"/>
      <c r="R384" s="16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</row>
    <row r="385" spans="1:36">
      <c r="A385" s="5"/>
      <c r="D385" s="27" t="s">
        <v>130</v>
      </c>
      <c r="E385" s="47">
        <f>SUM(E380:E383)</f>
        <v>14077420719</v>
      </c>
      <c r="F385" s="47">
        <f>SUM(F380:F383)</f>
        <v>4070000</v>
      </c>
      <c r="G385" s="47">
        <f>SUM(G380:G383)</f>
        <v>14081490719</v>
      </c>
      <c r="J385" s="16"/>
      <c r="K385" s="16"/>
      <c r="L385" s="16"/>
      <c r="M385" s="16"/>
      <c r="N385" s="16"/>
      <c r="O385" s="16"/>
      <c r="P385" s="16"/>
      <c r="Q385" s="16"/>
      <c r="R385" s="16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</row>
    <row r="386" spans="1:36">
      <c r="A386" s="5"/>
      <c r="D386" s="16"/>
      <c r="E386" s="16"/>
      <c r="F386" s="16"/>
      <c r="G386" s="16"/>
      <c r="J386" s="16"/>
      <c r="K386" s="16"/>
      <c r="L386" s="16"/>
      <c r="M386" s="16"/>
      <c r="N386" s="16"/>
      <c r="O386" s="16"/>
      <c r="P386" s="16"/>
      <c r="Q386" s="16"/>
      <c r="R386" s="16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</row>
    <row r="387" spans="1:36">
      <c r="A387" s="5"/>
      <c r="D387" s="16" t="s">
        <v>247</v>
      </c>
      <c r="E387" s="16"/>
      <c r="F387" s="16"/>
      <c r="G387" s="16"/>
      <c r="J387" s="16"/>
      <c r="K387" s="16"/>
      <c r="L387" s="16"/>
      <c r="M387" s="16"/>
      <c r="N387" s="16"/>
      <c r="O387" s="16"/>
      <c r="P387" s="16"/>
      <c r="Q387" s="16"/>
      <c r="R387" s="16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</row>
    <row r="388" spans="1:36">
      <c r="A388" s="5"/>
      <c r="D388" s="16" t="s">
        <v>243</v>
      </c>
      <c r="E388" s="16">
        <v>3416523519.4499998</v>
      </c>
      <c r="F388" s="194">
        <f>G388-E388</f>
        <v>266639197</v>
      </c>
      <c r="G388" s="191">
        <f>F1041</f>
        <v>3683162716.4499998</v>
      </c>
      <c r="H388" s="137"/>
      <c r="J388" s="16"/>
      <c r="K388" s="16"/>
      <c r="L388" s="16"/>
      <c r="M388" s="16"/>
      <c r="N388" s="16"/>
      <c r="O388" s="16"/>
      <c r="P388" s="16"/>
      <c r="Q388" s="16"/>
      <c r="R388" s="16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</row>
    <row r="389" spans="1:36">
      <c r="A389" s="5"/>
      <c r="D389" s="16" t="s">
        <v>244</v>
      </c>
      <c r="E389" s="16">
        <v>2412156664.9299998</v>
      </c>
      <c r="F389" s="194">
        <f>G389-E389</f>
        <v>120480000</v>
      </c>
      <c r="G389" s="191">
        <f>+F1046</f>
        <v>2532636664.9299998</v>
      </c>
      <c r="H389" s="137"/>
      <c r="J389" s="16"/>
      <c r="K389" s="16"/>
      <c r="L389" s="16"/>
      <c r="M389" s="16"/>
      <c r="N389" s="16"/>
      <c r="O389" s="16"/>
      <c r="P389" s="16"/>
      <c r="Q389" s="16"/>
      <c r="R389" s="16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</row>
    <row r="390" spans="1:36">
      <c r="A390" s="5"/>
      <c r="D390" s="16" t="s">
        <v>245</v>
      </c>
      <c r="E390" s="16">
        <v>2440569081.0700002</v>
      </c>
      <c r="F390" s="194">
        <f>G390-E390</f>
        <v>75306557.96999979</v>
      </c>
      <c r="G390" s="191">
        <f>+F1069</f>
        <v>2515875639.04</v>
      </c>
      <c r="H390" s="137"/>
      <c r="J390" s="16"/>
      <c r="K390" s="16"/>
      <c r="L390" s="16"/>
      <c r="M390" s="16"/>
      <c r="N390" s="16"/>
      <c r="O390" s="16"/>
      <c r="P390" s="16"/>
      <c r="Q390" s="16"/>
      <c r="R390" s="16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</row>
    <row r="391" spans="1:36">
      <c r="A391" s="5"/>
      <c r="D391" s="16" t="s">
        <v>246</v>
      </c>
      <c r="E391" s="16">
        <v>221690002</v>
      </c>
      <c r="F391" s="194">
        <f>G391-E391</f>
        <v>75845001</v>
      </c>
      <c r="G391" s="16">
        <f>+F1072</f>
        <v>297535003</v>
      </c>
      <c r="H391" s="137"/>
      <c r="J391" s="16"/>
      <c r="K391" s="16"/>
      <c r="L391" s="16"/>
      <c r="M391" s="16"/>
      <c r="N391" s="16"/>
      <c r="O391" s="16"/>
      <c r="P391" s="16"/>
      <c r="Q391" s="16"/>
      <c r="R391" s="16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</row>
    <row r="392" spans="1:36">
      <c r="A392" s="5"/>
      <c r="D392" s="16"/>
      <c r="E392" s="16"/>
      <c r="F392" s="16"/>
      <c r="G392" s="191"/>
      <c r="J392" s="16"/>
      <c r="K392" s="16"/>
      <c r="L392" s="16"/>
      <c r="M392" s="16"/>
      <c r="N392" s="16"/>
      <c r="O392" s="16"/>
      <c r="P392" s="16"/>
      <c r="Q392" s="16"/>
      <c r="R392" s="16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</row>
    <row r="393" spans="1:36">
      <c r="A393" s="5"/>
      <c r="D393" s="27" t="s">
        <v>130</v>
      </c>
      <c r="E393" s="47">
        <f>SUM(E388:E391)</f>
        <v>8490939267.4499989</v>
      </c>
      <c r="F393" s="47">
        <f>SUM(F388:F391)</f>
        <v>538270755.96999979</v>
      </c>
      <c r="G393" s="47">
        <f>SUM(G388:G391)</f>
        <v>9029210023.4199982</v>
      </c>
      <c r="J393" s="16"/>
      <c r="K393" s="16"/>
      <c r="L393" s="16"/>
      <c r="M393" s="16"/>
      <c r="N393" s="16"/>
      <c r="O393" s="16"/>
      <c r="P393" s="16"/>
      <c r="Q393" s="16"/>
      <c r="R393" s="16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</row>
    <row r="394" spans="1:36">
      <c r="A394" s="5"/>
      <c r="D394" s="16"/>
      <c r="E394" s="16"/>
      <c r="F394" s="16"/>
      <c r="G394" s="16"/>
      <c r="J394" s="16"/>
      <c r="K394" s="16"/>
      <c r="L394" s="16"/>
      <c r="M394" s="16"/>
      <c r="N394" s="16"/>
      <c r="O394" s="16"/>
      <c r="P394" s="16"/>
      <c r="Q394" s="16"/>
      <c r="R394" s="16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</row>
    <row r="395" spans="1:36" ht="13.5" thickBot="1">
      <c r="A395" s="5"/>
      <c r="D395" s="72" t="s">
        <v>249</v>
      </c>
      <c r="E395" s="69">
        <f>+E385-E393</f>
        <v>5586481451.5500011</v>
      </c>
      <c r="F395" s="16"/>
      <c r="G395" s="69">
        <f>+G385-G393</f>
        <v>5052280695.5800018</v>
      </c>
      <c r="J395" s="16"/>
      <c r="K395" s="16"/>
      <c r="L395" s="16"/>
      <c r="M395" s="16"/>
      <c r="N395" s="16"/>
      <c r="O395" s="16"/>
      <c r="P395" s="16"/>
      <c r="Q395" s="16"/>
      <c r="R395" s="16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</row>
    <row r="396" spans="1:36" ht="13.5" thickTop="1">
      <c r="A396" s="5"/>
      <c r="D396" s="16"/>
      <c r="E396" s="16"/>
      <c r="F396" s="16"/>
      <c r="G396" s="16"/>
      <c r="J396" s="16"/>
      <c r="K396" s="16"/>
      <c r="L396" s="16"/>
      <c r="M396" s="16"/>
      <c r="N396" s="16"/>
      <c r="O396" s="16"/>
      <c r="P396" s="16"/>
      <c r="Q396" s="16"/>
      <c r="R396" s="16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</row>
    <row r="397" spans="1:36">
      <c r="A397" s="5"/>
      <c r="D397" s="16"/>
      <c r="E397" s="16"/>
      <c r="F397" s="16"/>
      <c r="G397" s="16"/>
      <c r="J397" s="16"/>
      <c r="K397" s="16"/>
      <c r="L397" s="16"/>
      <c r="M397" s="16"/>
      <c r="N397" s="16"/>
      <c r="O397" s="16"/>
      <c r="P397" s="16"/>
      <c r="Q397" s="16"/>
      <c r="R397" s="16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</row>
    <row r="398" spans="1:36" s="37" customFormat="1">
      <c r="A398" s="8"/>
      <c r="B398" s="8"/>
      <c r="C398" s="8"/>
      <c r="D398" s="29"/>
      <c r="E398" s="195" t="s">
        <v>239</v>
      </c>
      <c r="F398" s="196" t="s">
        <v>240</v>
      </c>
      <c r="G398" s="195" t="s">
        <v>239</v>
      </c>
      <c r="J398" s="29"/>
      <c r="K398" s="29"/>
      <c r="L398" s="29"/>
      <c r="M398" s="29"/>
      <c r="N398" s="29"/>
      <c r="O398" s="29"/>
      <c r="P398" s="29"/>
      <c r="Q398" s="29"/>
      <c r="R398" s="29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  <c r="AH398" s="44"/>
      <c r="AI398" s="44"/>
      <c r="AJ398" s="44"/>
    </row>
    <row r="399" spans="1:36" s="37" customFormat="1">
      <c r="A399" s="8"/>
      <c r="B399" s="8"/>
      <c r="C399" s="8"/>
      <c r="D399" s="29"/>
      <c r="E399" s="197" t="s">
        <v>250</v>
      </c>
      <c r="F399" s="22"/>
      <c r="G399" s="198" t="str">
        <f>F244</f>
        <v>30 April 2016</v>
      </c>
      <c r="J399" s="29"/>
      <c r="K399" s="29"/>
      <c r="L399" s="29"/>
      <c r="M399" s="29"/>
      <c r="N399" s="29"/>
      <c r="O399" s="29"/>
      <c r="P399" s="29"/>
      <c r="Q399" s="29"/>
      <c r="R399" s="29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  <c r="AH399" s="44"/>
      <c r="AI399" s="44"/>
      <c r="AJ399" s="44"/>
    </row>
    <row r="400" spans="1:36" s="37" customFormat="1">
      <c r="A400" s="8"/>
      <c r="B400" s="8"/>
      <c r="C400" s="8"/>
      <c r="D400" s="29" t="s">
        <v>242</v>
      </c>
      <c r="E400" s="29"/>
      <c r="F400" s="29"/>
      <c r="G400" s="29"/>
      <c r="J400" s="29"/>
      <c r="K400" s="29"/>
      <c r="L400" s="29"/>
      <c r="M400" s="29"/>
      <c r="N400" s="29"/>
      <c r="O400" s="29"/>
      <c r="P400" s="29"/>
      <c r="Q400" s="29"/>
      <c r="R400" s="29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  <c r="AH400" s="44"/>
      <c r="AI400" s="44"/>
      <c r="AJ400" s="44"/>
    </row>
    <row r="401" spans="1:36" s="37" customFormat="1">
      <c r="A401" s="8"/>
      <c r="B401" s="8"/>
      <c r="C401" s="8"/>
      <c r="D401" s="29" t="s">
        <v>243</v>
      </c>
      <c r="E401" s="29">
        <v>6210790211.1999998</v>
      </c>
      <c r="F401" s="29">
        <f>+G401-E401</f>
        <v>109362045</v>
      </c>
      <c r="G401" s="29">
        <v>6320152256.1999998</v>
      </c>
      <c r="J401" s="29"/>
      <c r="K401" s="29"/>
      <c r="L401" s="29"/>
      <c r="M401" s="29"/>
      <c r="N401" s="29"/>
      <c r="O401" s="29"/>
      <c r="P401" s="29"/>
      <c r="Q401" s="29"/>
      <c r="R401" s="29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  <c r="AH401" s="44"/>
      <c r="AI401" s="44"/>
      <c r="AJ401" s="44"/>
    </row>
    <row r="402" spans="1:36" s="37" customFormat="1">
      <c r="A402" s="8"/>
      <c r="B402" s="8"/>
      <c r="C402" s="8"/>
      <c r="D402" s="29" t="s">
        <v>244</v>
      </c>
      <c r="E402" s="29">
        <v>3107100000</v>
      </c>
      <c r="F402" s="29">
        <f>+G402-E402</f>
        <v>0</v>
      </c>
      <c r="G402" s="29">
        <v>3107100000</v>
      </c>
      <c r="I402" s="137"/>
      <c r="J402" s="29"/>
      <c r="K402" s="29"/>
      <c r="L402" s="29"/>
      <c r="M402" s="29"/>
      <c r="N402" s="29"/>
      <c r="O402" s="29"/>
      <c r="P402" s="29"/>
      <c r="Q402" s="29"/>
      <c r="R402" s="29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  <c r="AH402" s="44"/>
      <c r="AI402" s="44"/>
      <c r="AJ402" s="44"/>
    </row>
    <row r="403" spans="1:36" s="37" customFormat="1">
      <c r="A403" s="8"/>
      <c r="B403" s="8"/>
      <c r="C403" s="8"/>
      <c r="D403" s="29" t="s">
        <v>245</v>
      </c>
      <c r="E403" s="29">
        <v>2956480463.8000002</v>
      </c>
      <c r="F403" s="29">
        <f>+G403-E403</f>
        <v>36586933</v>
      </c>
      <c r="G403" s="29">
        <v>2993067396.8000002</v>
      </c>
      <c r="J403" s="29"/>
      <c r="K403" s="29"/>
      <c r="L403" s="29"/>
      <c r="M403" s="199"/>
      <c r="N403" s="199"/>
      <c r="O403" s="29"/>
      <c r="P403" s="29"/>
      <c r="Q403" s="29"/>
      <c r="R403" s="29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  <c r="AH403" s="44"/>
      <c r="AI403" s="44"/>
      <c r="AJ403" s="44"/>
    </row>
    <row r="404" spans="1:36" s="37" customFormat="1">
      <c r="A404" s="8"/>
      <c r="B404" s="8"/>
      <c r="C404" s="8"/>
      <c r="D404" s="29" t="s">
        <v>246</v>
      </c>
      <c r="E404" s="29">
        <v>600000000</v>
      </c>
      <c r="F404" s="29">
        <f>+G404-E404</f>
        <v>0</v>
      </c>
      <c r="G404" s="29">
        <v>600000000</v>
      </c>
      <c r="J404" s="29"/>
      <c r="K404" s="29"/>
      <c r="L404" s="29"/>
      <c r="M404" s="44"/>
      <c r="N404" s="44"/>
      <c r="O404" s="29"/>
      <c r="P404" s="29"/>
      <c r="Q404" s="29"/>
      <c r="R404" s="29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  <c r="AH404" s="44"/>
      <c r="AI404" s="44"/>
      <c r="AJ404" s="44"/>
    </row>
    <row r="405" spans="1:36" s="37" customFormat="1">
      <c r="A405" s="8"/>
      <c r="B405" s="8"/>
      <c r="C405" s="8"/>
      <c r="D405" s="29"/>
      <c r="E405" s="29"/>
      <c r="F405" s="29"/>
      <c r="G405" s="29"/>
      <c r="J405" s="29"/>
      <c r="K405" s="29"/>
      <c r="L405" s="29"/>
      <c r="M405" s="44"/>
      <c r="N405" s="44"/>
      <c r="O405" s="200"/>
      <c r="P405" s="29"/>
      <c r="Q405" s="29"/>
      <c r="R405" s="29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  <c r="AH405" s="44"/>
      <c r="AI405" s="44"/>
      <c r="AJ405" s="44"/>
    </row>
    <row r="406" spans="1:36" s="37" customFormat="1">
      <c r="A406" s="8"/>
      <c r="B406" s="8"/>
      <c r="C406" s="8"/>
      <c r="D406" s="201" t="s">
        <v>130</v>
      </c>
      <c r="E406" s="180">
        <v>12874370675</v>
      </c>
      <c r="F406" s="180">
        <f>SUM(F401:F405)</f>
        <v>145948978</v>
      </c>
      <c r="G406" s="180">
        <f>SUM(G401:G405)</f>
        <v>13020319653</v>
      </c>
      <c r="J406" s="29"/>
      <c r="K406" s="29"/>
      <c r="L406" s="29"/>
      <c r="M406" s="44"/>
      <c r="N406" s="44"/>
      <c r="O406" s="29"/>
      <c r="P406" s="29"/>
      <c r="Q406" s="29"/>
      <c r="R406" s="29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  <c r="AH406" s="44"/>
      <c r="AI406" s="44"/>
      <c r="AJ406" s="44"/>
    </row>
    <row r="407" spans="1:36">
      <c r="A407" s="5"/>
      <c r="D407" s="16"/>
      <c r="E407" s="16"/>
      <c r="F407" s="16"/>
      <c r="G407" s="16"/>
      <c r="J407" s="16"/>
      <c r="K407" s="16"/>
      <c r="L407" s="16"/>
      <c r="M407" s="17"/>
      <c r="N407" s="17"/>
      <c r="O407" s="16"/>
      <c r="P407" s="16"/>
      <c r="Q407" s="16"/>
      <c r="R407" s="16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</row>
    <row r="408" spans="1:36">
      <c r="A408" s="5"/>
      <c r="D408" s="16" t="s">
        <v>247</v>
      </c>
      <c r="E408" s="16"/>
      <c r="F408" s="16"/>
      <c r="G408" s="16"/>
      <c r="J408" s="16"/>
      <c r="K408" s="16"/>
      <c r="L408" s="16"/>
      <c r="M408" s="17"/>
      <c r="N408" s="17"/>
      <c r="O408" s="16"/>
      <c r="P408" s="16"/>
      <c r="Q408" s="16"/>
      <c r="R408" s="16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</row>
    <row r="409" spans="1:36">
      <c r="A409" s="5"/>
      <c r="D409" s="16" t="s">
        <v>243</v>
      </c>
      <c r="E409" s="16">
        <v>2317670491.4499998</v>
      </c>
      <c r="F409" s="16">
        <f>+G409-E409</f>
        <v>369293740</v>
      </c>
      <c r="G409" s="16">
        <f>G1039</f>
        <v>2686964231.4499998</v>
      </c>
      <c r="J409" s="16"/>
      <c r="K409" s="16"/>
      <c r="L409" s="16"/>
      <c r="M409" s="17"/>
      <c r="N409" s="17"/>
      <c r="O409" s="16"/>
      <c r="P409" s="16"/>
      <c r="Q409" s="16"/>
      <c r="R409" s="16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</row>
    <row r="410" spans="1:36">
      <c r="A410" s="5"/>
      <c r="D410" s="16" t="s">
        <v>244</v>
      </c>
      <c r="E410" s="16">
        <v>1908867496.9300001</v>
      </c>
      <c r="F410" s="16">
        <f>+G410-E410</f>
        <v>175513334</v>
      </c>
      <c r="G410" s="16">
        <f>G1046</f>
        <v>2084380830.9300001</v>
      </c>
      <c r="H410" s="161"/>
      <c r="I410" s="137"/>
      <c r="J410" s="16"/>
      <c r="K410" s="16"/>
      <c r="L410" s="16"/>
      <c r="M410" s="17"/>
      <c r="N410" s="17"/>
      <c r="O410" s="16"/>
      <c r="P410" s="16"/>
      <c r="Q410" s="16"/>
      <c r="R410" s="16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</row>
    <row r="411" spans="1:36">
      <c r="A411" s="5"/>
      <c r="D411" s="16" t="s">
        <v>245</v>
      </c>
      <c r="E411" s="16">
        <v>2085663495.1900001</v>
      </c>
      <c r="F411" s="16">
        <f>+G411-E411</f>
        <v>116502524</v>
      </c>
      <c r="G411" s="16">
        <f>G1069</f>
        <v>2202166019.1900001</v>
      </c>
      <c r="J411" s="16"/>
      <c r="K411" s="16"/>
      <c r="L411" s="16"/>
      <c r="M411" s="17"/>
      <c r="N411" s="17"/>
      <c r="O411" s="16"/>
      <c r="P411" s="16"/>
      <c r="Q411" s="16"/>
      <c r="R411" s="16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</row>
    <row r="412" spans="1:36">
      <c r="A412" s="5"/>
      <c r="D412" s="16" t="s">
        <v>246</v>
      </c>
      <c r="E412" s="16">
        <v>10000000</v>
      </c>
      <c r="F412" s="16">
        <f>+G412-E412</f>
        <v>40000000</v>
      </c>
      <c r="G412" s="16">
        <f>G1074</f>
        <v>50000000</v>
      </c>
      <c r="I412" s="137"/>
      <c r="J412" s="16"/>
      <c r="K412" s="16"/>
      <c r="L412" s="16"/>
      <c r="M412" s="17"/>
      <c r="N412" s="17"/>
      <c r="O412" s="16"/>
      <c r="P412" s="16"/>
      <c r="Q412" s="16"/>
      <c r="R412" s="16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</row>
    <row r="413" spans="1:36">
      <c r="A413" s="5"/>
      <c r="D413" s="16"/>
      <c r="E413" s="16"/>
      <c r="F413" s="16"/>
      <c r="G413" s="191"/>
      <c r="J413" s="16"/>
      <c r="K413" s="16"/>
      <c r="L413" s="16"/>
      <c r="M413" s="17"/>
      <c r="N413" s="17"/>
      <c r="O413" s="16"/>
      <c r="P413" s="16"/>
      <c r="Q413" s="16"/>
      <c r="R413" s="16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</row>
    <row r="414" spans="1:36">
      <c r="A414" s="5"/>
      <c r="D414" s="27" t="s">
        <v>130</v>
      </c>
      <c r="E414" s="47">
        <v>6322201483.5699997</v>
      </c>
      <c r="F414" s="47">
        <f>SUM(F409:F413)</f>
        <v>701309598</v>
      </c>
      <c r="G414" s="47">
        <f>SUM(G409:G413)</f>
        <v>7023511081.5699997</v>
      </c>
      <c r="J414" s="16"/>
      <c r="K414" s="16"/>
      <c r="L414" s="16"/>
      <c r="M414" s="17"/>
      <c r="N414" s="17"/>
      <c r="O414" s="16"/>
      <c r="P414" s="16"/>
      <c r="Q414" s="16"/>
      <c r="R414" s="16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</row>
    <row r="415" spans="1:36">
      <c r="A415" s="5"/>
      <c r="D415" s="16"/>
      <c r="E415" s="16"/>
      <c r="F415" s="16"/>
      <c r="G415" s="16"/>
      <c r="J415" s="16"/>
      <c r="K415" s="16"/>
      <c r="L415" s="16"/>
      <c r="M415" s="17"/>
      <c r="N415" s="17"/>
      <c r="O415" s="16"/>
      <c r="P415" s="16"/>
      <c r="Q415" s="16"/>
      <c r="R415" s="16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</row>
    <row r="416" spans="1:36" ht="13.5" thickBot="1">
      <c r="A416" s="5"/>
      <c r="D416" s="72" t="s">
        <v>249</v>
      </c>
      <c r="E416" s="69">
        <v>6552169191.4300003</v>
      </c>
      <c r="F416" s="16"/>
      <c r="G416" s="69">
        <f>+G406-G414</f>
        <v>5996808571.4300003</v>
      </c>
      <c r="J416" s="16"/>
      <c r="K416" s="16"/>
      <c r="L416" s="16"/>
      <c r="M416" s="17"/>
      <c r="N416" s="17"/>
      <c r="O416" s="16"/>
      <c r="P416" s="16"/>
      <c r="Q416" s="16"/>
      <c r="R416" s="16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</row>
    <row r="417" spans="1:36" ht="13.5" thickTop="1">
      <c r="A417" s="5"/>
      <c r="D417" s="16"/>
      <c r="E417" s="16"/>
      <c r="F417" s="16"/>
      <c r="G417" s="16"/>
      <c r="H417" s="29"/>
      <c r="J417" s="16"/>
      <c r="K417" s="16"/>
      <c r="L417" s="16"/>
      <c r="M417" s="17"/>
      <c r="N417" s="17"/>
      <c r="O417" s="16"/>
      <c r="P417" s="16"/>
      <c r="Q417" s="16"/>
      <c r="R417" s="16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</row>
    <row r="418" spans="1:36">
      <c r="A418" s="5"/>
      <c r="D418" s="16"/>
      <c r="E418" s="16"/>
      <c r="F418" s="16"/>
      <c r="G418" s="16"/>
      <c r="H418" s="29"/>
      <c r="J418" s="16"/>
      <c r="K418" s="16"/>
      <c r="L418" s="16"/>
      <c r="M418" s="17"/>
      <c r="N418" s="17"/>
      <c r="O418" s="16"/>
      <c r="P418" s="16"/>
      <c r="Q418" s="16"/>
      <c r="R418" s="16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</row>
    <row r="419" spans="1:36" ht="15">
      <c r="A419" s="158" t="s">
        <v>251</v>
      </c>
      <c r="B419" s="147"/>
      <c r="C419" s="147"/>
      <c r="D419" s="148" t="s">
        <v>252</v>
      </c>
      <c r="E419" s="16"/>
      <c r="F419" s="16"/>
      <c r="G419" s="16"/>
      <c r="H419" s="29"/>
      <c r="J419" s="16"/>
      <c r="K419" s="16"/>
      <c r="L419" s="16"/>
      <c r="M419" s="17"/>
      <c r="N419" s="17"/>
      <c r="O419" s="16"/>
      <c r="P419" s="16"/>
      <c r="Q419" s="16"/>
      <c r="R419" s="16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</row>
    <row r="420" spans="1:36">
      <c r="A420" s="5"/>
      <c r="D420" s="16"/>
      <c r="E420" s="182" t="s">
        <v>239</v>
      </c>
      <c r="F420" s="182" t="s">
        <v>240</v>
      </c>
      <c r="G420" s="182" t="s">
        <v>239</v>
      </c>
      <c r="H420" s="29"/>
      <c r="J420" s="16"/>
      <c r="K420" s="16"/>
      <c r="L420" s="16"/>
      <c r="M420" s="17"/>
      <c r="N420" s="17"/>
      <c r="O420" s="16"/>
      <c r="P420" s="16"/>
      <c r="Q420" s="16"/>
      <c r="R420" s="16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</row>
    <row r="421" spans="1:36">
      <c r="A421" s="5"/>
      <c r="D421" s="16"/>
      <c r="E421" s="184" t="s">
        <v>241</v>
      </c>
      <c r="F421" s="185"/>
      <c r="G421" s="202" t="str">
        <f>G356</f>
        <v>30 April 2017</v>
      </c>
      <c r="H421" s="29"/>
      <c r="I421" s="29"/>
      <c r="J421" s="16"/>
      <c r="K421" s="16"/>
      <c r="L421" s="16"/>
      <c r="M421" s="17"/>
      <c r="N421" s="17"/>
      <c r="O421" s="16"/>
      <c r="P421" s="16"/>
      <c r="Q421" s="16"/>
      <c r="R421" s="16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</row>
    <row r="422" spans="1:36">
      <c r="A422" s="5"/>
      <c r="D422" s="16" t="s">
        <v>242</v>
      </c>
      <c r="E422" s="16"/>
      <c r="F422" s="16"/>
      <c r="G422" s="16"/>
      <c r="H422" s="29"/>
      <c r="I422" s="29"/>
      <c r="J422" s="16"/>
      <c r="K422" s="16"/>
      <c r="L422" s="16"/>
      <c r="M422" s="17"/>
      <c r="N422" s="17"/>
      <c r="O422" s="16"/>
      <c r="P422" s="16"/>
      <c r="Q422" s="16"/>
      <c r="R422" s="16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</row>
    <row r="423" spans="1:36">
      <c r="A423" s="5"/>
      <c r="D423" s="144" t="s">
        <v>253</v>
      </c>
      <c r="E423" s="16">
        <v>909338500</v>
      </c>
      <c r="F423" s="16">
        <f>F438</f>
        <v>0</v>
      </c>
      <c r="G423" s="16">
        <f>E423+F423</f>
        <v>909338500</v>
      </c>
      <c r="H423" s="29"/>
      <c r="I423" s="29"/>
      <c r="J423" s="16"/>
      <c r="K423" s="16"/>
      <c r="L423" s="16"/>
      <c r="M423" s="17"/>
      <c r="N423" s="17"/>
      <c r="O423" s="16"/>
      <c r="P423" s="16"/>
      <c r="Q423" s="16"/>
      <c r="R423" s="16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</row>
    <row r="424" spans="1:36">
      <c r="A424" s="5"/>
      <c r="D424" s="16"/>
      <c r="E424" s="16"/>
      <c r="F424" s="16"/>
      <c r="G424" s="16"/>
      <c r="H424" s="29"/>
      <c r="I424" s="29"/>
      <c r="J424" s="16"/>
      <c r="K424" s="16"/>
      <c r="L424" s="16"/>
      <c r="M424" s="17"/>
      <c r="N424" s="17"/>
      <c r="O424" s="16"/>
      <c r="P424" s="16"/>
      <c r="Q424" s="16"/>
      <c r="R424" s="16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</row>
    <row r="425" spans="1:36">
      <c r="A425" s="5"/>
      <c r="D425" s="27" t="s">
        <v>130</v>
      </c>
      <c r="E425" s="47">
        <f>SUM(E423:E423)</f>
        <v>909338500</v>
      </c>
      <c r="F425" s="47">
        <f>SUM(F423:F423)</f>
        <v>0</v>
      </c>
      <c r="G425" s="47">
        <f>SUM(G423:G423)</f>
        <v>909338500</v>
      </c>
      <c r="H425" s="29"/>
      <c r="I425" s="29"/>
      <c r="J425" s="16"/>
      <c r="K425" s="16"/>
      <c r="L425" s="16"/>
      <c r="M425" s="17"/>
      <c r="N425" s="17"/>
      <c r="O425" s="16"/>
      <c r="P425" s="16"/>
      <c r="Q425" s="16"/>
      <c r="R425" s="16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</row>
    <row r="426" spans="1:36">
      <c r="A426" s="5"/>
      <c r="D426" s="16"/>
      <c r="E426" s="16"/>
      <c r="F426" s="16"/>
      <c r="G426" s="16"/>
      <c r="H426" s="29"/>
      <c r="I426" s="29"/>
      <c r="J426" s="16"/>
      <c r="K426" s="16"/>
      <c r="L426" s="16"/>
      <c r="M426" s="17"/>
      <c r="N426" s="17"/>
      <c r="O426" s="16"/>
      <c r="P426" s="16"/>
      <c r="Q426" s="16"/>
      <c r="R426" s="16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</row>
    <row r="427" spans="1:36">
      <c r="A427" s="5"/>
      <c r="D427" s="16" t="s">
        <v>75</v>
      </c>
      <c r="E427" s="16"/>
      <c r="F427" s="16"/>
      <c r="G427" s="16"/>
      <c r="H427" s="29"/>
      <c r="I427" s="29"/>
      <c r="J427" s="16"/>
      <c r="K427" s="16"/>
      <c r="L427" s="16"/>
      <c r="M427" s="17"/>
      <c r="N427" s="17"/>
      <c r="O427" s="16"/>
      <c r="P427" s="16"/>
      <c r="Q427" s="16"/>
      <c r="R427" s="16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</row>
    <row r="428" spans="1:36">
      <c r="A428" s="5"/>
      <c r="B428" s="54" t="s">
        <v>254</v>
      </c>
      <c r="D428" s="144" t="s">
        <v>253</v>
      </c>
      <c r="E428" s="55">
        <v>481181169.66999996</v>
      </c>
      <c r="F428" s="55">
        <f>+G428-E428</f>
        <v>60622568.060000062</v>
      </c>
      <c r="G428" s="55">
        <v>541803737.73000002</v>
      </c>
      <c r="H428" s="29"/>
      <c r="I428" s="29"/>
      <c r="J428" s="61"/>
      <c r="K428" s="16"/>
      <c r="L428" s="16"/>
      <c r="M428" s="17"/>
      <c r="N428" s="17"/>
      <c r="O428" s="16"/>
      <c r="P428" s="16"/>
      <c r="Q428" s="16"/>
      <c r="R428" s="16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</row>
    <row r="429" spans="1:36">
      <c r="A429" s="5"/>
      <c r="D429" s="16"/>
      <c r="E429" s="16"/>
      <c r="F429" s="16"/>
      <c r="G429" s="191"/>
      <c r="H429" s="29"/>
      <c r="I429" s="29"/>
      <c r="J429" s="16"/>
      <c r="K429" s="16"/>
      <c r="L429" s="16"/>
      <c r="M429" s="17"/>
      <c r="N429" s="17"/>
      <c r="O429" s="16"/>
      <c r="P429" s="16"/>
      <c r="Q429" s="16"/>
      <c r="R429" s="16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</row>
    <row r="430" spans="1:36">
      <c r="A430" s="5"/>
      <c r="D430" s="27" t="s">
        <v>130</v>
      </c>
      <c r="E430" s="47">
        <f>SUM(E428:E428)</f>
        <v>481181169.66999996</v>
      </c>
      <c r="F430" s="47">
        <f>F428</f>
        <v>60622568.060000062</v>
      </c>
      <c r="G430" s="47">
        <f>G428</f>
        <v>541803737.73000002</v>
      </c>
      <c r="H430" s="29"/>
      <c r="I430" s="29"/>
      <c r="J430" s="16"/>
      <c r="K430" s="16"/>
      <c r="L430" s="16"/>
      <c r="M430" s="17"/>
      <c r="N430" s="17"/>
      <c r="O430" s="16"/>
      <c r="P430" s="16"/>
      <c r="Q430" s="16"/>
      <c r="R430" s="16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</row>
    <row r="431" spans="1:36">
      <c r="A431" s="5"/>
      <c r="D431" s="16"/>
      <c r="E431" s="16"/>
      <c r="F431" s="16"/>
      <c r="G431" s="16"/>
      <c r="H431" s="29"/>
      <c r="I431" s="29"/>
      <c r="J431" s="16"/>
      <c r="K431" s="16"/>
      <c r="L431" s="16"/>
      <c r="M431" s="17"/>
      <c r="N431" s="17"/>
      <c r="O431" s="16"/>
      <c r="P431" s="16"/>
      <c r="Q431" s="16"/>
      <c r="R431" s="16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</row>
    <row r="432" spans="1:36" ht="13.5" thickBot="1">
      <c r="A432" s="5"/>
      <c r="D432" s="72" t="s">
        <v>249</v>
      </c>
      <c r="E432" s="69">
        <f>+E425-E430</f>
        <v>428157330.33000004</v>
      </c>
      <c r="F432" s="16"/>
      <c r="G432" s="69">
        <f>+G425-G430</f>
        <v>367534762.26999998</v>
      </c>
      <c r="H432" s="29"/>
      <c r="I432" s="29"/>
      <c r="J432" s="16"/>
      <c r="K432" s="16"/>
      <c r="L432" s="16"/>
      <c r="M432" s="17"/>
      <c r="N432" s="17"/>
      <c r="O432" s="16"/>
      <c r="P432" s="16"/>
      <c r="Q432" s="16"/>
      <c r="R432" s="16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</row>
    <row r="433" spans="1:36" ht="13.5" thickTop="1">
      <c r="A433" s="5"/>
      <c r="D433" s="16"/>
      <c r="E433" s="16"/>
      <c r="F433" s="16"/>
      <c r="G433" s="16"/>
      <c r="H433" s="29"/>
      <c r="I433" s="29"/>
      <c r="J433" s="16"/>
      <c r="K433" s="16"/>
      <c r="L433" s="16"/>
      <c r="M433" s="17"/>
      <c r="N433" s="17"/>
      <c r="O433" s="16"/>
      <c r="P433" s="16"/>
      <c r="Q433" s="16"/>
      <c r="R433" s="16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</row>
    <row r="434" spans="1:36">
      <c r="A434" s="5"/>
      <c r="D434" s="16"/>
      <c r="E434" s="16"/>
      <c r="F434" s="16"/>
      <c r="G434" s="16"/>
      <c r="H434" s="29"/>
      <c r="I434" s="29"/>
      <c r="J434" s="16"/>
      <c r="K434" s="16"/>
      <c r="L434" s="16"/>
      <c r="M434" s="17"/>
      <c r="N434" s="17"/>
      <c r="O434" s="16"/>
      <c r="P434" s="16"/>
      <c r="Q434" s="16"/>
      <c r="R434" s="16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</row>
    <row r="435" spans="1:36">
      <c r="A435" s="5"/>
      <c r="D435" s="203"/>
      <c r="E435" s="204" t="s">
        <v>239</v>
      </c>
      <c r="F435" s="204" t="s">
        <v>240</v>
      </c>
      <c r="G435" s="204" t="s">
        <v>239</v>
      </c>
      <c r="H435" s="29"/>
      <c r="J435" s="16"/>
      <c r="K435" s="16"/>
      <c r="L435" s="16"/>
      <c r="M435" s="17"/>
      <c r="N435" s="17"/>
      <c r="O435" s="16"/>
      <c r="P435" s="16"/>
      <c r="Q435" s="16"/>
      <c r="R435" s="16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</row>
    <row r="436" spans="1:36">
      <c r="A436" s="5"/>
      <c r="D436" s="203"/>
      <c r="E436" s="205" t="s">
        <v>241</v>
      </c>
      <c r="F436" s="206"/>
      <c r="G436" s="207" t="str">
        <f>F166</f>
        <v>31 Maret 2017</v>
      </c>
      <c r="H436" s="29"/>
      <c r="I436" s="29"/>
      <c r="J436" s="16"/>
      <c r="K436" s="16"/>
      <c r="L436" s="16"/>
      <c r="M436" s="17"/>
      <c r="N436" s="17"/>
      <c r="O436" s="16"/>
      <c r="P436" s="16"/>
      <c r="Q436" s="16"/>
      <c r="R436" s="16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</row>
    <row r="437" spans="1:36">
      <c r="A437" s="5"/>
      <c r="D437" s="203" t="s">
        <v>242</v>
      </c>
      <c r="E437" s="203"/>
      <c r="F437" s="203"/>
      <c r="G437" s="203"/>
      <c r="H437" s="29"/>
      <c r="I437" s="29"/>
      <c r="J437" s="16"/>
      <c r="K437" s="16"/>
      <c r="L437" s="16"/>
      <c r="M437" s="17"/>
      <c r="N437" s="17"/>
      <c r="O437" s="16"/>
      <c r="P437" s="16"/>
      <c r="Q437" s="16"/>
      <c r="R437" s="16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</row>
    <row r="438" spans="1:36">
      <c r="A438" s="5"/>
      <c r="D438" s="208" t="s">
        <v>253</v>
      </c>
      <c r="E438" s="203">
        <v>909338500</v>
      </c>
      <c r="F438" s="203">
        <v>0</v>
      </c>
      <c r="G438" s="203">
        <v>909338500</v>
      </c>
      <c r="H438" s="29"/>
      <c r="I438" s="29"/>
      <c r="J438" s="16"/>
      <c r="K438" s="16"/>
      <c r="L438" s="16"/>
      <c r="M438" s="17"/>
      <c r="N438" s="17"/>
      <c r="O438" s="16"/>
      <c r="P438" s="16"/>
      <c r="Q438" s="16"/>
      <c r="R438" s="16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</row>
    <row r="439" spans="1:36">
      <c r="A439" s="5"/>
      <c r="D439" s="203"/>
      <c r="E439" s="203"/>
      <c r="F439" s="203"/>
      <c r="G439" s="203"/>
      <c r="H439" s="29"/>
      <c r="I439" s="29"/>
      <c r="J439" s="16"/>
      <c r="K439" s="16"/>
      <c r="L439" s="16"/>
      <c r="M439" s="17"/>
      <c r="N439" s="17"/>
      <c r="O439" s="16"/>
      <c r="P439" s="16"/>
      <c r="Q439" s="16"/>
      <c r="R439" s="16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</row>
    <row r="440" spans="1:36">
      <c r="A440" s="5"/>
      <c r="D440" s="209" t="s">
        <v>130</v>
      </c>
      <c r="E440" s="210">
        <f>E438</f>
        <v>909338500</v>
      </c>
      <c r="F440" s="210">
        <f>SUM(F438:F438)</f>
        <v>0</v>
      </c>
      <c r="G440" s="210">
        <f>G438</f>
        <v>909338500</v>
      </c>
      <c r="H440" s="29"/>
      <c r="I440" s="29"/>
      <c r="J440" s="16"/>
      <c r="K440" s="16"/>
      <c r="L440" s="16"/>
      <c r="M440" s="17"/>
      <c r="N440" s="17"/>
      <c r="O440" s="16"/>
      <c r="P440" s="16"/>
      <c r="Q440" s="16"/>
      <c r="R440" s="16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</row>
    <row r="441" spans="1:36">
      <c r="A441" s="5"/>
      <c r="D441" s="203"/>
      <c r="E441" s="203"/>
      <c r="F441" s="203"/>
      <c r="G441" s="203"/>
      <c r="H441" s="29"/>
      <c r="I441" s="29"/>
      <c r="J441" s="16"/>
      <c r="K441" s="16"/>
      <c r="L441" s="16"/>
      <c r="M441" s="17"/>
      <c r="N441" s="17"/>
      <c r="O441" s="16"/>
      <c r="P441" s="16"/>
      <c r="Q441" s="16"/>
      <c r="R441" s="16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</row>
    <row r="442" spans="1:36">
      <c r="A442" s="5"/>
      <c r="D442" s="203" t="s">
        <v>75</v>
      </c>
      <c r="E442" s="203"/>
      <c r="F442" s="203"/>
      <c r="G442" s="203"/>
      <c r="H442" s="29"/>
      <c r="I442" s="29"/>
      <c r="J442" s="16"/>
      <c r="K442" s="16"/>
      <c r="L442" s="16"/>
      <c r="M442" s="17"/>
      <c r="N442" s="17"/>
      <c r="O442" s="16"/>
      <c r="P442" s="16"/>
      <c r="Q442" s="16"/>
      <c r="R442" s="16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</row>
    <row r="443" spans="1:36">
      <c r="A443" s="5"/>
      <c r="D443" s="208" t="s">
        <v>253</v>
      </c>
      <c r="E443" s="203">
        <v>481181169.66999996</v>
      </c>
      <c r="F443" s="203">
        <f>G443-E443</f>
        <v>45466926.060000062</v>
      </c>
      <c r="G443" s="203">
        <v>526648095.73000002</v>
      </c>
      <c r="H443" s="29"/>
      <c r="I443" s="29"/>
      <c r="J443" s="16"/>
      <c r="K443" s="16"/>
      <c r="L443" s="16"/>
      <c r="M443" s="17"/>
      <c r="N443" s="17"/>
      <c r="O443" s="16"/>
      <c r="P443" s="16"/>
      <c r="Q443" s="16"/>
      <c r="R443" s="16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</row>
    <row r="444" spans="1:36">
      <c r="A444" s="5"/>
      <c r="D444" s="203"/>
      <c r="E444" s="203"/>
      <c r="F444" s="203"/>
      <c r="G444" s="211"/>
      <c r="H444" s="29"/>
      <c r="I444" s="29"/>
      <c r="J444" s="16"/>
      <c r="K444" s="16"/>
      <c r="L444" s="16"/>
      <c r="M444" s="17"/>
      <c r="N444" s="17"/>
      <c r="O444" s="16"/>
      <c r="P444" s="16"/>
      <c r="Q444" s="16"/>
      <c r="R444" s="16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</row>
    <row r="445" spans="1:36">
      <c r="A445" s="5"/>
      <c r="D445" s="209" t="s">
        <v>130</v>
      </c>
      <c r="E445" s="210">
        <f>E443</f>
        <v>481181169.66999996</v>
      </c>
      <c r="F445" s="210">
        <f>SUM(F443:F443)</f>
        <v>45466926.060000062</v>
      </c>
      <c r="G445" s="210">
        <f>SUM(G443:G443)</f>
        <v>526648095.73000002</v>
      </c>
      <c r="H445" s="29"/>
      <c r="I445" s="29"/>
      <c r="J445" s="16"/>
      <c r="K445" s="16"/>
      <c r="L445" s="16"/>
      <c r="M445" s="17"/>
      <c r="N445" s="17"/>
      <c r="O445" s="16"/>
      <c r="P445" s="16"/>
      <c r="Q445" s="16"/>
      <c r="R445" s="16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</row>
    <row r="446" spans="1:36">
      <c r="A446" s="5"/>
      <c r="D446" s="203"/>
      <c r="E446" s="203"/>
      <c r="F446" s="203"/>
      <c r="G446" s="203"/>
      <c r="H446" s="29"/>
      <c r="I446" s="29"/>
      <c r="J446" s="16"/>
      <c r="K446" s="16"/>
      <c r="L446" s="16"/>
      <c r="M446" s="17"/>
      <c r="N446" s="17"/>
      <c r="O446" s="16"/>
      <c r="P446" s="16"/>
      <c r="Q446" s="16"/>
      <c r="R446" s="16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</row>
    <row r="447" spans="1:36" ht="13.5" thickBot="1">
      <c r="A447" s="5"/>
      <c r="D447" s="212" t="s">
        <v>249</v>
      </c>
      <c r="E447" s="213">
        <f>E440-E445</f>
        <v>428157330.33000004</v>
      </c>
      <c r="F447" s="203"/>
      <c r="G447" s="213">
        <f>G440-G445</f>
        <v>382690404.26999998</v>
      </c>
      <c r="H447" s="29"/>
      <c r="I447" s="29"/>
      <c r="J447" s="16"/>
      <c r="K447" s="16"/>
      <c r="L447" s="16"/>
      <c r="M447" s="17"/>
      <c r="N447" s="17"/>
      <c r="O447" s="16"/>
      <c r="P447" s="16"/>
      <c r="Q447" s="16"/>
      <c r="R447" s="16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</row>
    <row r="448" spans="1:36" ht="13.5" thickTop="1">
      <c r="A448" s="5"/>
      <c r="D448" s="16"/>
      <c r="E448" s="16"/>
      <c r="F448" s="16"/>
      <c r="G448" s="16"/>
      <c r="H448" s="29"/>
      <c r="I448" s="29"/>
      <c r="J448" s="16"/>
      <c r="K448" s="16"/>
      <c r="L448" s="16"/>
      <c r="M448" s="17"/>
      <c r="N448" s="17"/>
      <c r="O448" s="16"/>
      <c r="P448" s="16"/>
      <c r="Q448" s="16"/>
      <c r="R448" s="16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</row>
    <row r="449" spans="1:37">
      <c r="A449" s="5"/>
      <c r="D449" s="16"/>
      <c r="E449" s="16"/>
      <c r="F449" s="16"/>
      <c r="G449" s="16"/>
      <c r="H449" s="29"/>
      <c r="I449" s="29"/>
      <c r="J449" s="16"/>
      <c r="K449" s="16"/>
      <c r="L449" s="16"/>
      <c r="M449" s="17"/>
      <c r="N449" s="17"/>
      <c r="O449" s="16"/>
      <c r="P449" s="16"/>
      <c r="Q449" s="16"/>
      <c r="R449" s="16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</row>
    <row r="450" spans="1:37">
      <c r="A450" s="5"/>
      <c r="D450" s="16"/>
      <c r="E450" s="182" t="s">
        <v>239</v>
      </c>
      <c r="F450" s="214" t="s">
        <v>240</v>
      </c>
      <c r="G450" s="182" t="s">
        <v>239</v>
      </c>
      <c r="H450" s="29"/>
      <c r="I450" s="29"/>
      <c r="J450" s="16"/>
      <c r="K450" s="16"/>
      <c r="L450" s="16"/>
      <c r="M450" s="17"/>
      <c r="N450" s="17"/>
      <c r="O450" s="16"/>
      <c r="P450" s="16"/>
      <c r="Q450" s="16"/>
      <c r="R450" s="16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</row>
    <row r="451" spans="1:37">
      <c r="A451" s="5"/>
      <c r="D451" s="16"/>
      <c r="E451" s="184" t="s">
        <v>250</v>
      </c>
      <c r="F451" s="28"/>
      <c r="G451" s="202" t="str">
        <f>G399</f>
        <v>30 April 2016</v>
      </c>
      <c r="H451" s="29"/>
      <c r="I451" s="29"/>
      <c r="J451" s="16"/>
      <c r="K451" s="16"/>
      <c r="L451" s="16"/>
      <c r="M451" s="17"/>
      <c r="N451" s="17"/>
      <c r="O451" s="16"/>
      <c r="P451" s="16"/>
      <c r="Q451" s="16"/>
      <c r="R451" s="16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</row>
    <row r="452" spans="1:37">
      <c r="A452" s="5"/>
      <c r="D452" s="16" t="s">
        <v>242</v>
      </c>
      <c r="E452" s="16"/>
      <c r="F452" s="16"/>
      <c r="G452" s="16"/>
      <c r="H452" s="29"/>
      <c r="I452" s="29"/>
      <c r="J452" s="16"/>
      <c r="K452" s="16"/>
      <c r="L452" s="16"/>
      <c r="M452" s="17"/>
      <c r="N452" s="17"/>
      <c r="O452" s="16"/>
      <c r="P452" s="16"/>
      <c r="Q452" s="16"/>
      <c r="R452" s="16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</row>
    <row r="453" spans="1:37">
      <c r="A453" s="5"/>
      <c r="D453" s="144" t="s">
        <v>253</v>
      </c>
      <c r="E453" s="16">
        <v>489250000</v>
      </c>
      <c r="F453" s="16">
        <v>0</v>
      </c>
      <c r="G453" s="16">
        <v>489250000</v>
      </c>
      <c r="H453" s="29"/>
      <c r="I453" s="29"/>
      <c r="J453" s="16"/>
      <c r="K453" s="16"/>
      <c r="L453" s="16"/>
      <c r="M453" s="17"/>
      <c r="N453" s="17"/>
      <c r="O453" s="16"/>
      <c r="P453" s="16"/>
      <c r="Q453" s="16"/>
      <c r="R453" s="16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</row>
    <row r="454" spans="1:37">
      <c r="A454" s="5"/>
      <c r="D454" s="16"/>
      <c r="E454" s="16"/>
      <c r="F454" s="16"/>
      <c r="G454" s="16"/>
      <c r="H454" s="29"/>
      <c r="I454" s="29"/>
      <c r="J454" s="16"/>
      <c r="K454" s="16"/>
      <c r="L454" s="16"/>
      <c r="M454" s="17"/>
      <c r="N454" s="17"/>
      <c r="O454" s="16"/>
      <c r="P454" s="16"/>
      <c r="Q454" s="16"/>
      <c r="R454" s="16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</row>
    <row r="455" spans="1:37">
      <c r="A455" s="5"/>
      <c r="D455" s="27" t="s">
        <v>130</v>
      </c>
      <c r="E455" s="47">
        <f>E453</f>
        <v>489250000</v>
      </c>
      <c r="F455" s="47">
        <f>SUM(F453:F453)</f>
        <v>0</v>
      </c>
      <c r="G455" s="47">
        <f>SUM(G453:G453)</f>
        <v>489250000</v>
      </c>
      <c r="H455" s="29"/>
      <c r="I455" s="29"/>
      <c r="J455" s="16"/>
      <c r="K455" s="16"/>
      <c r="L455" s="16"/>
      <c r="M455" s="17"/>
      <c r="N455" s="17"/>
      <c r="O455" s="16"/>
      <c r="P455" s="16"/>
      <c r="Q455" s="16"/>
      <c r="R455" s="16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</row>
    <row r="456" spans="1:37">
      <c r="A456" s="5"/>
      <c r="D456" s="16"/>
      <c r="E456" s="16"/>
      <c r="F456" s="16"/>
      <c r="G456" s="16"/>
      <c r="H456" s="29"/>
      <c r="I456" s="29"/>
      <c r="J456" s="16"/>
      <c r="K456" s="16"/>
      <c r="L456" s="16"/>
      <c r="M456" s="17"/>
      <c r="N456" s="17"/>
      <c r="O456" s="16"/>
      <c r="P456" s="16"/>
      <c r="Q456" s="16"/>
      <c r="R456" s="16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</row>
    <row r="457" spans="1:37">
      <c r="A457" s="5"/>
      <c r="D457" s="16" t="s">
        <v>247</v>
      </c>
      <c r="E457" s="16"/>
      <c r="F457" s="16"/>
      <c r="G457" s="16"/>
      <c r="H457" s="29"/>
      <c r="I457" s="29"/>
      <c r="J457" s="16"/>
      <c r="K457" s="16"/>
      <c r="L457" s="16"/>
      <c r="M457" s="17"/>
      <c r="N457" s="17"/>
      <c r="O457" s="16"/>
      <c r="P457" s="16"/>
      <c r="Q457" s="16"/>
      <c r="R457" s="16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</row>
    <row r="458" spans="1:37">
      <c r="A458" s="5"/>
      <c r="D458" s="144" t="s">
        <v>253</v>
      </c>
      <c r="E458" s="36">
        <v>334320841</v>
      </c>
      <c r="F458" s="16">
        <v>32616668</v>
      </c>
      <c r="G458" s="36">
        <v>366937509</v>
      </c>
      <c r="H458" s="29"/>
      <c r="I458" s="29"/>
      <c r="J458" s="16"/>
      <c r="K458" s="16"/>
      <c r="L458" s="16"/>
      <c r="M458" s="17"/>
      <c r="N458" s="17"/>
      <c r="O458" s="16"/>
      <c r="P458" s="16"/>
      <c r="Q458" s="16"/>
      <c r="R458" s="16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</row>
    <row r="459" spans="1:37">
      <c r="A459" s="5"/>
      <c r="D459" s="16"/>
      <c r="E459" s="191"/>
      <c r="F459" s="16"/>
      <c r="G459" s="191"/>
      <c r="H459" s="29"/>
      <c r="I459" s="29"/>
      <c r="J459" s="16"/>
      <c r="K459" s="16"/>
      <c r="L459" s="16"/>
      <c r="M459" s="17"/>
      <c r="N459" s="17"/>
      <c r="O459" s="16"/>
      <c r="P459" s="16"/>
      <c r="Q459" s="16"/>
      <c r="R459" s="16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</row>
    <row r="460" spans="1:37">
      <c r="A460" s="5"/>
      <c r="D460" s="27" t="s">
        <v>130</v>
      </c>
      <c r="E460" s="47">
        <f>E458</f>
        <v>334320841</v>
      </c>
      <c r="F460" s="47">
        <f>SUM(F458:F458)</f>
        <v>32616668</v>
      </c>
      <c r="G460" s="47">
        <f>SUM(G458:G458)</f>
        <v>366937509</v>
      </c>
      <c r="H460" s="29"/>
      <c r="I460" s="29"/>
      <c r="J460" s="16"/>
      <c r="K460" s="16"/>
      <c r="L460" s="16"/>
      <c r="M460" s="17"/>
      <c r="N460" s="17"/>
      <c r="O460" s="16"/>
      <c r="P460" s="16"/>
      <c r="Q460" s="16"/>
      <c r="R460" s="16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</row>
    <row r="461" spans="1:37">
      <c r="A461" s="5"/>
      <c r="D461" s="16"/>
      <c r="E461" s="16"/>
      <c r="F461" s="16"/>
      <c r="G461" s="16"/>
      <c r="H461" s="29"/>
      <c r="I461" s="29"/>
      <c r="J461" s="16"/>
      <c r="K461" s="16"/>
      <c r="L461" s="16"/>
      <c r="M461" s="17"/>
      <c r="N461" s="17"/>
      <c r="O461" s="16"/>
      <c r="P461" s="16"/>
      <c r="Q461" s="16"/>
      <c r="R461" s="16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</row>
    <row r="462" spans="1:37" ht="13.5" thickBot="1">
      <c r="A462" s="5"/>
      <c r="D462" s="72" t="s">
        <v>249</v>
      </c>
      <c r="E462" s="69">
        <f>E455-E460</f>
        <v>154929159</v>
      </c>
      <c r="F462" s="16"/>
      <c r="G462" s="69">
        <f>+G455-G460</f>
        <v>122312491</v>
      </c>
      <c r="H462" s="29"/>
      <c r="I462" s="29"/>
      <c r="J462" s="16"/>
      <c r="K462" s="16"/>
      <c r="L462" s="16"/>
      <c r="M462" s="17"/>
      <c r="N462" s="17"/>
      <c r="O462" s="16"/>
      <c r="P462" s="16"/>
      <c r="Q462" s="16"/>
      <c r="R462" s="16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</row>
    <row r="463" spans="1:37" ht="13.5" thickTop="1">
      <c r="A463" s="215"/>
      <c r="B463" s="215"/>
      <c r="C463" s="215"/>
      <c r="D463" s="144"/>
      <c r="E463" s="49"/>
      <c r="F463" s="16"/>
      <c r="G463" s="16"/>
      <c r="H463" s="29"/>
      <c r="I463" s="29"/>
      <c r="J463" s="16"/>
      <c r="K463" s="16"/>
      <c r="L463" s="16"/>
      <c r="M463" s="17"/>
      <c r="N463" s="17"/>
      <c r="O463" s="16"/>
      <c r="P463" s="16"/>
      <c r="Q463" s="16"/>
      <c r="R463" s="16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</row>
    <row r="464" spans="1:37">
      <c r="A464" s="5"/>
      <c r="D464" s="16"/>
      <c r="J464" s="16"/>
      <c r="K464" s="16"/>
      <c r="L464" s="16"/>
      <c r="M464" s="17"/>
      <c r="N464" s="17"/>
      <c r="O464" s="16"/>
      <c r="P464" s="16"/>
      <c r="Q464" s="16"/>
      <c r="R464" s="16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</row>
    <row r="465" spans="1:37" ht="15">
      <c r="A465" s="158" t="s">
        <v>255</v>
      </c>
      <c r="B465" s="147"/>
      <c r="C465" s="147"/>
      <c r="D465" s="148" t="s">
        <v>256</v>
      </c>
      <c r="E465" s="20" t="str">
        <f>E55</f>
        <v>30 April 2017</v>
      </c>
      <c r="F465" s="20" t="str">
        <f>F55</f>
        <v>31 Maret 2017</v>
      </c>
      <c r="G465" s="20" t="str">
        <f>G55</f>
        <v>30 April 2016</v>
      </c>
      <c r="H465" s="149" t="s">
        <v>56</v>
      </c>
      <c r="I465" s="149" t="s">
        <v>9</v>
      </c>
      <c r="J465" s="16"/>
      <c r="K465" s="16"/>
      <c r="L465" s="16"/>
      <c r="M465" s="17"/>
      <c r="N465" s="17"/>
      <c r="O465" s="16"/>
      <c r="P465" s="16"/>
      <c r="Q465" s="16"/>
      <c r="R465" s="16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</row>
    <row r="466" spans="1:37">
      <c r="A466" s="5"/>
      <c r="D466" s="16"/>
      <c r="E466" s="16"/>
      <c r="F466" s="16"/>
      <c r="G466" s="16"/>
      <c r="J466" s="16"/>
      <c r="K466" s="16"/>
      <c r="L466" s="16"/>
      <c r="M466" s="17"/>
      <c r="N466" s="17"/>
      <c r="O466" s="16"/>
      <c r="P466" s="16"/>
      <c r="Q466" s="16"/>
      <c r="R466" s="16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</row>
    <row r="467" spans="1:37">
      <c r="A467" s="5"/>
      <c r="D467" s="16" t="s">
        <v>257</v>
      </c>
      <c r="F467" s="16">
        <v>0</v>
      </c>
      <c r="G467" s="16">
        <v>3600000</v>
      </c>
      <c r="H467" s="150">
        <f t="shared" ref="H467:H487" si="12">+F467-G467</f>
        <v>-3600000</v>
      </c>
      <c r="I467" s="151">
        <f>+H467/G467</f>
        <v>-1</v>
      </c>
      <c r="J467" s="16"/>
      <c r="L467" s="16"/>
      <c r="M467" s="17"/>
      <c r="N467" s="17"/>
      <c r="O467" s="16"/>
      <c r="P467" s="16"/>
      <c r="Q467" s="16"/>
      <c r="R467" s="16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</row>
    <row r="468" spans="1:37">
      <c r="A468" s="5"/>
      <c r="B468" s="54" t="s">
        <v>258</v>
      </c>
      <c r="D468" s="16" t="s">
        <v>259</v>
      </c>
      <c r="E468" s="66">
        <v>6000000</v>
      </c>
      <c r="F468" s="16">
        <v>6000000</v>
      </c>
      <c r="G468" s="16">
        <v>6000000</v>
      </c>
      <c r="H468" s="150">
        <f t="shared" si="12"/>
        <v>0</v>
      </c>
      <c r="I468" s="151">
        <f>+H468/G468</f>
        <v>0</v>
      </c>
      <c r="J468" s="16"/>
      <c r="K468" s="61"/>
      <c r="L468" s="16"/>
      <c r="M468" s="17"/>
      <c r="N468" s="17"/>
      <c r="O468" s="16"/>
      <c r="P468" s="16"/>
      <c r="Q468" s="16"/>
      <c r="R468" s="16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</row>
    <row r="469" spans="1:37">
      <c r="A469" s="5"/>
      <c r="D469" s="16" t="s">
        <v>260</v>
      </c>
      <c r="F469" s="16">
        <v>0</v>
      </c>
      <c r="G469" s="16">
        <v>0</v>
      </c>
      <c r="H469" s="150">
        <f t="shared" si="12"/>
        <v>0</v>
      </c>
      <c r="I469" s="151">
        <v>0</v>
      </c>
      <c r="J469" s="16"/>
      <c r="L469" s="16"/>
      <c r="M469" s="16"/>
      <c r="N469" s="16"/>
      <c r="O469" s="16"/>
      <c r="P469" s="16"/>
      <c r="Q469" s="16"/>
      <c r="R469" s="16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</row>
    <row r="470" spans="1:37">
      <c r="A470" s="5"/>
      <c r="D470" s="16" t="s">
        <v>261</v>
      </c>
      <c r="F470" s="16">
        <v>0</v>
      </c>
      <c r="G470" s="16">
        <v>0</v>
      </c>
      <c r="H470" s="150">
        <f t="shared" si="12"/>
        <v>0</v>
      </c>
      <c r="I470" s="151">
        <v>0</v>
      </c>
      <c r="J470" s="16"/>
      <c r="L470" s="16"/>
      <c r="M470" s="16"/>
      <c r="N470" s="16"/>
      <c r="O470" s="16"/>
      <c r="P470" s="16"/>
      <c r="Q470" s="16"/>
      <c r="R470" s="16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</row>
    <row r="471" spans="1:37">
      <c r="A471" s="5"/>
      <c r="B471" s="54" t="s">
        <v>262</v>
      </c>
      <c r="D471" s="16" t="s">
        <v>263</v>
      </c>
      <c r="E471" s="66">
        <v>16469375</v>
      </c>
      <c r="F471" s="16">
        <v>16469375</v>
      </c>
      <c r="G471" s="16">
        <v>16469375</v>
      </c>
      <c r="H471" s="150">
        <f t="shared" si="12"/>
        <v>0</v>
      </c>
      <c r="I471" s="151">
        <f t="shared" ref="I471:I482" si="13">+H471/G471</f>
        <v>0</v>
      </c>
      <c r="J471" s="16"/>
      <c r="K471" s="61"/>
      <c r="L471" s="16"/>
      <c r="M471" s="16"/>
      <c r="N471" s="16"/>
      <c r="O471" s="17"/>
      <c r="P471" s="16"/>
      <c r="Q471" s="16"/>
      <c r="R471" s="16"/>
      <c r="S471" s="16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</row>
    <row r="472" spans="1:37">
      <c r="A472" s="5"/>
      <c r="B472" s="54" t="s">
        <v>264</v>
      </c>
      <c r="D472" s="16" t="s">
        <v>265</v>
      </c>
      <c r="E472" s="66">
        <v>24000000</v>
      </c>
      <c r="F472" s="16">
        <v>24000000</v>
      </c>
      <c r="G472" s="16">
        <v>24000000</v>
      </c>
      <c r="H472" s="150">
        <f t="shared" si="12"/>
        <v>0</v>
      </c>
      <c r="I472" s="151">
        <f t="shared" si="13"/>
        <v>0</v>
      </c>
      <c r="J472" s="16"/>
      <c r="K472" s="61"/>
      <c r="L472" s="16"/>
      <c r="M472" s="16"/>
      <c r="N472" s="16"/>
      <c r="O472" s="17"/>
      <c r="P472" s="16"/>
      <c r="Q472" s="16"/>
      <c r="R472" s="16"/>
      <c r="S472" s="16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</row>
    <row r="473" spans="1:37">
      <c r="A473" s="5"/>
      <c r="B473" s="54" t="s">
        <v>266</v>
      </c>
      <c r="D473" s="16" t="s">
        <v>267</v>
      </c>
      <c r="E473" s="66">
        <v>195734400</v>
      </c>
      <c r="F473" s="16">
        <v>195734400</v>
      </c>
      <c r="G473" s="16">
        <v>195734400</v>
      </c>
      <c r="H473" s="150">
        <f t="shared" si="12"/>
        <v>0</v>
      </c>
      <c r="I473" s="151">
        <f t="shared" si="13"/>
        <v>0</v>
      </c>
      <c r="J473" s="16"/>
      <c r="K473" s="61"/>
      <c r="L473" s="16"/>
      <c r="M473" s="16"/>
      <c r="N473" s="16"/>
      <c r="O473" s="17"/>
      <c r="P473" s="16"/>
      <c r="Q473" s="16"/>
      <c r="R473" s="16"/>
      <c r="S473" s="16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</row>
    <row r="474" spans="1:37">
      <c r="A474" s="5"/>
      <c r="B474" s="54" t="s">
        <v>268</v>
      </c>
      <c r="D474" s="16" t="s">
        <v>269</v>
      </c>
      <c r="E474" s="66">
        <v>42195598</v>
      </c>
      <c r="F474" s="16">
        <v>42195598</v>
      </c>
      <c r="G474" s="16">
        <v>37521274</v>
      </c>
      <c r="H474" s="150">
        <f t="shared" si="12"/>
        <v>4674324</v>
      </c>
      <c r="I474" s="151">
        <f t="shared" si="13"/>
        <v>0.12457796608931776</v>
      </c>
      <c r="J474" s="16"/>
      <c r="K474" s="61"/>
      <c r="L474" s="16"/>
      <c r="M474" s="16"/>
      <c r="N474" s="16"/>
      <c r="O474" s="17"/>
      <c r="P474" s="16"/>
      <c r="Q474" s="16"/>
      <c r="R474" s="16"/>
      <c r="S474" s="16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</row>
    <row r="475" spans="1:37">
      <c r="A475" s="5"/>
      <c r="B475" s="54" t="s">
        <v>270</v>
      </c>
      <c r="D475" s="16" t="s">
        <v>271</v>
      </c>
      <c r="E475" s="66">
        <v>9535900</v>
      </c>
      <c r="F475" s="16">
        <v>9535900</v>
      </c>
      <c r="G475" s="16">
        <v>9535900</v>
      </c>
      <c r="H475" s="150">
        <f t="shared" si="12"/>
        <v>0</v>
      </c>
      <c r="I475" s="151">
        <f t="shared" si="13"/>
        <v>0</v>
      </c>
      <c r="J475" s="16"/>
      <c r="K475" s="61"/>
      <c r="L475" s="16"/>
      <c r="M475" s="16"/>
      <c r="N475" s="16"/>
      <c r="O475" s="17"/>
      <c r="P475" s="16"/>
      <c r="Q475" s="17"/>
      <c r="R475" s="16"/>
      <c r="S475" s="16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</row>
    <row r="476" spans="1:37">
      <c r="A476" s="5"/>
      <c r="D476" s="16" t="s">
        <v>272</v>
      </c>
      <c r="F476" s="16">
        <v>0</v>
      </c>
      <c r="G476" s="16">
        <v>0</v>
      </c>
      <c r="H476" s="150">
        <f t="shared" si="12"/>
        <v>0</v>
      </c>
      <c r="I476" s="151">
        <v>0</v>
      </c>
      <c r="J476" s="16"/>
      <c r="L476" s="16"/>
      <c r="M476" s="16"/>
      <c r="N476" s="16"/>
      <c r="O476" s="17"/>
      <c r="P476" s="16"/>
      <c r="Q476" s="17"/>
      <c r="R476" s="16"/>
      <c r="S476" s="16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</row>
    <row r="477" spans="1:37">
      <c r="A477" s="5"/>
      <c r="D477" s="16" t="s">
        <v>273</v>
      </c>
      <c r="F477" s="16">
        <v>0</v>
      </c>
      <c r="G477" s="16">
        <v>0</v>
      </c>
      <c r="H477" s="150">
        <f t="shared" si="12"/>
        <v>0</v>
      </c>
      <c r="I477" s="151">
        <v>0</v>
      </c>
      <c r="J477" s="16"/>
      <c r="L477" s="16"/>
      <c r="M477" s="16"/>
      <c r="N477" s="16"/>
      <c r="O477" s="17"/>
      <c r="P477" s="16"/>
      <c r="Q477" s="17"/>
      <c r="R477" s="16"/>
      <c r="S477" s="16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</row>
    <row r="478" spans="1:37">
      <c r="A478" s="5"/>
      <c r="B478" s="54" t="s">
        <v>274</v>
      </c>
      <c r="D478" s="16" t="s">
        <v>275</v>
      </c>
      <c r="E478" s="66">
        <v>316913500</v>
      </c>
      <c r="F478" s="16">
        <v>316913500</v>
      </c>
      <c r="G478" s="16">
        <v>316913500</v>
      </c>
      <c r="H478" s="150">
        <f t="shared" si="12"/>
        <v>0</v>
      </c>
      <c r="I478" s="151">
        <v>0</v>
      </c>
      <c r="J478" s="16"/>
      <c r="K478" s="61"/>
      <c r="L478" s="16"/>
      <c r="M478" s="16"/>
      <c r="N478" s="16"/>
      <c r="O478" s="17"/>
      <c r="P478" s="16"/>
      <c r="Q478" s="17"/>
      <c r="R478" s="16"/>
      <c r="S478" s="16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</row>
    <row r="479" spans="1:37">
      <c r="A479" s="5"/>
      <c r="B479" s="54" t="s">
        <v>276</v>
      </c>
      <c r="D479" s="16" t="s">
        <v>277</v>
      </c>
      <c r="E479" s="66">
        <v>860000</v>
      </c>
      <c r="F479" s="16">
        <v>860000</v>
      </c>
      <c r="G479" s="16">
        <v>860000</v>
      </c>
      <c r="H479" s="150">
        <f t="shared" si="12"/>
        <v>0</v>
      </c>
      <c r="I479" s="151">
        <f t="shared" si="13"/>
        <v>0</v>
      </c>
      <c r="J479" s="16"/>
      <c r="K479" s="61"/>
      <c r="L479" s="16"/>
      <c r="M479" s="16"/>
      <c r="N479" s="16"/>
      <c r="O479" s="17"/>
      <c r="P479" s="16"/>
      <c r="Q479" s="17"/>
      <c r="R479" s="16"/>
      <c r="S479" s="16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</row>
    <row r="480" spans="1:37">
      <c r="A480" s="5"/>
      <c r="B480" s="54" t="s">
        <v>278</v>
      </c>
      <c r="D480" s="16" t="s">
        <v>279</v>
      </c>
      <c r="E480" s="66">
        <v>750581219</v>
      </c>
      <c r="F480" s="16">
        <v>750581219</v>
      </c>
      <c r="G480" s="16">
        <v>85000000</v>
      </c>
      <c r="H480" s="150">
        <f t="shared" si="12"/>
        <v>665581219</v>
      </c>
      <c r="I480" s="151">
        <f t="shared" si="13"/>
        <v>7.8303672823529409</v>
      </c>
      <c r="J480" s="16"/>
      <c r="K480" s="61"/>
      <c r="L480" s="16"/>
      <c r="M480" s="16"/>
      <c r="N480" s="16"/>
      <c r="O480" s="17"/>
      <c r="P480" s="16"/>
      <c r="Q480" s="17"/>
      <c r="R480" s="16"/>
      <c r="S480" s="16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</row>
    <row r="481" spans="1:37">
      <c r="A481" s="5"/>
      <c r="B481" s="16"/>
      <c r="D481" s="16" t="s">
        <v>280</v>
      </c>
      <c r="F481" s="16">
        <v>0</v>
      </c>
      <c r="G481" s="16">
        <v>0</v>
      </c>
      <c r="H481" s="150">
        <f t="shared" si="12"/>
        <v>0</v>
      </c>
      <c r="I481" s="151">
        <v>0</v>
      </c>
      <c r="J481" s="16"/>
      <c r="K481" s="16"/>
      <c r="L481" s="16"/>
      <c r="M481" s="16"/>
      <c r="N481" s="16"/>
      <c r="O481" s="17"/>
      <c r="P481" s="16"/>
      <c r="Q481" s="17"/>
      <c r="R481" s="16"/>
      <c r="S481" s="16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</row>
    <row r="482" spans="1:37">
      <c r="A482" s="5"/>
      <c r="B482" s="16"/>
      <c r="D482" s="16" t="s">
        <v>281</v>
      </c>
      <c r="F482" s="16">
        <v>0</v>
      </c>
      <c r="G482" s="16">
        <v>1992600000</v>
      </c>
      <c r="H482" s="150">
        <f t="shared" si="12"/>
        <v>-1992600000</v>
      </c>
      <c r="I482" s="151">
        <f t="shared" si="13"/>
        <v>-1</v>
      </c>
      <c r="J482" s="16"/>
      <c r="K482" s="16"/>
      <c r="L482" s="16"/>
      <c r="M482" s="16"/>
      <c r="N482" s="16"/>
      <c r="O482" s="17"/>
      <c r="P482" s="16"/>
      <c r="Q482" s="17"/>
      <c r="R482" s="16"/>
      <c r="S482" s="16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</row>
    <row r="483" spans="1:37">
      <c r="A483" s="5"/>
      <c r="B483" s="54" t="s">
        <v>282</v>
      </c>
      <c r="D483" s="16" t="s">
        <v>283</v>
      </c>
      <c r="E483" s="66">
        <v>726300000</v>
      </c>
      <c r="F483" s="16">
        <v>726300000</v>
      </c>
      <c r="G483" s="16">
        <v>0</v>
      </c>
      <c r="H483" s="150">
        <f t="shared" si="12"/>
        <v>726300000</v>
      </c>
      <c r="I483" s="151">
        <v>0</v>
      </c>
      <c r="J483" s="16"/>
      <c r="K483" s="61"/>
      <c r="L483" s="16"/>
      <c r="M483" s="16"/>
      <c r="N483" s="16"/>
      <c r="O483" s="17"/>
      <c r="P483" s="16"/>
      <c r="Q483" s="17"/>
      <c r="R483" s="16"/>
      <c r="S483" s="16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</row>
    <row r="484" spans="1:37">
      <c r="A484" s="5"/>
      <c r="B484" s="54" t="s">
        <v>284</v>
      </c>
      <c r="D484" s="16" t="s">
        <v>285</v>
      </c>
      <c r="E484" s="66">
        <v>214500000</v>
      </c>
      <c r="F484" s="16">
        <v>214500000</v>
      </c>
      <c r="G484" s="16">
        <v>0</v>
      </c>
      <c r="H484" s="150">
        <f t="shared" si="12"/>
        <v>214500000</v>
      </c>
      <c r="I484" s="151">
        <v>0</v>
      </c>
      <c r="J484" s="16"/>
      <c r="K484" s="61"/>
      <c r="L484" s="16"/>
      <c r="M484" s="16"/>
      <c r="N484" s="16"/>
      <c r="O484" s="17"/>
      <c r="P484" s="16"/>
      <c r="Q484" s="17"/>
      <c r="R484" s="16"/>
      <c r="S484" s="16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</row>
    <row r="485" spans="1:37">
      <c r="A485" s="5"/>
      <c r="B485" s="16"/>
      <c r="D485" s="16" t="s">
        <v>286</v>
      </c>
      <c r="F485" s="16">
        <v>0</v>
      </c>
      <c r="G485" s="16">
        <v>0</v>
      </c>
      <c r="H485" s="150">
        <f t="shared" si="12"/>
        <v>0</v>
      </c>
      <c r="I485" s="151">
        <v>0</v>
      </c>
      <c r="J485" s="16"/>
      <c r="K485" s="16"/>
      <c r="L485" s="16"/>
      <c r="M485" s="16"/>
      <c r="N485" s="16"/>
      <c r="O485" s="17"/>
      <c r="P485" s="16"/>
      <c r="Q485" s="17"/>
      <c r="R485" s="16"/>
      <c r="S485" s="16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</row>
    <row r="486" spans="1:37">
      <c r="A486" s="5"/>
      <c r="B486" s="54" t="s">
        <v>287</v>
      </c>
      <c r="D486" s="16" t="s">
        <v>288</v>
      </c>
      <c r="E486" s="66">
        <v>3750000</v>
      </c>
      <c r="F486" s="16">
        <v>3750000</v>
      </c>
      <c r="G486" s="16">
        <v>0</v>
      </c>
      <c r="H486" s="150">
        <f t="shared" si="12"/>
        <v>3750000</v>
      </c>
      <c r="I486" s="151">
        <v>0</v>
      </c>
      <c r="J486" s="16"/>
      <c r="K486" s="61"/>
      <c r="L486" s="16"/>
      <c r="M486" s="16"/>
      <c r="N486" s="16"/>
      <c r="O486" s="17"/>
      <c r="P486" s="16"/>
      <c r="Q486" s="17"/>
      <c r="R486" s="16"/>
      <c r="S486" s="16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</row>
    <row r="487" spans="1:37">
      <c r="A487" s="5"/>
      <c r="B487" s="54" t="s">
        <v>289</v>
      </c>
      <c r="D487" s="16" t="s">
        <v>290</v>
      </c>
      <c r="E487" s="66">
        <v>2000000</v>
      </c>
      <c r="F487" s="16">
        <v>2000000</v>
      </c>
      <c r="G487" s="16">
        <v>0</v>
      </c>
      <c r="H487" s="150">
        <f t="shared" si="12"/>
        <v>2000000</v>
      </c>
      <c r="I487" s="151">
        <v>0</v>
      </c>
      <c r="J487" s="16"/>
      <c r="K487" s="61"/>
      <c r="L487" s="16"/>
      <c r="M487" s="16"/>
      <c r="N487" s="16"/>
      <c r="O487" s="17"/>
      <c r="P487" s="16"/>
      <c r="Q487" s="17"/>
      <c r="R487" s="16"/>
      <c r="S487" s="16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</row>
    <row r="488" spans="1:37">
      <c r="A488" s="5"/>
      <c r="D488" s="16"/>
      <c r="E488" s="16"/>
      <c r="F488" s="16"/>
      <c r="G488" s="16"/>
      <c r="H488" s="8"/>
      <c r="I488" s="151"/>
      <c r="J488" s="16"/>
      <c r="K488" s="16"/>
      <c r="L488" s="16"/>
      <c r="M488" s="16"/>
      <c r="N488" s="16"/>
      <c r="O488" s="17"/>
      <c r="P488" s="16"/>
      <c r="Q488" s="17"/>
      <c r="R488" s="16"/>
      <c r="S488" s="16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</row>
    <row r="489" spans="1:37" ht="14.25" customHeight="1" thickBot="1">
      <c r="A489" s="5"/>
      <c r="D489" s="27" t="s">
        <v>183</v>
      </c>
      <c r="E489" s="69">
        <f>SUM(E467:E488)</f>
        <v>2308839992</v>
      </c>
      <c r="F489" s="69">
        <f>SUM(F467:F488)</f>
        <v>2308839992</v>
      </c>
      <c r="G489" s="69">
        <f>SUM(G467:G488)</f>
        <v>2688234449</v>
      </c>
      <c r="H489" s="152">
        <f>+E489-G489</f>
        <v>-379394457</v>
      </c>
      <c r="I489" s="153">
        <f>+H489/G489</f>
        <v>-0.14113146163316651</v>
      </c>
      <c r="J489" s="16"/>
      <c r="K489" s="16"/>
      <c r="L489" s="16"/>
      <c r="M489" s="16"/>
      <c r="N489" s="16"/>
      <c r="O489" s="17"/>
      <c r="P489" s="16"/>
      <c r="Q489" s="17"/>
      <c r="R489" s="16"/>
      <c r="S489" s="16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</row>
    <row r="490" spans="1:37" ht="13.5" thickTop="1">
      <c r="A490" s="5"/>
      <c r="D490" s="16"/>
      <c r="E490" s="16"/>
      <c r="F490" s="16"/>
      <c r="G490" s="16"/>
      <c r="H490" s="16"/>
      <c r="I490" s="33"/>
      <c r="J490" s="16"/>
      <c r="K490" s="16"/>
      <c r="L490" s="16"/>
      <c r="M490" s="16"/>
      <c r="N490" s="16"/>
      <c r="O490" s="17"/>
      <c r="P490" s="16"/>
      <c r="Q490" s="17"/>
      <c r="R490" s="16"/>
      <c r="S490" s="16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</row>
    <row r="491" spans="1:37">
      <c r="A491" s="5"/>
      <c r="D491" s="16"/>
      <c r="E491" s="16"/>
      <c r="F491" s="16"/>
      <c r="G491" s="16"/>
      <c r="H491" s="29"/>
      <c r="I491" s="216"/>
      <c r="J491" s="16"/>
      <c r="K491" s="16"/>
      <c r="L491" s="16"/>
      <c r="M491" s="16"/>
      <c r="N491" s="16"/>
      <c r="O491" s="17"/>
      <c r="P491" s="16"/>
      <c r="Q491" s="17"/>
      <c r="R491" s="16"/>
      <c r="S491" s="16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</row>
    <row r="492" spans="1:37" ht="14">
      <c r="A492" s="154" t="s">
        <v>291</v>
      </c>
      <c r="B492" s="155"/>
      <c r="C492" s="155"/>
      <c r="D492" s="148" t="s">
        <v>292</v>
      </c>
      <c r="E492" s="20" t="str">
        <f>E55</f>
        <v>30 April 2017</v>
      </c>
      <c r="F492" s="20" t="str">
        <f>F55</f>
        <v>31 Maret 2017</v>
      </c>
      <c r="G492" s="20" t="str">
        <f>G55</f>
        <v>30 April 2016</v>
      </c>
      <c r="H492" s="149" t="s">
        <v>56</v>
      </c>
      <c r="I492" s="149" t="s">
        <v>9</v>
      </c>
      <c r="J492" s="16"/>
      <c r="K492" s="16"/>
      <c r="L492" s="16"/>
      <c r="M492" s="16"/>
      <c r="N492" s="16"/>
      <c r="O492" s="17"/>
      <c r="P492" s="16"/>
      <c r="Q492" s="17"/>
      <c r="R492" s="16"/>
      <c r="S492" s="16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</row>
    <row r="493" spans="1:37" ht="14">
      <c r="A493" s="5"/>
      <c r="D493" s="148"/>
      <c r="E493" s="148"/>
      <c r="F493" s="148"/>
      <c r="G493" s="16"/>
      <c r="H493" s="171"/>
      <c r="I493" s="217"/>
      <c r="J493" s="16"/>
      <c r="K493" s="16"/>
      <c r="L493" s="16"/>
      <c r="M493" s="16"/>
      <c r="N493" s="16"/>
      <c r="O493" s="17"/>
      <c r="P493" s="16"/>
      <c r="Q493" s="17"/>
      <c r="R493" s="16"/>
      <c r="S493" s="16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</row>
    <row r="494" spans="1:37">
      <c r="A494" s="5"/>
      <c r="D494" s="16" t="s">
        <v>293</v>
      </c>
      <c r="E494" s="16"/>
      <c r="F494" s="16"/>
      <c r="G494" s="16"/>
      <c r="H494" s="29"/>
      <c r="I494" s="216"/>
      <c r="J494" s="16"/>
      <c r="K494" s="16"/>
      <c r="L494" s="16"/>
      <c r="M494" s="16"/>
      <c r="N494" s="16"/>
      <c r="O494" s="17"/>
      <c r="P494" s="16"/>
      <c r="Q494" s="17"/>
      <c r="R494" s="16"/>
      <c r="S494" s="16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</row>
    <row r="495" spans="1:37">
      <c r="A495" s="5"/>
      <c r="D495" s="144" t="s">
        <v>294</v>
      </c>
      <c r="F495" s="16">
        <v>0</v>
      </c>
      <c r="G495" s="16">
        <v>0</v>
      </c>
      <c r="H495" s="150">
        <f t="shared" ref="H495:H501" si="14">+F495-G495</f>
        <v>0</v>
      </c>
      <c r="I495" s="151">
        <v>0</v>
      </c>
      <c r="J495" s="16"/>
      <c r="L495" s="16"/>
      <c r="M495" s="16"/>
      <c r="N495" s="16"/>
      <c r="O495" s="17"/>
      <c r="P495" s="16"/>
      <c r="Q495" s="17"/>
      <c r="R495" s="16"/>
      <c r="S495" s="16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</row>
    <row r="496" spans="1:37">
      <c r="A496" s="5"/>
      <c r="B496" s="54" t="s">
        <v>295</v>
      </c>
      <c r="C496" s="16"/>
      <c r="D496" s="144" t="s">
        <v>296</v>
      </c>
      <c r="E496" s="66">
        <v>1055113276</v>
      </c>
      <c r="F496" s="16">
        <v>1144011934</v>
      </c>
      <c r="G496" s="16">
        <v>678815387</v>
      </c>
      <c r="H496" s="150">
        <f t="shared" si="14"/>
        <v>465196547</v>
      </c>
      <c r="I496" s="151">
        <v>0</v>
      </c>
      <c r="J496" s="16"/>
      <c r="K496" s="61"/>
      <c r="L496" s="16"/>
      <c r="M496" s="16"/>
      <c r="N496" s="16"/>
      <c r="O496" s="17"/>
      <c r="P496" s="16"/>
      <c r="Q496" s="17"/>
      <c r="R496" s="16"/>
      <c r="S496" s="16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</row>
    <row r="497" spans="1:37">
      <c r="A497" s="5"/>
      <c r="B497" s="54" t="s">
        <v>297</v>
      </c>
      <c r="D497" s="144" t="s">
        <v>298</v>
      </c>
      <c r="E497" s="66">
        <v>875841128</v>
      </c>
      <c r="F497" s="16">
        <v>875841128</v>
      </c>
      <c r="G497" s="16">
        <v>940919412</v>
      </c>
      <c r="H497" s="150">
        <f t="shared" si="14"/>
        <v>-65078284</v>
      </c>
      <c r="I497" s="151">
        <f>+H497/G497</f>
        <v>-6.9164567305154079E-2</v>
      </c>
      <c r="J497" s="16"/>
      <c r="K497" s="61"/>
      <c r="L497" s="16"/>
      <c r="M497" s="16"/>
      <c r="N497" s="16"/>
      <c r="O497" s="17"/>
      <c r="P497" s="16"/>
      <c r="Q497" s="17"/>
      <c r="R497" s="16"/>
      <c r="S497" s="16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</row>
    <row r="498" spans="1:37">
      <c r="A498" s="5"/>
      <c r="B498" s="54" t="s">
        <v>299</v>
      </c>
      <c r="D498" s="144" t="s">
        <v>79</v>
      </c>
      <c r="E498" s="66">
        <v>5571099892</v>
      </c>
      <c r="F498" s="16">
        <v>5701988219</v>
      </c>
      <c r="G498" s="16">
        <v>2635000</v>
      </c>
      <c r="H498" s="150">
        <f t="shared" si="14"/>
        <v>5699353219</v>
      </c>
      <c r="I498" s="151">
        <f>+H498/G498</f>
        <v>2162.942398102467</v>
      </c>
      <c r="J498" s="16"/>
      <c r="K498" s="61"/>
      <c r="L498" s="16"/>
      <c r="M498" s="16"/>
      <c r="N498" s="16"/>
      <c r="O498" s="17"/>
      <c r="P498" s="16"/>
      <c r="Q498" s="17"/>
      <c r="R498" s="16"/>
      <c r="S498" s="16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</row>
    <row r="499" spans="1:37">
      <c r="A499" s="5"/>
      <c r="B499" s="54" t="s">
        <v>300</v>
      </c>
      <c r="C499" s="16"/>
      <c r="D499" s="144" t="s">
        <v>301</v>
      </c>
      <c r="E499" s="66">
        <v>442000599</v>
      </c>
      <c r="F499" s="16">
        <v>442000599</v>
      </c>
      <c r="G499" s="16">
        <v>269539899</v>
      </c>
      <c r="H499" s="150">
        <f t="shared" si="14"/>
        <v>172460700</v>
      </c>
      <c r="I499" s="151">
        <f>+H499/G499</f>
        <v>0.63983365965422434</v>
      </c>
      <c r="J499" s="16"/>
      <c r="K499" s="61"/>
      <c r="L499" s="16"/>
      <c r="M499" s="16"/>
      <c r="N499" s="16"/>
      <c r="O499" s="17"/>
      <c r="P499" s="16"/>
      <c r="Q499" s="17"/>
      <c r="R499" s="16"/>
      <c r="S499" s="16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</row>
    <row r="500" spans="1:37" ht="15" customHeight="1">
      <c r="A500" s="5"/>
      <c r="B500" s="54">
        <v>0</v>
      </c>
      <c r="D500" s="144" t="s">
        <v>302</v>
      </c>
      <c r="F500" s="16">
        <v>0</v>
      </c>
      <c r="G500" s="16">
        <v>0</v>
      </c>
      <c r="H500" s="150">
        <f t="shared" si="14"/>
        <v>0</v>
      </c>
      <c r="I500" s="151">
        <v>0</v>
      </c>
      <c r="J500" s="16"/>
      <c r="K500" s="61"/>
      <c r="L500" s="16"/>
      <c r="M500" s="16"/>
      <c r="N500" s="16"/>
      <c r="O500" s="17"/>
      <c r="P500" s="16"/>
      <c r="Q500" s="17"/>
      <c r="R500" s="16"/>
      <c r="S500" s="16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</row>
    <row r="501" spans="1:37">
      <c r="A501" s="5"/>
      <c r="B501" s="54" t="s">
        <v>303</v>
      </c>
      <c r="D501" s="144" t="s">
        <v>304</v>
      </c>
      <c r="E501" s="66">
        <v>130888327</v>
      </c>
      <c r="F501" s="16">
        <v>130888327</v>
      </c>
      <c r="G501" s="16">
        <v>0</v>
      </c>
      <c r="H501" s="150">
        <f t="shared" si="14"/>
        <v>130888327</v>
      </c>
      <c r="I501" s="151">
        <v>0</v>
      </c>
      <c r="J501" s="16"/>
      <c r="K501" s="61"/>
      <c r="L501" s="16"/>
      <c r="M501" s="16"/>
      <c r="N501" s="16"/>
      <c r="O501" s="17"/>
      <c r="P501" s="218"/>
      <c r="Q501" s="17"/>
      <c r="R501" s="16"/>
      <c r="S501" s="16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</row>
    <row r="502" spans="1:37">
      <c r="A502" s="5"/>
      <c r="D502" s="16"/>
      <c r="E502" s="16"/>
      <c r="F502" s="16"/>
      <c r="G502" s="111"/>
      <c r="H502" s="179"/>
      <c r="I502" s="151"/>
      <c r="J502" s="16"/>
      <c r="L502" s="16"/>
      <c r="M502" s="16"/>
      <c r="N502" s="16"/>
      <c r="O502" s="17"/>
      <c r="P502" s="218"/>
      <c r="Q502" s="17"/>
      <c r="R502" s="16"/>
      <c r="S502" s="16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</row>
    <row r="503" spans="1:37" ht="13.5" thickBot="1">
      <c r="A503" s="5"/>
      <c r="D503" s="72" t="s">
        <v>305</v>
      </c>
      <c r="E503" s="69">
        <f>SUM(E495:E501)</f>
        <v>8074943222</v>
      </c>
      <c r="F503" s="69">
        <f>SUM(F495:F501)</f>
        <v>8294730207</v>
      </c>
      <c r="G503" s="69">
        <f>SUM(G495:G501)</f>
        <v>1891909698</v>
      </c>
      <c r="H503" s="152">
        <f>+E503-G503</f>
        <v>6183033524</v>
      </c>
      <c r="I503" s="153">
        <f>+H503/G503</f>
        <v>3.2681441035670402</v>
      </c>
      <c r="J503" s="16"/>
      <c r="L503" s="111"/>
      <c r="M503" s="16"/>
      <c r="N503" s="16"/>
      <c r="O503" s="17"/>
      <c r="P503" s="218"/>
      <c r="Q503" s="17"/>
      <c r="R503" s="16"/>
      <c r="S503" s="16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</row>
    <row r="504" spans="1:37" ht="13.5" thickTop="1">
      <c r="A504" s="5"/>
      <c r="D504" s="72"/>
      <c r="E504" s="72"/>
      <c r="F504" s="72"/>
      <c r="G504" s="72"/>
      <c r="H504" s="49"/>
      <c r="I504" s="50"/>
      <c r="J504" s="16"/>
      <c r="K504" s="61"/>
      <c r="L504" s="111"/>
      <c r="M504" s="16"/>
      <c r="N504" s="16"/>
      <c r="O504" s="17"/>
      <c r="P504" s="218"/>
      <c r="Q504" s="17"/>
      <c r="R504" s="16"/>
      <c r="S504" s="16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</row>
    <row r="505" spans="1:37">
      <c r="A505" s="5"/>
      <c r="D505" s="16"/>
      <c r="E505" s="16"/>
      <c r="F505" s="16"/>
      <c r="G505" s="16"/>
      <c r="H505" s="29"/>
      <c r="I505" s="216"/>
      <c r="J505" s="16"/>
      <c r="K505" s="61"/>
      <c r="L505" s="111"/>
      <c r="M505" s="16"/>
      <c r="N505" s="16"/>
      <c r="O505" s="17"/>
      <c r="P505" s="218"/>
      <c r="Q505" s="17"/>
      <c r="R505" s="16"/>
      <c r="S505" s="16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</row>
    <row r="506" spans="1:37" ht="14">
      <c r="A506" s="154" t="s">
        <v>306</v>
      </c>
      <c r="B506" s="155"/>
      <c r="C506" s="155"/>
      <c r="D506" s="148" t="s">
        <v>17</v>
      </c>
      <c r="E506" s="20" t="str">
        <f>E55</f>
        <v>30 April 2017</v>
      </c>
      <c r="F506" s="20" t="str">
        <f>F55</f>
        <v>31 Maret 2017</v>
      </c>
      <c r="G506" s="20" t="str">
        <f>G55</f>
        <v>30 April 2016</v>
      </c>
      <c r="H506" s="149" t="s">
        <v>56</v>
      </c>
      <c r="I506" s="149" t="s">
        <v>9</v>
      </c>
      <c r="J506" s="16"/>
      <c r="L506" s="111"/>
      <c r="M506" s="16"/>
      <c r="N506" s="16"/>
      <c r="O506" s="17"/>
      <c r="P506" s="218"/>
      <c r="Q506" s="17"/>
      <c r="R506" s="16"/>
      <c r="S506" s="16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</row>
    <row r="507" spans="1:37">
      <c r="A507" s="5"/>
      <c r="D507" s="16"/>
      <c r="E507" s="16"/>
      <c r="F507" s="16"/>
      <c r="G507" s="16"/>
      <c r="H507" s="29"/>
      <c r="I507" s="216"/>
      <c r="J507" s="16"/>
      <c r="L507" s="111"/>
      <c r="M507" s="16"/>
      <c r="N507" s="16"/>
      <c r="O507" s="17"/>
      <c r="P507" s="218"/>
      <c r="Q507" s="17"/>
      <c r="R507" s="16"/>
      <c r="S507" s="16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</row>
    <row r="508" spans="1:37">
      <c r="A508" s="5"/>
      <c r="D508" s="16" t="s">
        <v>307</v>
      </c>
      <c r="E508" s="16"/>
      <c r="F508" s="16"/>
      <c r="G508" s="16"/>
      <c r="H508" s="29"/>
      <c r="I508" s="216"/>
      <c r="J508" s="16"/>
      <c r="K508" s="16"/>
      <c r="L508" s="111"/>
      <c r="M508" s="16"/>
      <c r="N508" s="16"/>
      <c r="O508" s="17"/>
      <c r="P508" s="218"/>
      <c r="Q508" s="17"/>
      <c r="R508" s="16"/>
      <c r="S508" s="16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</row>
    <row r="509" spans="1:37">
      <c r="A509" s="5"/>
      <c r="B509" s="54" t="s">
        <v>308</v>
      </c>
      <c r="D509" s="16" t="s">
        <v>309</v>
      </c>
      <c r="E509" s="66">
        <v>128120270</v>
      </c>
      <c r="F509" s="16">
        <v>125599441</v>
      </c>
      <c r="G509" s="16">
        <v>128480000</v>
      </c>
      <c r="H509" s="150">
        <f t="shared" ref="H509:H515" si="15">+F509-G509</f>
        <v>-2880559</v>
      </c>
      <c r="I509" s="151">
        <f>+H509/G509</f>
        <v>-2.2420291095890412E-2</v>
      </c>
      <c r="J509" s="16"/>
      <c r="K509" s="61"/>
      <c r="L509" s="111"/>
      <c r="M509" s="16"/>
      <c r="N509" s="16"/>
      <c r="O509" s="17"/>
      <c r="P509" s="218"/>
      <c r="Q509" s="17"/>
      <c r="R509" s="16"/>
      <c r="S509" s="16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</row>
    <row r="510" spans="1:37">
      <c r="A510" s="5"/>
      <c r="B510" s="54" t="s">
        <v>310</v>
      </c>
      <c r="D510" s="16" t="s">
        <v>311</v>
      </c>
      <c r="E510" s="66">
        <v>26399928.98</v>
      </c>
      <c r="F510" s="16">
        <v>3016237.98</v>
      </c>
      <c r="G510" s="16">
        <v>2405350.98</v>
      </c>
      <c r="H510" s="150">
        <f t="shared" si="15"/>
        <v>610887</v>
      </c>
      <c r="I510" s="151">
        <f>+H510/G510</f>
        <v>0.25397000482648896</v>
      </c>
      <c r="J510" s="16"/>
      <c r="K510" s="61"/>
      <c r="L510" s="111"/>
      <c r="M510" s="16"/>
      <c r="N510" s="16"/>
      <c r="O510" s="17"/>
      <c r="P510" s="218"/>
      <c r="Q510" s="17"/>
      <c r="R510" s="16"/>
      <c r="S510" s="16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</row>
    <row r="511" spans="1:37">
      <c r="A511" s="5"/>
      <c r="D511" s="16" t="s">
        <v>312</v>
      </c>
      <c r="F511" s="16">
        <v>0</v>
      </c>
      <c r="G511" s="16">
        <v>64526943</v>
      </c>
      <c r="H511" s="150">
        <f t="shared" si="15"/>
        <v>-64526943</v>
      </c>
      <c r="I511" s="151">
        <v>0</v>
      </c>
      <c r="J511" s="16"/>
      <c r="L511" s="16"/>
      <c r="M511" s="16"/>
      <c r="N511" s="16"/>
      <c r="O511" s="17"/>
      <c r="P511" s="218"/>
      <c r="Q511" s="17"/>
      <c r="R511" s="16"/>
      <c r="S511" s="16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</row>
    <row r="512" spans="1:37">
      <c r="A512" s="5"/>
      <c r="B512" s="54" t="s">
        <v>313</v>
      </c>
      <c r="D512" s="16" t="s">
        <v>314</v>
      </c>
      <c r="E512" s="66">
        <v>0</v>
      </c>
      <c r="F512" s="16">
        <v>7334640</v>
      </c>
      <c r="G512" s="16">
        <v>0</v>
      </c>
      <c r="H512" s="150">
        <f t="shared" si="15"/>
        <v>7334640</v>
      </c>
      <c r="I512" s="151">
        <v>0</v>
      </c>
      <c r="J512" s="16"/>
      <c r="K512" s="61"/>
      <c r="L512" s="16"/>
      <c r="M512" s="16"/>
      <c r="N512" s="16"/>
      <c r="O512" s="17"/>
      <c r="P512" s="218"/>
      <c r="Q512" s="17"/>
      <c r="R512" s="16"/>
      <c r="S512" s="16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</row>
    <row r="513" spans="1:37">
      <c r="A513" s="5"/>
      <c r="B513" s="16"/>
      <c r="D513" s="16" t="s">
        <v>315</v>
      </c>
      <c r="F513" s="16">
        <v>0</v>
      </c>
      <c r="G513" s="16">
        <v>-477702750</v>
      </c>
      <c r="H513" s="150">
        <f t="shared" si="15"/>
        <v>477702750</v>
      </c>
      <c r="I513" s="151">
        <v>0</v>
      </c>
      <c r="J513" s="16"/>
      <c r="K513" s="16"/>
      <c r="L513" s="16"/>
      <c r="M513" s="16"/>
      <c r="N513" s="16"/>
      <c r="O513" s="17"/>
      <c r="P513" s="218"/>
      <c r="Q513" s="17"/>
      <c r="R513" s="16"/>
      <c r="S513" s="16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</row>
    <row r="514" spans="1:37">
      <c r="A514" s="5"/>
      <c r="B514" s="54" t="s">
        <v>316</v>
      </c>
      <c r="D514" s="16" t="s">
        <v>317</v>
      </c>
      <c r="E514" s="66">
        <v>614947789.45000005</v>
      </c>
      <c r="F514" s="16">
        <v>401078644.88</v>
      </c>
      <c r="G514" s="16">
        <v>163109443.19999999</v>
      </c>
      <c r="H514" s="150">
        <f t="shared" si="15"/>
        <v>237969201.68000001</v>
      </c>
      <c r="I514" s="151">
        <v>0</v>
      </c>
      <c r="J514" s="16"/>
      <c r="K514" s="61"/>
      <c r="L514" s="16"/>
      <c r="M514" s="16"/>
      <c r="N514" s="16"/>
      <c r="O514" s="17"/>
      <c r="P514" s="218"/>
      <c r="Q514" s="17"/>
      <c r="R514" s="16"/>
      <c r="S514" s="16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</row>
    <row r="515" spans="1:37">
      <c r="A515" s="5"/>
      <c r="B515" s="54" t="s">
        <v>318</v>
      </c>
      <c r="D515" s="16" t="s">
        <v>319</v>
      </c>
      <c r="E515" s="66">
        <v>40446281</v>
      </c>
      <c r="F515" s="16">
        <v>54261450</v>
      </c>
      <c r="G515" s="16">
        <v>0</v>
      </c>
      <c r="H515" s="150">
        <f t="shared" si="15"/>
        <v>54261450</v>
      </c>
      <c r="I515" s="151"/>
      <c r="J515" s="16"/>
      <c r="K515" s="61"/>
      <c r="L515" s="16"/>
      <c r="M515" s="16"/>
      <c r="N515" s="16"/>
      <c r="O515" s="17"/>
      <c r="P515" s="218"/>
      <c r="Q515" s="17"/>
      <c r="R515" s="16"/>
      <c r="S515" s="16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</row>
    <row r="516" spans="1:37">
      <c r="A516" s="5"/>
      <c r="B516" s="54" t="s">
        <v>320</v>
      </c>
      <c r="D516" s="16" t="s">
        <v>321</v>
      </c>
      <c r="E516" s="66">
        <v>-463866108.07999998</v>
      </c>
      <c r="F516" s="16">
        <v>-271679382.07999998</v>
      </c>
      <c r="G516" s="16">
        <v>0</v>
      </c>
      <c r="H516" s="150"/>
      <c r="I516" s="151"/>
      <c r="J516" s="16"/>
      <c r="K516" s="61"/>
      <c r="L516" s="16"/>
      <c r="M516" s="16"/>
      <c r="N516" s="16"/>
      <c r="O516" s="17"/>
      <c r="P516" s="218"/>
      <c r="Q516" s="17"/>
      <c r="R516" s="16"/>
      <c r="S516" s="16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</row>
    <row r="517" spans="1:37" ht="13.5" thickBot="1">
      <c r="A517" s="5"/>
      <c r="D517" s="72" t="s">
        <v>130</v>
      </c>
      <c r="E517" s="69">
        <f>SUM(E509:E516)</f>
        <v>346048161.35000008</v>
      </c>
      <c r="F517" s="69">
        <f>SUM(F509:F516)</f>
        <v>319611031.78000003</v>
      </c>
      <c r="G517" s="69">
        <f>SUM(G509:G515)</f>
        <v>-119181012.81999999</v>
      </c>
      <c r="H517" s="152">
        <f>+E517-G517</f>
        <v>465229174.17000008</v>
      </c>
      <c r="I517" s="153">
        <f>+H517/G517</f>
        <v>-3.9035511040054618</v>
      </c>
      <c r="J517" s="16"/>
      <c r="K517" s="16"/>
      <c r="L517" s="16"/>
      <c r="M517" s="16"/>
      <c r="N517" s="16"/>
      <c r="O517" s="219"/>
      <c r="P517" s="16"/>
      <c r="Q517" s="30"/>
      <c r="R517" s="16"/>
      <c r="S517" s="16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</row>
    <row r="518" spans="1:37" ht="13.5" thickTop="1">
      <c r="A518" s="5"/>
      <c r="D518" s="72"/>
      <c r="E518" s="72"/>
      <c r="F518" s="72"/>
      <c r="G518" s="72"/>
      <c r="H518" s="181"/>
      <c r="I518" s="220"/>
      <c r="J518" s="16"/>
      <c r="L518" s="16"/>
      <c r="M518" s="16"/>
      <c r="N518" s="16"/>
      <c r="O518" s="219"/>
      <c r="P518" s="16"/>
      <c r="Q518" s="30"/>
      <c r="R518" s="16"/>
      <c r="S518" s="16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</row>
    <row r="519" spans="1:37">
      <c r="A519" s="5"/>
      <c r="H519" s="8"/>
      <c r="I519" s="151"/>
      <c r="J519" s="16"/>
      <c r="L519" s="16"/>
      <c r="M519" s="16"/>
      <c r="N519" s="16"/>
      <c r="O519" s="17"/>
      <c r="P519" s="218"/>
      <c r="Q519" s="17"/>
      <c r="R519" s="16"/>
      <c r="S519" s="16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</row>
    <row r="520" spans="1:37" ht="14">
      <c r="A520" s="154" t="s">
        <v>322</v>
      </c>
      <c r="B520" s="155"/>
      <c r="C520" s="155"/>
      <c r="D520" s="148" t="s">
        <v>19</v>
      </c>
      <c r="E520" s="20" t="str">
        <f>E55</f>
        <v>30 April 2017</v>
      </c>
      <c r="F520" s="20" t="str">
        <f>F55</f>
        <v>31 Maret 2017</v>
      </c>
      <c r="G520" s="20" t="str">
        <f>G55</f>
        <v>30 April 2016</v>
      </c>
      <c r="H520" s="149" t="s">
        <v>56</v>
      </c>
      <c r="I520" s="149" t="s">
        <v>9</v>
      </c>
      <c r="J520" s="16"/>
      <c r="L520" s="16"/>
      <c r="M520" s="16"/>
      <c r="N520" s="16"/>
      <c r="O520" s="17"/>
      <c r="P520" s="16"/>
      <c r="Q520" s="30"/>
      <c r="R520" s="16"/>
      <c r="S520" s="16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</row>
    <row r="521" spans="1:37">
      <c r="A521" s="5"/>
      <c r="H521" s="8"/>
      <c r="I521" s="151"/>
      <c r="J521" s="16"/>
      <c r="L521" s="16"/>
      <c r="M521" s="16"/>
      <c r="N521" s="16"/>
      <c r="O521" s="17"/>
      <c r="P521" s="16"/>
      <c r="Q521" s="16"/>
      <c r="R521" s="16"/>
      <c r="S521" s="16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</row>
    <row r="522" spans="1:37">
      <c r="A522" s="5"/>
      <c r="D522" s="5" t="s">
        <v>323</v>
      </c>
      <c r="H522" s="8"/>
      <c r="I522" s="151"/>
      <c r="J522" s="17"/>
      <c r="K522" s="17"/>
      <c r="L522" s="16"/>
      <c r="M522" s="16"/>
      <c r="N522" s="16"/>
      <c r="O522" s="17"/>
      <c r="P522" s="16"/>
      <c r="Q522" s="16"/>
      <c r="R522" s="16"/>
      <c r="S522" s="16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</row>
    <row r="523" spans="1:37" hidden="1">
      <c r="A523" s="5"/>
      <c r="D523" s="5" t="s">
        <v>324</v>
      </c>
      <c r="E523" s="221">
        <v>0</v>
      </c>
      <c r="F523" s="221"/>
      <c r="G523" s="222">
        <v>0</v>
      </c>
      <c r="H523" s="97">
        <f t="shared" ref="H523:H531" si="16">+E523-G523</f>
        <v>0</v>
      </c>
      <c r="I523" s="151" t="e">
        <f t="shared" ref="I523:I532" si="17">+H523/G523</f>
        <v>#DIV/0!</v>
      </c>
      <c r="J523" s="17"/>
      <c r="K523" s="16"/>
      <c r="L523" s="16"/>
      <c r="M523" s="16"/>
      <c r="N523" s="16"/>
      <c r="O523" s="17"/>
      <c r="P523" s="16"/>
      <c r="Q523" s="16"/>
      <c r="R523" s="16"/>
      <c r="S523" s="16"/>
      <c r="T523" s="17"/>
      <c r="U523" s="17"/>
      <c r="V523" s="17"/>
      <c r="W523" s="219"/>
      <c r="X523" s="219"/>
      <c r="Y523" s="219"/>
      <c r="Z523" s="219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</row>
    <row r="524" spans="1:37" hidden="1">
      <c r="A524" s="5"/>
      <c r="D524" s="5" t="s">
        <v>325</v>
      </c>
      <c r="E524" s="221">
        <v>0</v>
      </c>
      <c r="F524" s="221"/>
      <c r="G524" s="222">
        <v>0</v>
      </c>
      <c r="H524" s="97">
        <f t="shared" si="16"/>
        <v>0</v>
      </c>
      <c r="I524" s="151" t="e">
        <f t="shared" si="17"/>
        <v>#DIV/0!</v>
      </c>
      <c r="J524" s="17"/>
      <c r="K524" s="16"/>
      <c r="L524" s="16"/>
      <c r="M524" s="16"/>
      <c r="N524" s="16"/>
      <c r="O524" s="17"/>
      <c r="P524" s="16"/>
      <c r="Q524" s="16"/>
      <c r="R524" s="16"/>
      <c r="S524" s="16"/>
      <c r="T524" s="17"/>
      <c r="U524" s="17"/>
      <c r="V524" s="17"/>
      <c r="W524" s="219"/>
      <c r="X524" s="219"/>
      <c r="Y524" s="219"/>
      <c r="Z524" s="219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</row>
    <row r="525" spans="1:37" hidden="1">
      <c r="A525" s="5"/>
      <c r="D525" s="5" t="s">
        <v>326</v>
      </c>
      <c r="E525" s="221">
        <v>0</v>
      </c>
      <c r="F525" s="221"/>
      <c r="G525" s="221">
        <v>0</v>
      </c>
      <c r="H525" s="97">
        <f t="shared" si="16"/>
        <v>0</v>
      </c>
      <c r="I525" s="151" t="e">
        <f t="shared" si="17"/>
        <v>#DIV/0!</v>
      </c>
      <c r="J525" s="17"/>
      <c r="K525" s="16"/>
      <c r="L525" s="16"/>
      <c r="M525" s="16"/>
      <c r="N525" s="16"/>
      <c r="O525" s="17"/>
      <c r="P525" s="16"/>
      <c r="Q525" s="16"/>
      <c r="R525" s="16"/>
      <c r="S525" s="16"/>
      <c r="T525" s="17"/>
      <c r="U525" s="17"/>
      <c r="V525" s="17"/>
      <c r="W525" s="219"/>
      <c r="X525" s="219"/>
      <c r="Y525" s="219"/>
      <c r="Z525" s="219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</row>
    <row r="526" spans="1:37" hidden="1">
      <c r="A526" s="5"/>
      <c r="D526" s="5" t="s">
        <v>327</v>
      </c>
      <c r="E526" s="222">
        <v>0</v>
      </c>
      <c r="F526" s="16">
        <v>0</v>
      </c>
      <c r="G526" s="222">
        <v>0</v>
      </c>
      <c r="H526" s="97">
        <f t="shared" si="16"/>
        <v>0</v>
      </c>
      <c r="I526" s="151" t="e">
        <f t="shared" si="17"/>
        <v>#DIV/0!</v>
      </c>
      <c r="J526" s="17"/>
      <c r="K526" s="16"/>
      <c r="L526" s="16"/>
      <c r="M526" s="16"/>
      <c r="N526" s="16"/>
      <c r="O526" s="17"/>
      <c r="P526" s="16"/>
      <c r="Q526" s="16"/>
      <c r="R526" s="16"/>
      <c r="S526" s="16"/>
      <c r="T526" s="17"/>
      <c r="U526" s="17"/>
      <c r="V526" s="219"/>
      <c r="W526" s="219"/>
      <c r="X526" s="219"/>
      <c r="Y526" s="219"/>
      <c r="Z526" s="219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</row>
    <row r="527" spans="1:37">
      <c r="A527" s="5"/>
      <c r="D527" s="5" t="s">
        <v>328</v>
      </c>
      <c r="E527" s="222">
        <v>0</v>
      </c>
      <c r="F527" s="16">
        <v>0</v>
      </c>
      <c r="G527" s="222">
        <v>0</v>
      </c>
      <c r="H527" s="97">
        <f t="shared" si="16"/>
        <v>0</v>
      </c>
      <c r="I527" s="151">
        <v>0</v>
      </c>
      <c r="J527" s="17"/>
      <c r="K527" s="16"/>
      <c r="L527" s="17"/>
      <c r="M527" s="17"/>
      <c r="N527" s="17"/>
      <c r="O527" s="17"/>
      <c r="P527" s="16"/>
      <c r="Q527" s="16"/>
      <c r="R527" s="16"/>
      <c r="S527" s="16"/>
      <c r="T527" s="17"/>
      <c r="U527" s="17"/>
      <c r="V527" s="219"/>
      <c r="W527" s="219"/>
      <c r="X527" s="219"/>
      <c r="Y527" s="219"/>
      <c r="Z527" s="219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</row>
    <row r="528" spans="1:37">
      <c r="A528" s="5"/>
      <c r="D528" s="5" t="s">
        <v>329</v>
      </c>
      <c r="E528" s="222">
        <v>0</v>
      </c>
      <c r="F528" s="16">
        <v>0</v>
      </c>
      <c r="G528" s="222">
        <v>0</v>
      </c>
      <c r="H528" s="97">
        <f t="shared" si="16"/>
        <v>0</v>
      </c>
      <c r="I528" s="151">
        <v>0</v>
      </c>
      <c r="J528" s="17"/>
      <c r="K528" s="16"/>
      <c r="L528" s="16"/>
      <c r="M528" s="16"/>
      <c r="N528" s="16"/>
      <c r="O528" s="17"/>
      <c r="P528" s="16"/>
      <c r="Q528" s="16"/>
      <c r="R528" s="16"/>
      <c r="S528" s="16"/>
      <c r="T528" s="17"/>
      <c r="U528" s="17"/>
      <c r="V528" s="219"/>
      <c r="W528" s="219"/>
      <c r="X528" s="219"/>
      <c r="Y528" s="219"/>
      <c r="Z528" s="219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</row>
    <row r="529" spans="1:37">
      <c r="A529" s="5"/>
      <c r="D529" s="5" t="s">
        <v>330</v>
      </c>
      <c r="E529" s="222">
        <v>0</v>
      </c>
      <c r="F529" s="16">
        <v>0</v>
      </c>
      <c r="G529" s="222">
        <v>0</v>
      </c>
      <c r="H529" s="97">
        <f t="shared" si="16"/>
        <v>0</v>
      </c>
      <c r="I529" s="151">
        <v>0</v>
      </c>
      <c r="J529" s="17"/>
      <c r="K529" s="16"/>
      <c r="L529" s="16"/>
      <c r="M529" s="16"/>
      <c r="N529" s="16"/>
      <c r="O529" s="17"/>
      <c r="P529" s="16"/>
      <c r="Q529" s="16"/>
      <c r="R529" s="16"/>
      <c r="S529" s="16"/>
      <c r="T529" s="17"/>
      <c r="U529" s="17"/>
      <c r="V529" s="219"/>
      <c r="W529" s="219"/>
      <c r="X529" s="219"/>
      <c r="Y529" s="219"/>
      <c r="Z529" s="219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</row>
    <row r="530" spans="1:37">
      <c r="A530" s="5"/>
      <c r="D530" s="5" t="s">
        <v>331</v>
      </c>
      <c r="E530" s="222">
        <v>0</v>
      </c>
      <c r="F530" s="16">
        <v>0</v>
      </c>
      <c r="G530" s="222">
        <v>0</v>
      </c>
      <c r="H530" s="97">
        <f t="shared" si="16"/>
        <v>0</v>
      </c>
      <c r="I530" s="151">
        <v>0</v>
      </c>
      <c r="J530" s="17"/>
      <c r="K530" s="16"/>
      <c r="L530" s="16"/>
      <c r="M530" s="16"/>
      <c r="N530" s="16"/>
      <c r="O530" s="219"/>
      <c r="P530" s="30"/>
      <c r="Q530" s="30"/>
      <c r="R530" s="30"/>
      <c r="S530" s="30"/>
      <c r="T530" s="219"/>
      <c r="U530" s="219"/>
      <c r="V530" s="219"/>
      <c r="W530" s="219"/>
      <c r="X530" s="219"/>
      <c r="Y530" s="219"/>
      <c r="Z530" s="219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</row>
    <row r="531" spans="1:37">
      <c r="A531" s="5"/>
      <c r="D531" s="5" t="s">
        <v>332</v>
      </c>
      <c r="E531" s="222">
        <v>0</v>
      </c>
      <c r="F531" s="16">
        <v>0</v>
      </c>
      <c r="G531" s="222">
        <v>0</v>
      </c>
      <c r="H531" s="97">
        <f t="shared" si="16"/>
        <v>0</v>
      </c>
      <c r="I531" s="151">
        <v>0</v>
      </c>
      <c r="J531" s="17"/>
      <c r="K531" s="16"/>
      <c r="L531" s="16"/>
      <c r="M531" s="16"/>
      <c r="N531" s="16"/>
      <c r="O531" s="219"/>
      <c r="P531" s="30"/>
      <c r="Q531" s="30"/>
      <c r="R531" s="30"/>
      <c r="S531" s="30"/>
      <c r="T531" s="219"/>
      <c r="U531" s="219"/>
      <c r="V531" s="219"/>
      <c r="W531" s="219"/>
      <c r="X531" s="219"/>
      <c r="Y531" s="219"/>
      <c r="Z531" s="219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</row>
    <row r="532" spans="1:37">
      <c r="A532" s="5"/>
      <c r="B532" s="54" t="s">
        <v>333</v>
      </c>
      <c r="D532" s="5" t="s">
        <v>334</v>
      </c>
      <c r="E532" s="66">
        <v>242448634</v>
      </c>
      <c r="F532" s="16">
        <v>253648710</v>
      </c>
      <c r="G532" s="222">
        <v>367837103</v>
      </c>
      <c r="H532" s="97">
        <f>+F532-G532</f>
        <v>-114188393</v>
      </c>
      <c r="I532" s="151">
        <f t="shared" si="17"/>
        <v>-0.31043196042134991</v>
      </c>
      <c r="J532" s="17"/>
      <c r="K532" s="61"/>
      <c r="L532" s="16"/>
      <c r="M532" s="16"/>
      <c r="N532" s="16"/>
      <c r="O532" s="219"/>
      <c r="P532" s="30"/>
      <c r="Q532" s="30"/>
      <c r="R532" s="30"/>
      <c r="S532" s="30"/>
      <c r="T532" s="219"/>
      <c r="U532" s="219"/>
      <c r="V532" s="219"/>
      <c r="W532" s="219"/>
      <c r="X532" s="219"/>
      <c r="Y532" s="219"/>
      <c r="Z532" s="219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</row>
    <row r="533" spans="1:37">
      <c r="A533" s="5"/>
      <c r="B533" s="54" t="s">
        <v>335</v>
      </c>
      <c r="D533" s="5" t="s">
        <v>336</v>
      </c>
      <c r="E533" s="66">
        <v>425789471</v>
      </c>
      <c r="F533" s="16">
        <v>439503996</v>
      </c>
      <c r="G533" s="222">
        <v>0</v>
      </c>
      <c r="H533" s="97">
        <f>+F533-G533</f>
        <v>439503996</v>
      </c>
      <c r="I533" s="151">
        <v>0</v>
      </c>
      <c r="J533" s="17"/>
      <c r="K533" s="61"/>
      <c r="L533" s="16"/>
      <c r="M533" s="16"/>
      <c r="N533" s="16"/>
      <c r="O533" s="219"/>
      <c r="P533" s="30"/>
      <c r="Q533" s="30"/>
      <c r="R533" s="30"/>
      <c r="S533" s="30"/>
      <c r="T533" s="219"/>
      <c r="U533" s="219"/>
      <c r="V533" s="219"/>
      <c r="W533" s="219"/>
      <c r="X533" s="219"/>
      <c r="Y533" s="219"/>
      <c r="Z533" s="219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</row>
    <row r="534" spans="1:37" hidden="1">
      <c r="A534" s="5"/>
      <c r="D534" s="5"/>
      <c r="E534" s="223"/>
      <c r="F534" s="222"/>
      <c r="G534" s="222"/>
      <c r="H534" s="97"/>
      <c r="I534" s="151"/>
      <c r="J534" s="17"/>
      <c r="K534" s="16"/>
      <c r="L534" s="16"/>
      <c r="M534" s="16"/>
      <c r="N534" s="16"/>
      <c r="O534" s="219"/>
      <c r="P534" s="30"/>
      <c r="Q534" s="30"/>
      <c r="R534" s="30"/>
      <c r="S534" s="30"/>
      <c r="T534" s="219"/>
      <c r="U534" s="219"/>
      <c r="V534" s="219"/>
      <c r="W534" s="219"/>
      <c r="X534" s="219"/>
      <c r="Y534" s="219"/>
      <c r="Z534" s="219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</row>
    <row r="535" spans="1:37" hidden="1">
      <c r="A535" s="5"/>
      <c r="D535" s="5"/>
      <c r="E535" s="223"/>
      <c r="F535" s="222"/>
      <c r="G535" s="222"/>
      <c r="H535" s="97"/>
      <c r="I535" s="151"/>
      <c r="J535" s="17"/>
      <c r="K535" s="16"/>
      <c r="L535" s="16"/>
      <c r="M535" s="16"/>
      <c r="N535" s="16"/>
      <c r="O535" s="219"/>
      <c r="P535" s="30"/>
      <c r="Q535" s="30"/>
      <c r="R535" s="30"/>
      <c r="S535" s="30"/>
      <c r="T535" s="219"/>
      <c r="U535" s="219"/>
      <c r="V535" s="219"/>
      <c r="W535" s="219"/>
      <c r="X535" s="219"/>
      <c r="Y535" s="219"/>
      <c r="Z535" s="219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</row>
    <row r="536" spans="1:37" hidden="1">
      <c r="A536" s="5"/>
      <c r="D536" s="5"/>
      <c r="E536" s="223"/>
      <c r="F536" s="222"/>
      <c r="G536" s="222"/>
      <c r="H536" s="97"/>
      <c r="I536" s="151"/>
      <c r="J536" s="17"/>
      <c r="K536" s="16"/>
      <c r="L536" s="16"/>
      <c r="M536" s="16"/>
      <c r="N536" s="16"/>
      <c r="O536" s="219"/>
      <c r="P536" s="30"/>
      <c r="Q536" s="30"/>
      <c r="R536" s="30"/>
      <c r="S536" s="30"/>
      <c r="T536" s="219"/>
      <c r="U536" s="219"/>
      <c r="V536" s="219"/>
      <c r="W536" s="219"/>
      <c r="X536" s="219"/>
      <c r="Y536" s="219"/>
      <c r="Z536" s="219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</row>
    <row r="537" spans="1:37" hidden="1">
      <c r="A537" s="5"/>
      <c r="D537" s="5"/>
      <c r="E537" s="223"/>
      <c r="F537" s="222"/>
      <c r="G537" s="222"/>
      <c r="H537" s="97"/>
      <c r="I537" s="151"/>
      <c r="J537" s="17"/>
      <c r="K537" s="16"/>
      <c r="L537" s="16"/>
      <c r="M537" s="16"/>
      <c r="N537" s="16"/>
      <c r="O537" s="219"/>
      <c r="P537" s="30"/>
      <c r="Q537" s="30"/>
      <c r="R537" s="30"/>
      <c r="S537" s="30"/>
      <c r="T537" s="219"/>
      <c r="U537" s="219"/>
      <c r="V537" s="219"/>
      <c r="W537" s="219"/>
      <c r="X537" s="219"/>
      <c r="Y537" s="219"/>
      <c r="Z537" s="219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</row>
    <row r="538" spans="1:37" hidden="1">
      <c r="A538" s="5"/>
      <c r="D538" s="5"/>
      <c r="E538" s="223"/>
      <c r="F538" s="223"/>
      <c r="G538" s="221"/>
      <c r="H538" s="8"/>
      <c r="I538" s="151"/>
      <c r="J538" s="17"/>
      <c r="K538" s="16"/>
      <c r="L538" s="16"/>
      <c r="M538" s="16"/>
      <c r="N538" s="16"/>
      <c r="O538" s="219"/>
      <c r="P538" s="30"/>
      <c r="Q538" s="30"/>
      <c r="R538" s="30"/>
      <c r="S538" s="30"/>
      <c r="T538" s="219"/>
      <c r="U538" s="219"/>
      <c r="V538" s="219"/>
      <c r="W538" s="219"/>
      <c r="X538" s="219"/>
      <c r="Y538" s="219"/>
      <c r="Z538" s="219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</row>
    <row r="539" spans="1:37" ht="13.5" thickBot="1">
      <c r="A539" s="5"/>
      <c r="D539" s="224" t="s">
        <v>337</v>
      </c>
      <c r="E539" s="69">
        <f>SUM(E523:E538)</f>
        <v>668238105</v>
      </c>
      <c r="F539" s="69">
        <f>SUM(F523:F538)</f>
        <v>693152706</v>
      </c>
      <c r="G539" s="225">
        <f>SUM(G523:G538)</f>
        <v>367837103</v>
      </c>
      <c r="H539" s="226">
        <f>+E539-G539</f>
        <v>300401002</v>
      </c>
      <c r="I539" s="153">
        <f>+H539/G539</f>
        <v>0.81666857299058271</v>
      </c>
      <c r="J539" s="17"/>
      <c r="K539" s="16"/>
      <c r="L539" s="16"/>
      <c r="M539" s="16"/>
      <c r="N539" s="16"/>
      <c r="O539" s="219"/>
      <c r="P539" s="30"/>
      <c r="Q539" s="30"/>
      <c r="R539" s="30"/>
      <c r="S539" s="30"/>
      <c r="T539" s="219"/>
      <c r="U539" s="219"/>
      <c r="V539" s="219"/>
      <c r="W539" s="219"/>
      <c r="X539" s="219"/>
      <c r="Y539" s="219"/>
      <c r="Z539" s="219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</row>
    <row r="540" spans="1:37" ht="13.5" thickTop="1">
      <c r="A540" s="5"/>
      <c r="D540" s="16"/>
      <c r="E540" s="16"/>
      <c r="F540" s="16"/>
      <c r="G540" s="16"/>
      <c r="H540" s="16"/>
      <c r="I540" s="16"/>
      <c r="J540" s="17"/>
      <c r="L540" s="16"/>
      <c r="M540" s="16"/>
      <c r="N540" s="16"/>
      <c r="O540" s="219"/>
      <c r="P540" s="30"/>
      <c r="Q540" s="30"/>
      <c r="R540" s="30"/>
      <c r="S540" s="30"/>
      <c r="T540" s="219"/>
      <c r="U540" s="219"/>
      <c r="V540" s="219"/>
      <c r="W540" s="219"/>
      <c r="X540" s="219"/>
      <c r="Y540" s="219"/>
      <c r="Z540" s="219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</row>
    <row r="541" spans="1:37">
      <c r="H541" s="44"/>
      <c r="I541" s="44"/>
      <c r="J541" s="17"/>
      <c r="L541" s="16"/>
      <c r="M541" s="16"/>
      <c r="N541" s="16"/>
      <c r="O541" s="219"/>
      <c r="P541" s="30"/>
      <c r="Q541" s="30"/>
      <c r="R541" s="30"/>
      <c r="S541" s="30"/>
      <c r="T541" s="219"/>
      <c r="U541" s="219"/>
      <c r="V541" s="219"/>
      <c r="W541" s="219"/>
      <c r="X541" s="219"/>
      <c r="Y541" s="219"/>
      <c r="Z541" s="219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</row>
    <row r="542" spans="1:37" ht="14">
      <c r="A542" s="146" t="s">
        <v>338</v>
      </c>
      <c r="B542" s="147"/>
      <c r="C542" s="147"/>
      <c r="D542" s="148" t="s">
        <v>339</v>
      </c>
      <c r="E542" s="148"/>
      <c r="F542" s="16"/>
      <c r="G542" s="16" t="s">
        <v>34</v>
      </c>
      <c r="H542" s="29" t="s">
        <v>34</v>
      </c>
      <c r="I542" s="44"/>
      <c r="J542" s="16"/>
      <c r="K542" s="16"/>
      <c r="L542" s="16"/>
      <c r="M542" s="16"/>
      <c r="N542" s="16"/>
      <c r="O542" s="219"/>
      <c r="P542" s="30"/>
      <c r="Q542" s="30"/>
      <c r="R542" s="30"/>
      <c r="S542" s="30"/>
      <c r="T542" s="219"/>
      <c r="U542" s="219"/>
      <c r="V542" s="219"/>
      <c r="W542" s="219"/>
      <c r="X542" s="219"/>
      <c r="Y542" s="219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</row>
    <row r="543" spans="1:37">
      <c r="A543" s="5"/>
      <c r="D543" s="16"/>
      <c r="E543" s="16"/>
      <c r="F543" s="16"/>
      <c r="G543" s="16"/>
      <c r="H543" s="29"/>
      <c r="I543" s="44"/>
      <c r="J543" s="16"/>
      <c r="K543" s="16"/>
      <c r="L543" s="16"/>
      <c r="M543" s="16"/>
      <c r="N543" s="16"/>
      <c r="O543" s="219"/>
      <c r="P543" s="30"/>
      <c r="Q543" s="30"/>
      <c r="R543" s="30"/>
      <c r="S543" s="30"/>
      <c r="T543" s="219"/>
      <c r="U543" s="219"/>
      <c r="V543" s="219"/>
      <c r="W543" s="219"/>
      <c r="X543" s="219"/>
      <c r="Y543" s="219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</row>
    <row r="544" spans="1:37" ht="13.5" thickBot="1">
      <c r="A544" s="5"/>
      <c r="D544" s="20" t="str">
        <f>E465</f>
        <v>30 April 2017</v>
      </c>
      <c r="E544" s="20"/>
      <c r="F544" s="16"/>
      <c r="G544" s="16"/>
      <c r="H544" s="29"/>
      <c r="I544" s="44"/>
      <c r="J544" s="16"/>
      <c r="K544" s="16"/>
      <c r="L544" s="16"/>
      <c r="M544" s="16"/>
      <c r="N544" s="16"/>
      <c r="O544" s="219"/>
      <c r="P544" s="30"/>
      <c r="Q544" s="30"/>
      <c r="R544" s="30"/>
      <c r="S544" s="30"/>
      <c r="T544" s="219"/>
      <c r="U544" s="219"/>
      <c r="V544" s="219"/>
      <c r="W544" s="219"/>
      <c r="X544" s="219"/>
      <c r="Y544" s="219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</row>
    <row r="545" spans="1:36">
      <c r="A545" s="5"/>
      <c r="D545" s="227" t="s">
        <v>340</v>
      </c>
      <c r="E545" s="228" t="s">
        <v>341</v>
      </c>
      <c r="F545" s="228" t="s">
        <v>342</v>
      </c>
      <c r="G545" s="229" t="s">
        <v>174</v>
      </c>
      <c r="I545" s="44"/>
      <c r="J545" s="16"/>
      <c r="K545" s="16"/>
      <c r="L545" s="16"/>
      <c r="M545" s="16"/>
      <c r="N545" s="16"/>
      <c r="O545" s="219"/>
      <c r="P545" s="30"/>
      <c r="Q545" s="30"/>
      <c r="R545" s="30"/>
      <c r="S545" s="30"/>
      <c r="T545" s="219"/>
      <c r="U545" s="219"/>
      <c r="V545" s="219"/>
      <c r="W545" s="219"/>
      <c r="X545" s="219"/>
      <c r="Y545" s="219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</row>
    <row r="546" spans="1:36" ht="13.5" thickBot="1">
      <c r="A546" s="5"/>
      <c r="D546" s="230"/>
      <c r="E546" s="230" t="s">
        <v>343</v>
      </c>
      <c r="F546" s="230" t="s">
        <v>344</v>
      </c>
      <c r="G546" s="231" t="s">
        <v>345</v>
      </c>
      <c r="I546" s="44"/>
      <c r="J546" s="16"/>
      <c r="K546" s="16"/>
      <c r="L546" s="16"/>
      <c r="M546" s="16"/>
      <c r="N546" s="16"/>
      <c r="O546" s="219"/>
      <c r="P546" s="30"/>
      <c r="Q546" s="30"/>
      <c r="R546" s="30"/>
      <c r="S546" s="30"/>
      <c r="T546" s="219"/>
      <c r="U546" s="219"/>
      <c r="V546" s="219"/>
      <c r="W546" s="219"/>
      <c r="X546" s="219"/>
      <c r="Y546" s="219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</row>
    <row r="547" spans="1:36" ht="13.5" thickBot="1">
      <c r="A547" s="5"/>
      <c r="D547" s="232"/>
      <c r="E547" s="233"/>
      <c r="F547" s="233"/>
      <c r="G547" s="233"/>
      <c r="I547" s="44"/>
      <c r="J547" s="16"/>
      <c r="K547" s="16"/>
      <c r="L547" s="16"/>
      <c r="M547" s="219"/>
      <c r="N547" s="219"/>
      <c r="O547" s="219"/>
      <c r="P547" s="30"/>
      <c r="Q547" s="30"/>
      <c r="R547" s="30"/>
      <c r="S547" s="30"/>
      <c r="T547" s="219"/>
      <c r="U547" s="219"/>
      <c r="V547" s="219"/>
      <c r="W547" s="219"/>
      <c r="X547" s="219"/>
      <c r="Y547" s="219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</row>
    <row r="548" spans="1:36" ht="13.5" thickBot="1">
      <c r="A548" s="5"/>
      <c r="D548" s="232" t="s">
        <v>346</v>
      </c>
      <c r="E548" s="234">
        <f>+F548/F550</f>
        <v>0.99990479817212485</v>
      </c>
      <c r="F548" s="233">
        <f>G548/1000</f>
        <v>26257500</v>
      </c>
      <c r="G548" s="233">
        <v>26257500000</v>
      </c>
      <c r="I548" s="44"/>
      <c r="J548" s="16"/>
      <c r="K548" s="16"/>
      <c r="L548" s="16"/>
      <c r="M548" s="219"/>
      <c r="N548" s="219"/>
      <c r="O548" s="219"/>
      <c r="P548" s="30"/>
      <c r="Q548" s="30"/>
      <c r="R548" s="30"/>
      <c r="S548" s="30"/>
      <c r="T548" s="219"/>
      <c r="U548" s="219"/>
      <c r="V548" s="219"/>
      <c r="W548" s="219"/>
      <c r="X548" s="219"/>
      <c r="Y548" s="219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</row>
    <row r="549" spans="1:36" ht="13.5" thickBot="1">
      <c r="A549" s="5"/>
      <c r="D549" s="232" t="s">
        <v>347</v>
      </c>
      <c r="E549" s="234">
        <f>+F549/F550</f>
        <v>9.5201827875095204E-5</v>
      </c>
      <c r="F549" s="233">
        <v>2500</v>
      </c>
      <c r="G549" s="233">
        <v>2500000</v>
      </c>
      <c r="I549" s="44"/>
      <c r="J549" s="16"/>
      <c r="K549" s="16"/>
      <c r="L549" s="16"/>
      <c r="M549" s="219"/>
      <c r="N549" s="219"/>
      <c r="O549" s="30"/>
      <c r="P549" s="30"/>
      <c r="Q549" s="30"/>
      <c r="R549" s="30"/>
      <c r="S549" s="219"/>
      <c r="T549" s="219"/>
      <c r="U549" s="219"/>
      <c r="V549" s="219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</row>
    <row r="550" spans="1:36" ht="13.5" thickBot="1">
      <c r="A550" s="5"/>
      <c r="D550" s="235" t="s">
        <v>130</v>
      </c>
      <c r="E550" s="236">
        <f>SUM(E548:E549)</f>
        <v>1</v>
      </c>
      <c r="F550" s="237">
        <f>SUM(F548:F549)</f>
        <v>26260000</v>
      </c>
      <c r="G550" s="237">
        <f>SUM(G548:G549)</f>
        <v>26260000000</v>
      </c>
      <c r="I550" s="29"/>
      <c r="J550" s="16"/>
      <c r="K550" s="16"/>
      <c r="L550" s="16"/>
      <c r="M550" s="219"/>
      <c r="N550" s="219"/>
      <c r="O550" s="30"/>
      <c r="P550" s="30"/>
      <c r="Q550" s="30"/>
      <c r="R550" s="30"/>
      <c r="S550" s="219"/>
      <c r="T550" s="219"/>
      <c r="U550" s="219"/>
      <c r="V550" s="219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</row>
    <row r="551" spans="1:36">
      <c r="A551" s="5"/>
      <c r="D551" s="16"/>
      <c r="E551" s="16"/>
      <c r="F551" s="16"/>
      <c r="G551" s="16"/>
      <c r="H551" s="29"/>
      <c r="I551" s="29"/>
      <c r="J551" s="16"/>
      <c r="K551" s="16"/>
      <c r="L551" s="16"/>
      <c r="M551" s="30"/>
      <c r="N551" s="30"/>
      <c r="O551" s="30"/>
      <c r="P551" s="30"/>
      <c r="Q551" s="30"/>
      <c r="R551" s="30"/>
      <c r="S551" s="219"/>
      <c r="T551" s="219"/>
      <c r="U551" s="219"/>
      <c r="V551" s="219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</row>
    <row r="552" spans="1:36">
      <c r="A552" s="5"/>
      <c r="D552" s="16"/>
      <c r="E552" s="16"/>
      <c r="F552" s="16"/>
      <c r="G552" s="16"/>
      <c r="H552" s="29"/>
      <c r="I552" s="29"/>
      <c r="J552" s="16"/>
      <c r="K552" s="16"/>
      <c r="L552" s="16"/>
      <c r="M552" s="30"/>
      <c r="N552" s="30"/>
      <c r="O552" s="30"/>
      <c r="P552" s="219"/>
      <c r="Q552" s="30"/>
      <c r="R552" s="30"/>
      <c r="S552" s="219"/>
      <c r="T552" s="219"/>
      <c r="U552" s="219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</row>
    <row r="553" spans="1:36" ht="13.5" thickBot="1">
      <c r="A553" s="5"/>
      <c r="D553" s="238" t="str">
        <f>F166</f>
        <v>31 Maret 2017</v>
      </c>
      <c r="E553" s="238"/>
      <c r="F553" s="203"/>
      <c r="G553" s="203"/>
      <c r="H553" s="29"/>
      <c r="I553" s="44"/>
      <c r="J553" s="16"/>
      <c r="K553" s="16"/>
      <c r="L553" s="16"/>
      <c r="M553" s="30"/>
      <c r="N553" s="30"/>
      <c r="O553" s="30"/>
      <c r="P553" s="30"/>
      <c r="Q553" s="30"/>
      <c r="R553" s="30"/>
      <c r="S553" s="219"/>
      <c r="T553" s="219"/>
      <c r="U553" s="219"/>
      <c r="V553" s="17"/>
      <c r="W553" s="219"/>
      <c r="X553" s="219"/>
      <c r="Y553" s="219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</row>
    <row r="554" spans="1:36">
      <c r="A554" s="5"/>
      <c r="D554" s="239" t="s">
        <v>340</v>
      </c>
      <c r="E554" s="240" t="s">
        <v>341</v>
      </c>
      <c r="F554" s="240" t="s">
        <v>342</v>
      </c>
      <c r="G554" s="241" t="s">
        <v>174</v>
      </c>
      <c r="I554" s="44"/>
      <c r="J554" s="16"/>
      <c r="K554" s="16"/>
      <c r="L554" s="16"/>
      <c r="M554" s="16"/>
      <c r="N554" s="16"/>
      <c r="O554" s="30"/>
      <c r="P554" s="30"/>
      <c r="Q554" s="30"/>
      <c r="R554" s="30"/>
      <c r="S554" s="219"/>
      <c r="T554" s="219"/>
      <c r="U554" s="219"/>
      <c r="V554" s="17"/>
      <c r="W554" s="219"/>
      <c r="X554" s="219"/>
      <c r="Y554" s="219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</row>
    <row r="555" spans="1:36" ht="13.5" thickBot="1">
      <c r="A555" s="5"/>
      <c r="D555" s="242"/>
      <c r="E555" s="242" t="s">
        <v>343</v>
      </c>
      <c r="F555" s="242" t="s">
        <v>344</v>
      </c>
      <c r="G555" s="243" t="s">
        <v>345</v>
      </c>
      <c r="I555" s="44"/>
      <c r="J555" s="16"/>
      <c r="K555" s="16"/>
      <c r="L555" s="16"/>
      <c r="M555" s="16"/>
      <c r="N555" s="16"/>
      <c r="O555" s="30"/>
      <c r="P555" s="30"/>
      <c r="Q555" s="30"/>
      <c r="R555" s="30"/>
      <c r="S555" s="219"/>
      <c r="T555" s="219"/>
      <c r="U555" s="219"/>
      <c r="V555" s="17"/>
      <c r="W555" s="219"/>
      <c r="X555" s="219"/>
      <c r="Y555" s="219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</row>
    <row r="556" spans="1:36" ht="13.5" thickBot="1">
      <c r="A556" s="5"/>
      <c r="D556" s="244"/>
      <c r="E556" s="245"/>
      <c r="F556" s="245"/>
      <c r="G556" s="245"/>
      <c r="I556" s="44"/>
      <c r="J556" s="16"/>
      <c r="K556" s="16"/>
      <c r="L556" s="16"/>
      <c r="M556" s="16"/>
      <c r="N556" s="16"/>
      <c r="O556" s="16"/>
      <c r="P556" s="16"/>
      <c r="Q556" s="16"/>
      <c r="R556" s="16"/>
      <c r="S556" s="17"/>
      <c r="T556" s="17"/>
      <c r="U556" s="17"/>
      <c r="V556" s="219"/>
      <c r="W556" s="219"/>
      <c r="X556" s="219"/>
      <c r="Y556" s="219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</row>
    <row r="557" spans="1:36" ht="13.5" thickBot="1">
      <c r="A557" s="5"/>
      <c r="D557" s="244" t="s">
        <v>346</v>
      </c>
      <c r="E557" s="246">
        <f>+F557/F559</f>
        <v>0.99990479817212485</v>
      </c>
      <c r="F557" s="245">
        <f>G557/1000</f>
        <v>26257500</v>
      </c>
      <c r="G557" s="245">
        <v>26257500000</v>
      </c>
      <c r="H557" s="161"/>
      <c r="I557" s="44"/>
      <c r="J557" s="16"/>
      <c r="K557" s="16"/>
      <c r="L557" s="16"/>
      <c r="M557" s="16"/>
      <c r="N557" s="16"/>
      <c r="O557" s="16"/>
      <c r="P557" s="16"/>
      <c r="Q557" s="16"/>
      <c r="R557" s="16"/>
      <c r="S557" s="17"/>
      <c r="T557" s="17"/>
      <c r="U557" s="17"/>
      <c r="V557" s="219"/>
      <c r="W557" s="219"/>
      <c r="X557" s="219"/>
      <c r="Y557" s="219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</row>
    <row r="558" spans="1:36" ht="13.5" thickBot="1">
      <c r="A558" s="5"/>
      <c r="D558" s="244" t="s">
        <v>347</v>
      </c>
      <c r="E558" s="246">
        <f>+F558/F559</f>
        <v>9.5201827875095204E-5</v>
      </c>
      <c r="F558" s="245">
        <v>2500</v>
      </c>
      <c r="G558" s="245">
        <v>2500000</v>
      </c>
      <c r="I558" s="44"/>
      <c r="J558" s="16"/>
      <c r="K558" s="16"/>
      <c r="L558" s="16"/>
      <c r="M558" s="219"/>
      <c r="N558" s="219"/>
      <c r="O558" s="16"/>
      <c r="P558" s="16"/>
      <c r="Q558" s="16"/>
      <c r="R558" s="16"/>
      <c r="S558" s="17"/>
      <c r="T558" s="17"/>
      <c r="U558" s="17"/>
      <c r="V558" s="219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</row>
    <row r="559" spans="1:36" ht="13.5" thickBot="1">
      <c r="A559" s="5"/>
      <c r="D559" s="247" t="s">
        <v>130</v>
      </c>
      <c r="E559" s="248">
        <f>SUM(E557:E558)</f>
        <v>1</v>
      </c>
      <c r="F559" s="249">
        <f>SUM(F557:F558)</f>
        <v>26260000</v>
      </c>
      <c r="G559" s="249">
        <f>SUM(G557:G558)</f>
        <v>26260000000</v>
      </c>
      <c r="I559" s="29"/>
      <c r="J559" s="16"/>
      <c r="K559" s="16"/>
      <c r="L559" s="16"/>
      <c r="M559" s="219"/>
      <c r="N559" s="219"/>
      <c r="O559" s="16"/>
      <c r="P559" s="16"/>
      <c r="Q559" s="16"/>
      <c r="R559" s="16"/>
      <c r="S559" s="17"/>
      <c r="T559" s="17"/>
      <c r="U559" s="17"/>
      <c r="V559" s="219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</row>
    <row r="560" spans="1:36">
      <c r="A560" s="5"/>
      <c r="D560" s="16"/>
      <c r="E560" s="16"/>
      <c r="F560" s="16"/>
      <c r="G560" s="16"/>
      <c r="H560" s="29"/>
      <c r="I560" s="29"/>
      <c r="J560" s="16"/>
      <c r="K560" s="16"/>
      <c r="L560" s="16"/>
      <c r="M560" s="30"/>
      <c r="N560" s="30"/>
      <c r="O560" s="30"/>
      <c r="P560" s="30"/>
      <c r="Q560" s="30"/>
      <c r="R560" s="30"/>
      <c r="S560" s="219"/>
      <c r="T560" s="219"/>
      <c r="U560" s="219"/>
      <c r="V560" s="219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</row>
    <row r="561" spans="1:37">
      <c r="A561" s="5"/>
      <c r="D561" s="16"/>
      <c r="E561" s="16"/>
      <c r="F561" s="16"/>
      <c r="G561" s="16"/>
      <c r="H561" s="29"/>
      <c r="I561" s="29"/>
      <c r="J561" s="16"/>
      <c r="K561" s="16"/>
      <c r="L561" s="16"/>
      <c r="M561" s="30"/>
      <c r="N561" s="30"/>
      <c r="O561" s="30"/>
      <c r="P561" s="219"/>
      <c r="Q561" s="30"/>
      <c r="R561" s="30"/>
      <c r="S561" s="219"/>
      <c r="T561" s="219"/>
      <c r="U561" s="219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</row>
    <row r="562" spans="1:37" ht="13.5" thickBot="1">
      <c r="A562" s="5"/>
      <c r="D562" s="20" t="str">
        <f>G465</f>
        <v>30 April 2016</v>
      </c>
      <c r="E562" s="20"/>
      <c r="F562" s="16"/>
      <c r="G562" s="16"/>
      <c r="H562" s="29"/>
      <c r="I562" s="29"/>
      <c r="J562" s="16"/>
      <c r="K562" s="16"/>
      <c r="L562" s="16"/>
      <c r="M562" s="30"/>
      <c r="N562" s="30"/>
      <c r="O562" s="30"/>
      <c r="P562" s="30"/>
      <c r="Q562" s="30"/>
      <c r="R562" s="30"/>
      <c r="S562" s="219"/>
      <c r="T562" s="219"/>
      <c r="U562" s="219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</row>
    <row r="563" spans="1:37">
      <c r="A563" s="5"/>
      <c r="D563" s="227" t="s">
        <v>340</v>
      </c>
      <c r="E563" s="228" t="s">
        <v>341</v>
      </c>
      <c r="F563" s="228" t="s">
        <v>342</v>
      </c>
      <c r="G563" s="229" t="s">
        <v>174</v>
      </c>
      <c r="I563" s="29"/>
      <c r="J563" s="16"/>
      <c r="K563" s="16"/>
      <c r="L563" s="16"/>
      <c r="M563" s="16"/>
      <c r="N563" s="16"/>
      <c r="O563" s="30"/>
      <c r="P563" s="30"/>
      <c r="Q563" s="30"/>
      <c r="R563" s="30"/>
      <c r="S563" s="219"/>
      <c r="T563" s="219"/>
      <c r="U563" s="219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</row>
    <row r="564" spans="1:37" ht="13.5" thickBot="1">
      <c r="A564" s="5"/>
      <c r="D564" s="230"/>
      <c r="E564" s="230" t="s">
        <v>343</v>
      </c>
      <c r="F564" s="230" t="s">
        <v>344</v>
      </c>
      <c r="G564" s="231" t="s">
        <v>345</v>
      </c>
      <c r="I564" s="29"/>
      <c r="J564" s="16"/>
      <c r="K564" s="16"/>
      <c r="L564" s="16"/>
      <c r="M564" s="16"/>
      <c r="N564" s="16"/>
      <c r="O564" s="30"/>
      <c r="P564" s="30"/>
      <c r="Q564" s="30"/>
      <c r="R564" s="30"/>
      <c r="S564" s="219"/>
      <c r="T564" s="219"/>
      <c r="U564" s="219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</row>
    <row r="565" spans="1:37" ht="13.5" thickBot="1">
      <c r="A565" s="5"/>
      <c r="D565" s="232"/>
      <c r="E565" s="233"/>
      <c r="F565" s="233"/>
      <c r="G565" s="233"/>
      <c r="I565" s="29"/>
      <c r="J565" s="16"/>
      <c r="K565" s="16"/>
      <c r="L565" s="16"/>
      <c r="M565" s="16"/>
      <c r="N565" s="16"/>
      <c r="O565" s="16"/>
      <c r="P565" s="16"/>
      <c r="Q565" s="16"/>
      <c r="R565" s="16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</row>
    <row r="566" spans="1:37" ht="13.5" thickBot="1">
      <c r="A566" s="5"/>
      <c r="D566" s="232" t="s">
        <v>346</v>
      </c>
      <c r="E566" s="234">
        <f>+F566/F568</f>
        <v>0.99990000000000001</v>
      </c>
      <c r="F566" s="233">
        <v>24997500</v>
      </c>
      <c r="G566" s="233">
        <v>24997500000</v>
      </c>
      <c r="I566" s="29"/>
      <c r="J566" s="16"/>
      <c r="K566" s="16"/>
      <c r="L566" s="16"/>
      <c r="M566" s="16"/>
      <c r="N566" s="16"/>
      <c r="O566" s="16"/>
      <c r="P566" s="16"/>
      <c r="Q566" s="16"/>
      <c r="R566" s="16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</row>
    <row r="567" spans="1:37" ht="13.5" thickBot="1">
      <c r="A567" s="5"/>
      <c r="D567" s="232" t="s">
        <v>347</v>
      </c>
      <c r="E567" s="234">
        <f>+F567/F568</f>
        <v>1E-4</v>
      </c>
      <c r="F567" s="233">
        <v>2500</v>
      </c>
      <c r="G567" s="233">
        <v>2500000</v>
      </c>
      <c r="I567" s="29"/>
      <c r="J567" s="16"/>
      <c r="K567" s="16"/>
      <c r="L567" s="16"/>
      <c r="M567" s="16"/>
      <c r="N567" s="16"/>
      <c r="O567" s="16"/>
      <c r="P567" s="16"/>
      <c r="Q567" s="16"/>
      <c r="R567" s="16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</row>
    <row r="568" spans="1:37" ht="13.5" thickBot="1">
      <c r="A568" s="5"/>
      <c r="D568" s="235" t="s">
        <v>130</v>
      </c>
      <c r="E568" s="236">
        <f>SUM(E566:E567)</f>
        <v>1</v>
      </c>
      <c r="F568" s="237">
        <f>SUM(F566:F567)</f>
        <v>25000000</v>
      </c>
      <c r="G568" s="237">
        <f>SUM(G566:G567)</f>
        <v>25000000000</v>
      </c>
      <c r="I568" s="29"/>
      <c r="J568" s="16"/>
      <c r="K568" s="16"/>
      <c r="L568" s="16"/>
      <c r="M568" s="16"/>
      <c r="N568" s="16"/>
      <c r="O568" s="16"/>
      <c r="P568" s="16"/>
      <c r="Q568" s="16"/>
      <c r="R568" s="16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</row>
    <row r="569" spans="1:37">
      <c r="A569" s="5"/>
      <c r="D569" s="16" t="s">
        <v>34</v>
      </c>
      <c r="E569" s="16"/>
      <c r="F569" s="16"/>
      <c r="G569" s="16"/>
      <c r="H569" s="29"/>
      <c r="I569" s="29"/>
      <c r="J569" s="16"/>
      <c r="K569" s="16"/>
      <c r="L569" s="16"/>
      <c r="M569" s="16"/>
      <c r="N569" s="16"/>
      <c r="O569" s="16"/>
      <c r="P569" s="16"/>
      <c r="Q569" s="16"/>
      <c r="R569" s="16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</row>
    <row r="570" spans="1:37">
      <c r="A570" s="5"/>
      <c r="D570" s="16"/>
      <c r="E570" s="16"/>
      <c r="F570" s="16"/>
      <c r="G570" s="16"/>
      <c r="H570" s="29"/>
      <c r="I570" s="29"/>
      <c r="J570" s="16"/>
      <c r="K570" s="16"/>
      <c r="L570" s="16"/>
      <c r="M570" s="16"/>
      <c r="N570" s="16"/>
      <c r="O570" s="16"/>
      <c r="P570" s="16"/>
      <c r="Q570" s="16"/>
      <c r="R570" s="16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</row>
    <row r="571" spans="1:37">
      <c r="A571" s="5"/>
      <c r="D571" s="16"/>
      <c r="E571" s="16"/>
      <c r="F571" s="16"/>
      <c r="G571" s="16"/>
      <c r="H571" s="29"/>
      <c r="I571" s="29"/>
      <c r="J571" s="16"/>
      <c r="K571" s="16"/>
      <c r="L571" s="16"/>
      <c r="M571" s="16"/>
      <c r="N571" s="16"/>
      <c r="O571" s="16"/>
      <c r="P571" s="16"/>
      <c r="Q571" s="16"/>
      <c r="R571" s="16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</row>
    <row r="572" spans="1:37" ht="15.5">
      <c r="D572" s="250" t="s">
        <v>348</v>
      </c>
      <c r="E572" s="250"/>
      <c r="F572" s="250"/>
      <c r="G572" s="16"/>
      <c r="H572" s="29"/>
      <c r="I572" s="29"/>
      <c r="J572" s="16"/>
      <c r="K572" s="16"/>
      <c r="L572" s="16"/>
      <c r="M572" s="16"/>
      <c r="N572" s="16"/>
      <c r="O572" s="16"/>
      <c r="P572" s="16"/>
      <c r="Q572" s="16"/>
      <c r="R572" s="16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</row>
    <row r="573" spans="1:37" ht="15.5">
      <c r="A573" s="251" t="s">
        <v>34</v>
      </c>
      <c r="D573" s="252"/>
      <c r="E573" s="252"/>
      <c r="F573" s="252"/>
      <c r="G573" s="16"/>
      <c r="H573" s="29"/>
      <c r="I573" s="29"/>
      <c r="J573" s="16"/>
      <c r="K573" s="16"/>
      <c r="L573" s="16"/>
      <c r="M573" s="16"/>
      <c r="N573" s="16"/>
      <c r="O573" s="16"/>
      <c r="P573" s="16"/>
      <c r="Q573" s="16"/>
      <c r="R573" s="16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</row>
    <row r="574" spans="1:37" ht="15.5">
      <c r="A574" s="251"/>
      <c r="D574" s="253" t="s">
        <v>349</v>
      </c>
      <c r="E574" s="254"/>
      <c r="F574" s="254"/>
      <c r="G574" s="16"/>
      <c r="H574" s="29"/>
      <c r="I574" s="29"/>
      <c r="J574" s="16"/>
      <c r="K574" s="16"/>
      <c r="L574" s="16"/>
      <c r="M574" s="16"/>
      <c r="N574" s="16"/>
      <c r="O574" s="16"/>
      <c r="P574" s="16"/>
      <c r="Q574" s="16"/>
      <c r="R574" s="16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</row>
    <row r="575" spans="1:37" ht="15.5">
      <c r="A575" s="251"/>
      <c r="D575" s="253" t="s">
        <v>350</v>
      </c>
      <c r="E575" s="254"/>
      <c r="F575" s="254"/>
      <c r="G575" s="16"/>
      <c r="H575" s="29"/>
      <c r="I575" s="29"/>
      <c r="J575" s="16"/>
      <c r="K575" s="16"/>
      <c r="L575" s="16"/>
      <c r="M575" s="16"/>
      <c r="N575" s="16"/>
      <c r="O575" s="16"/>
      <c r="P575" s="16"/>
      <c r="Q575" s="16"/>
      <c r="R575" s="16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</row>
    <row r="576" spans="1:37" ht="18" thickBot="1">
      <c r="A576" s="251"/>
      <c r="D576" s="255" t="str">
        <f>D3</f>
        <v>PERIODE 30 APRIL 2017 DAN 2016</v>
      </c>
      <c r="E576" s="7"/>
      <c r="F576" s="7"/>
      <c r="G576" s="7"/>
      <c r="H576" s="256"/>
      <c r="I576" s="256"/>
      <c r="J576" s="7"/>
      <c r="K576" s="7"/>
      <c r="L576" s="16"/>
      <c r="M576" s="16"/>
      <c r="N576" s="16"/>
      <c r="O576" s="16"/>
      <c r="P576" s="16"/>
      <c r="Q576" s="16"/>
      <c r="R576" s="16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</row>
    <row r="577" spans="1:37" ht="14" thickTop="1" thickBot="1">
      <c r="A577" s="5"/>
      <c r="D577" s="257"/>
      <c r="E577" s="257"/>
      <c r="F577" s="257"/>
      <c r="G577" s="81"/>
      <c r="H577" s="82"/>
      <c r="I577" s="82"/>
      <c r="J577" s="81"/>
      <c r="K577" s="81"/>
      <c r="L577" s="16"/>
      <c r="M577" s="16"/>
      <c r="N577" s="16"/>
      <c r="O577" s="16"/>
      <c r="P577" s="16"/>
      <c r="Q577" s="16"/>
      <c r="R577" s="16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</row>
    <row r="578" spans="1:37" ht="13.5" thickTop="1">
      <c r="A578" s="5"/>
      <c r="D578" s="16"/>
      <c r="E578" s="16"/>
      <c r="F578" s="16"/>
      <c r="G578" s="16"/>
      <c r="H578" s="29"/>
      <c r="I578" s="29"/>
      <c r="J578" s="30"/>
      <c r="K578" s="30"/>
      <c r="L578" s="16"/>
      <c r="M578" s="16"/>
      <c r="N578" s="16"/>
      <c r="O578" s="16"/>
      <c r="P578" s="16"/>
      <c r="Q578" s="16"/>
      <c r="R578" s="16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</row>
    <row r="579" spans="1:37" ht="14">
      <c r="A579" s="5"/>
      <c r="D579" s="258" t="s">
        <v>57</v>
      </c>
      <c r="E579" s="20" t="str">
        <f>E55</f>
        <v>30 April 2017</v>
      </c>
      <c r="F579" s="20" t="str">
        <f>F55</f>
        <v>31 Maret 2017</v>
      </c>
      <c r="G579" s="20" t="str">
        <f>G55</f>
        <v>30 April 2016</v>
      </c>
      <c r="H579" s="21" t="str">
        <f>H55</f>
        <v>s/d  30 April 2017</v>
      </c>
      <c r="I579" s="21" t="str">
        <f>I55</f>
        <v>s/d  30 April 2016</v>
      </c>
      <c r="J579" s="19" t="s">
        <v>56</v>
      </c>
      <c r="K579" s="19" t="s">
        <v>9</v>
      </c>
      <c r="L579" s="16"/>
      <c r="M579" s="16"/>
      <c r="N579" s="16"/>
      <c r="O579" s="16"/>
      <c r="P579" s="16"/>
      <c r="Q579" s="16"/>
      <c r="R579" s="16"/>
      <c r="S579" s="16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</row>
    <row r="580" spans="1:37">
      <c r="A580" s="5"/>
      <c r="D580" s="16"/>
      <c r="E580" s="16"/>
      <c r="F580" s="16"/>
      <c r="G580" s="16"/>
      <c r="H580" s="29"/>
      <c r="I580" s="29"/>
      <c r="L580" s="16"/>
      <c r="M580" s="16"/>
      <c r="N580" s="16"/>
      <c r="O580" s="16"/>
      <c r="P580" s="16"/>
      <c r="Q580" s="16"/>
      <c r="R580" s="16"/>
      <c r="S580" s="16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</row>
    <row r="581" spans="1:37" ht="14">
      <c r="A581" s="5"/>
      <c r="D581" s="259" t="s">
        <v>351</v>
      </c>
      <c r="E581" s="16"/>
      <c r="F581" s="16"/>
      <c r="G581" s="16"/>
      <c r="H581" s="29"/>
      <c r="I581" s="29"/>
      <c r="L581" s="16"/>
      <c r="M581" s="16"/>
      <c r="N581" s="16"/>
      <c r="O581" s="16"/>
      <c r="P581" s="16"/>
      <c r="Q581" s="16"/>
      <c r="R581" s="16"/>
      <c r="S581" s="16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</row>
    <row r="582" spans="1:37">
      <c r="A582" s="5"/>
      <c r="D582" s="16"/>
      <c r="E582" s="16"/>
      <c r="F582" s="16"/>
      <c r="G582" s="16"/>
      <c r="H582" s="96"/>
      <c r="I582" s="29"/>
      <c r="L582" s="16"/>
      <c r="M582" s="16"/>
      <c r="N582" s="16"/>
      <c r="O582" s="16"/>
      <c r="P582" s="16"/>
      <c r="Q582" s="16"/>
      <c r="R582" s="16"/>
      <c r="S582" s="16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</row>
    <row r="583" spans="1:37">
      <c r="A583" s="5"/>
      <c r="D583" s="16" t="s">
        <v>352</v>
      </c>
      <c r="E583" s="66">
        <v>2138691445.6900001</v>
      </c>
      <c r="F583" s="16">
        <v>2382252597.0299997</v>
      </c>
      <c r="G583" s="16">
        <v>1812192360</v>
      </c>
      <c r="H583" s="29">
        <v>8997485086.1599979</v>
      </c>
      <c r="I583" s="29">
        <v>6829827418</v>
      </c>
      <c r="J583" s="43">
        <f>+H583-I583</f>
        <v>2167657668.1599979</v>
      </c>
      <c r="K583" s="98">
        <f>+J583/I583</f>
        <v>0.3173810311000157</v>
      </c>
      <c r="L583" s="16"/>
      <c r="M583" s="16"/>
      <c r="N583" s="16"/>
      <c r="O583" s="16"/>
      <c r="P583" s="16"/>
      <c r="Q583" s="16"/>
      <c r="R583" s="16"/>
      <c r="S583" s="16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</row>
    <row r="584" spans="1:37" ht="13.5" thickBot="1">
      <c r="A584" s="5"/>
      <c r="D584" s="260" t="s">
        <v>353</v>
      </c>
      <c r="E584" s="69">
        <f>E583</f>
        <v>2138691445.6900001</v>
      </c>
      <c r="F584" s="69">
        <f>F583</f>
        <v>2382252597.0299997</v>
      </c>
      <c r="G584" s="69">
        <f>+G583</f>
        <v>1812192360</v>
      </c>
      <c r="H584" s="70">
        <f>+H583</f>
        <v>8997485086.1599979</v>
      </c>
      <c r="I584" s="70">
        <f>+I583</f>
        <v>6829827418</v>
      </c>
      <c r="J584" s="261">
        <f>+H584-I584</f>
        <v>2167657668.1599979</v>
      </c>
      <c r="K584" s="116">
        <f>+J584/I584</f>
        <v>0.3173810311000157</v>
      </c>
      <c r="L584" s="16"/>
      <c r="M584" s="16"/>
      <c r="N584" s="16"/>
      <c r="O584" s="16"/>
      <c r="P584" s="16"/>
      <c r="Q584" s="16"/>
      <c r="R584" s="16"/>
      <c r="S584" s="16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</row>
    <row r="585" spans="1:37" ht="13.5" thickTop="1">
      <c r="A585" s="5"/>
      <c r="D585" s="16"/>
      <c r="E585" s="16"/>
      <c r="F585" s="16"/>
      <c r="G585" s="16"/>
      <c r="H585" s="29"/>
      <c r="I585" s="29"/>
      <c r="J585" s="16"/>
      <c r="K585" s="33"/>
      <c r="L585" s="16"/>
      <c r="M585" s="16"/>
      <c r="N585" s="16"/>
      <c r="O585" s="16"/>
      <c r="P585" s="16"/>
      <c r="Q585" s="16"/>
      <c r="R585" s="16"/>
      <c r="S585" s="16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</row>
    <row r="586" spans="1:37">
      <c r="A586" s="5"/>
      <c r="D586" s="16"/>
      <c r="E586" s="16"/>
      <c r="F586" s="16"/>
      <c r="G586" s="16"/>
      <c r="H586" s="29"/>
      <c r="I586" s="29"/>
      <c r="J586" s="16"/>
      <c r="K586" s="33"/>
      <c r="L586" s="16"/>
      <c r="M586" s="16"/>
      <c r="N586" s="16"/>
      <c r="O586" s="16"/>
      <c r="P586" s="16"/>
      <c r="Q586" s="16"/>
      <c r="R586" s="16"/>
      <c r="S586" s="16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</row>
    <row r="587" spans="1:37" ht="14">
      <c r="A587" s="5"/>
      <c r="D587" s="259" t="s">
        <v>354</v>
      </c>
      <c r="E587" s="16"/>
      <c r="F587" s="16"/>
      <c r="G587" s="16"/>
      <c r="H587" s="29"/>
      <c r="I587" s="29"/>
      <c r="J587" s="16"/>
      <c r="K587" s="33"/>
      <c r="L587" s="16"/>
      <c r="M587" s="16"/>
      <c r="N587" s="16"/>
      <c r="O587" s="16"/>
      <c r="P587" s="16"/>
      <c r="Q587" s="16"/>
      <c r="R587" s="16"/>
      <c r="S587" s="16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</row>
    <row r="588" spans="1:37">
      <c r="A588" s="5"/>
      <c r="D588" s="16"/>
      <c r="E588" s="16"/>
      <c r="F588" s="16"/>
      <c r="G588" s="16"/>
      <c r="H588" s="29"/>
      <c r="I588" s="29"/>
      <c r="J588" s="16"/>
      <c r="K588" s="33"/>
      <c r="L588" s="16"/>
      <c r="M588" s="16"/>
      <c r="N588" s="16"/>
      <c r="O588" s="16"/>
      <c r="P588" s="16"/>
      <c r="Q588" s="16"/>
      <c r="R588" s="16"/>
      <c r="S588" s="16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</row>
    <row r="589" spans="1:37">
      <c r="A589" s="5"/>
      <c r="D589" s="16" t="s">
        <v>355</v>
      </c>
      <c r="E589" s="16">
        <v>0</v>
      </c>
      <c r="F589" s="16">
        <v>0</v>
      </c>
      <c r="G589" s="16">
        <v>0</v>
      </c>
      <c r="H589" s="29">
        <v>0</v>
      </c>
      <c r="I589" s="29">
        <v>0</v>
      </c>
      <c r="J589" s="43">
        <f>+H589-I589</f>
        <v>0</v>
      </c>
      <c r="K589" s="98">
        <v>0</v>
      </c>
      <c r="L589" s="16"/>
      <c r="M589" s="16"/>
      <c r="N589" s="16"/>
      <c r="O589" s="16"/>
      <c r="P589" s="16"/>
      <c r="Q589" s="16"/>
      <c r="R589" s="16"/>
      <c r="S589" s="16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</row>
    <row r="590" spans="1:37" hidden="1">
      <c r="A590" s="5"/>
      <c r="D590" s="16"/>
      <c r="E590" s="16"/>
      <c r="F590" s="16"/>
      <c r="G590" s="16"/>
      <c r="H590" s="29"/>
      <c r="I590" s="29"/>
      <c r="J590" s="5"/>
      <c r="K590" s="98"/>
      <c r="L590" s="16"/>
      <c r="M590" s="16"/>
      <c r="N590" s="16"/>
      <c r="O590" s="16"/>
      <c r="P590" s="16"/>
      <c r="Q590" s="16"/>
      <c r="R590" s="16"/>
      <c r="S590" s="16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</row>
    <row r="591" spans="1:37" ht="13.5" thickBot="1">
      <c r="A591" s="5"/>
      <c r="D591" s="262" t="s">
        <v>356</v>
      </c>
      <c r="E591" s="69">
        <f>SUM(E589:E590)</f>
        <v>0</v>
      </c>
      <c r="F591" s="69">
        <f>SUM(F589:F590)</f>
        <v>0</v>
      </c>
      <c r="G591" s="69">
        <f>SUM(G589:G590)</f>
        <v>0</v>
      </c>
      <c r="H591" s="70">
        <f>SUM(H589:H590)</f>
        <v>0</v>
      </c>
      <c r="I591" s="70">
        <f>SUM(I589:I590)</f>
        <v>0</v>
      </c>
      <c r="J591" s="261">
        <f>+H591-I591</f>
        <v>0</v>
      </c>
      <c r="K591" s="116">
        <v>0</v>
      </c>
      <c r="L591" s="16"/>
      <c r="M591" s="16"/>
      <c r="N591" s="16"/>
      <c r="O591" s="16"/>
      <c r="P591" s="16"/>
      <c r="Q591" s="16"/>
      <c r="R591" s="16"/>
      <c r="S591" s="16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</row>
    <row r="592" spans="1:37" ht="13.5" thickTop="1">
      <c r="A592" s="5"/>
      <c r="D592" s="16"/>
      <c r="E592" s="16"/>
      <c r="F592" s="16"/>
      <c r="G592" s="16"/>
      <c r="H592" s="29"/>
      <c r="I592" s="29"/>
      <c r="J592" s="16"/>
      <c r="K592" s="33"/>
      <c r="L592" s="16"/>
      <c r="M592" s="16"/>
      <c r="N592" s="16"/>
      <c r="O592" s="16"/>
      <c r="P592" s="16"/>
      <c r="Q592" s="16"/>
      <c r="R592" s="16"/>
      <c r="S592" s="16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</row>
    <row r="593" spans="1:37">
      <c r="A593" s="5"/>
      <c r="D593" s="16"/>
      <c r="E593" s="16"/>
      <c r="F593" s="16"/>
      <c r="G593" s="16"/>
      <c r="H593" s="29"/>
      <c r="I593" s="29"/>
      <c r="J593" s="16"/>
      <c r="K593" s="33"/>
      <c r="L593" s="16"/>
      <c r="M593" s="16"/>
      <c r="N593" s="16"/>
      <c r="O593" s="16"/>
      <c r="P593" s="16"/>
      <c r="Q593" s="16"/>
      <c r="R593" s="16"/>
      <c r="S593" s="16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</row>
    <row r="594" spans="1:37" ht="14">
      <c r="A594" s="5"/>
      <c r="D594" s="263" t="s">
        <v>357</v>
      </c>
      <c r="E594" s="20" t="str">
        <f>E55</f>
        <v>30 April 2017</v>
      </c>
      <c r="F594" s="20" t="str">
        <f>F55</f>
        <v>31 Maret 2017</v>
      </c>
      <c r="G594" s="20" t="str">
        <f>G55</f>
        <v>30 April 2016</v>
      </c>
      <c r="H594" s="21" t="str">
        <f>H55</f>
        <v>s/d  30 April 2017</v>
      </c>
      <c r="I594" s="21" t="str">
        <f>I55</f>
        <v>s/d  30 April 2016</v>
      </c>
      <c r="J594" s="19" t="s">
        <v>56</v>
      </c>
      <c r="K594" s="19" t="s">
        <v>9</v>
      </c>
      <c r="L594" s="16"/>
      <c r="M594" s="16"/>
      <c r="N594" s="16"/>
      <c r="O594" s="16"/>
      <c r="P594" s="16"/>
      <c r="Q594" s="16"/>
      <c r="R594" s="16"/>
      <c r="S594" s="16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</row>
    <row r="595" spans="1:37">
      <c r="A595" s="94"/>
      <c r="B595" s="94"/>
      <c r="C595" s="94"/>
      <c r="D595" s="16"/>
      <c r="E595" s="16"/>
      <c r="F595" s="16"/>
      <c r="G595" s="16"/>
      <c r="H595" s="29"/>
      <c r="I595" s="29"/>
      <c r="J595" s="16"/>
      <c r="K595" s="33"/>
      <c r="L595" s="16"/>
      <c r="M595" s="16"/>
      <c r="N595" s="16"/>
      <c r="O595" s="16"/>
      <c r="P595" s="16"/>
      <c r="Q595" s="16"/>
      <c r="R595" s="16"/>
      <c r="S595" s="16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</row>
    <row r="596" spans="1:37">
      <c r="A596" s="5"/>
      <c r="D596" s="72" t="s">
        <v>358</v>
      </c>
      <c r="E596" s="72"/>
      <c r="F596" s="72"/>
      <c r="G596" s="16" t="s">
        <v>359</v>
      </c>
      <c r="H596" s="16"/>
      <c r="I596" s="16"/>
      <c r="J596" s="16"/>
      <c r="K596" s="33"/>
      <c r="L596" s="16"/>
      <c r="M596" s="16"/>
      <c r="N596" s="16"/>
      <c r="O596" s="16"/>
      <c r="P596" s="16"/>
      <c r="Q596" s="16"/>
      <c r="R596" s="16"/>
      <c r="S596" s="16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</row>
    <row r="597" spans="1:37">
      <c r="A597" s="5"/>
      <c r="B597" s="54" t="s">
        <v>360</v>
      </c>
      <c r="D597" s="16" t="s">
        <v>361</v>
      </c>
      <c r="E597" s="66">
        <v>1056786988</v>
      </c>
      <c r="F597" s="16">
        <v>1026763028</v>
      </c>
      <c r="G597" s="16">
        <v>963231623</v>
      </c>
      <c r="H597" s="16">
        <v>4125248279</v>
      </c>
      <c r="I597" s="111">
        <v>3842568166</v>
      </c>
      <c r="J597" s="43">
        <f t="shared" ref="J597:J610" si="18">+H597-I597</f>
        <v>282680113</v>
      </c>
      <c r="K597" s="98">
        <f t="shared" ref="K597:K608" si="19">+J597/I597</f>
        <v>7.3565412710495034E-2</v>
      </c>
      <c r="L597" s="61"/>
      <c r="M597" s="16"/>
      <c r="N597" s="16"/>
      <c r="O597" s="16"/>
      <c r="P597" s="16"/>
      <c r="Q597" s="16"/>
      <c r="R597" s="16"/>
      <c r="S597" s="16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</row>
    <row r="598" spans="1:37">
      <c r="A598" s="5" t="s">
        <v>34</v>
      </c>
      <c r="B598" s="16"/>
      <c r="D598" s="16" t="s">
        <v>362</v>
      </c>
      <c r="F598" s="16">
        <v>0</v>
      </c>
      <c r="G598" s="16">
        <v>0</v>
      </c>
      <c r="H598" s="29">
        <v>0</v>
      </c>
      <c r="I598" s="111">
        <v>0</v>
      </c>
      <c r="J598" s="43">
        <f t="shared" si="18"/>
        <v>0</v>
      </c>
      <c r="K598" s="98">
        <v>0</v>
      </c>
      <c r="L598" s="16"/>
      <c r="M598" s="16"/>
      <c r="N598" s="16"/>
      <c r="O598" s="16"/>
      <c r="P598" s="16"/>
      <c r="Q598" s="16"/>
      <c r="R598" s="16"/>
      <c r="S598" s="16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</row>
    <row r="599" spans="1:37">
      <c r="A599" s="5"/>
      <c r="B599" s="54" t="s">
        <v>363</v>
      </c>
      <c r="D599" s="16" t="s">
        <v>364</v>
      </c>
      <c r="E599" s="66">
        <v>0</v>
      </c>
      <c r="F599" s="16">
        <v>1000000</v>
      </c>
      <c r="G599" s="16">
        <v>22137000</v>
      </c>
      <c r="H599" s="16">
        <v>24006000</v>
      </c>
      <c r="I599" s="111">
        <v>25512000</v>
      </c>
      <c r="J599" s="43">
        <f t="shared" si="18"/>
        <v>-1506000</v>
      </c>
      <c r="K599" s="98">
        <f t="shared" si="19"/>
        <v>-5.9031044214487301E-2</v>
      </c>
      <c r="L599" s="61"/>
      <c r="M599" s="16"/>
      <c r="N599" s="16"/>
      <c r="O599" s="16"/>
      <c r="P599" s="16"/>
      <c r="Q599" s="16"/>
      <c r="R599" s="16"/>
      <c r="S599" s="16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</row>
    <row r="600" spans="1:37">
      <c r="A600" s="5"/>
      <c r="B600" s="16"/>
      <c r="D600" s="16" t="s">
        <v>365</v>
      </c>
      <c r="F600" s="16">
        <v>0</v>
      </c>
      <c r="G600" s="16">
        <v>0</v>
      </c>
      <c r="H600" s="29">
        <v>0</v>
      </c>
      <c r="I600" s="111">
        <v>0</v>
      </c>
      <c r="J600" s="43">
        <f t="shared" si="18"/>
        <v>0</v>
      </c>
      <c r="K600" s="98">
        <v>0</v>
      </c>
      <c r="L600" s="16"/>
      <c r="M600" s="16"/>
      <c r="N600" s="16"/>
      <c r="O600" s="16"/>
      <c r="P600" s="16"/>
      <c r="Q600" s="16"/>
      <c r="R600" s="16"/>
      <c r="S600" s="16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</row>
    <row r="601" spans="1:37">
      <c r="A601" s="5"/>
      <c r="B601" s="54" t="s">
        <v>366</v>
      </c>
      <c r="D601" s="16" t="s">
        <v>367</v>
      </c>
      <c r="E601" s="66">
        <v>118549363</v>
      </c>
      <c r="F601" s="16">
        <v>123059976</v>
      </c>
      <c r="G601" s="16">
        <v>125014958</v>
      </c>
      <c r="H601" s="16">
        <v>479030811</v>
      </c>
      <c r="I601" s="111">
        <v>513719247</v>
      </c>
      <c r="J601" s="43">
        <f t="shared" si="18"/>
        <v>-34688436</v>
      </c>
      <c r="K601" s="98">
        <f t="shared" si="19"/>
        <v>-6.7524112056482871E-2</v>
      </c>
      <c r="L601" s="61"/>
      <c r="M601" s="16"/>
      <c r="N601" s="16"/>
      <c r="O601" s="16"/>
      <c r="P601" s="16"/>
      <c r="Q601" s="16"/>
      <c r="R601" s="16"/>
      <c r="S601" s="16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</row>
    <row r="602" spans="1:37">
      <c r="A602" s="5"/>
      <c r="B602" s="54" t="s">
        <v>368</v>
      </c>
      <c r="D602" s="16" t="s">
        <v>369</v>
      </c>
      <c r="E602" s="66">
        <v>40559012</v>
      </c>
      <c r="F602" s="16">
        <v>39316396</v>
      </c>
      <c r="G602" s="16">
        <v>29094149</v>
      </c>
      <c r="H602" s="16">
        <v>158225471</v>
      </c>
      <c r="I602" s="111">
        <v>114284517</v>
      </c>
      <c r="J602" s="43">
        <f t="shared" si="18"/>
        <v>43940954</v>
      </c>
      <c r="K602" s="98">
        <f t="shared" si="19"/>
        <v>0.38448737548586742</v>
      </c>
      <c r="L602" s="61"/>
      <c r="M602" s="16"/>
      <c r="N602" s="16"/>
      <c r="O602" s="16"/>
      <c r="P602" s="16"/>
      <c r="Q602" s="16"/>
      <c r="R602" s="16"/>
      <c r="S602" s="16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</row>
    <row r="603" spans="1:37">
      <c r="A603" s="5"/>
      <c r="B603" s="16"/>
      <c r="D603" s="16" t="s">
        <v>370</v>
      </c>
      <c r="F603" s="16">
        <v>0</v>
      </c>
      <c r="G603" s="16">
        <v>0</v>
      </c>
      <c r="H603" s="29">
        <v>0</v>
      </c>
      <c r="I603" s="111">
        <v>0</v>
      </c>
      <c r="J603" s="43">
        <f t="shared" si="18"/>
        <v>0</v>
      </c>
      <c r="K603" s="98">
        <v>0</v>
      </c>
      <c r="L603" s="16"/>
      <c r="M603" s="16"/>
      <c r="N603" s="16"/>
      <c r="O603" s="16"/>
      <c r="P603" s="16"/>
      <c r="Q603" s="16"/>
      <c r="R603" s="16"/>
      <c r="S603" s="16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</row>
    <row r="604" spans="1:37">
      <c r="A604" s="5"/>
      <c r="B604" s="54" t="s">
        <v>371</v>
      </c>
      <c r="D604" s="16" t="s">
        <v>372</v>
      </c>
      <c r="E604" s="66">
        <v>7920270</v>
      </c>
      <c r="F604" s="16">
        <v>7660590</v>
      </c>
      <c r="G604" s="16">
        <v>29510251</v>
      </c>
      <c r="H604" s="16">
        <v>51241467</v>
      </c>
      <c r="I604" s="111">
        <v>81404667</v>
      </c>
      <c r="J604" s="43">
        <f t="shared" si="18"/>
        <v>-30163200</v>
      </c>
      <c r="K604" s="98">
        <f t="shared" si="19"/>
        <v>-0.37053403830028564</v>
      </c>
      <c r="L604" s="61"/>
      <c r="M604" s="16"/>
      <c r="N604" s="16"/>
      <c r="O604" s="16"/>
      <c r="P604" s="16"/>
      <c r="Q604" s="16"/>
      <c r="R604" s="16"/>
      <c r="S604" s="16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</row>
    <row r="605" spans="1:37">
      <c r="A605" s="5"/>
      <c r="B605" s="54" t="s">
        <v>373</v>
      </c>
      <c r="D605" s="16" t="s">
        <v>374</v>
      </c>
      <c r="E605" s="66">
        <v>37512164</v>
      </c>
      <c r="F605" s="16">
        <v>37943612</v>
      </c>
      <c r="G605" s="16">
        <v>31884164</v>
      </c>
      <c r="H605" s="16">
        <v>151784562</v>
      </c>
      <c r="I605" s="111">
        <v>121005594</v>
      </c>
      <c r="J605" s="43">
        <f t="shared" si="18"/>
        <v>30778968</v>
      </c>
      <c r="K605" s="98">
        <f t="shared" si="19"/>
        <v>0.2543598769491599</v>
      </c>
      <c r="L605" s="61"/>
      <c r="M605" s="16"/>
      <c r="N605" s="16"/>
      <c r="O605" s="16"/>
      <c r="P605" s="16"/>
      <c r="Q605" s="16"/>
      <c r="R605" s="16"/>
      <c r="S605" s="16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</row>
    <row r="606" spans="1:37">
      <c r="A606" s="5"/>
      <c r="B606" s="54" t="s">
        <v>375</v>
      </c>
      <c r="D606" s="16" t="s">
        <v>202</v>
      </c>
      <c r="E606" s="66">
        <v>43917200</v>
      </c>
      <c r="F606" s="16">
        <v>34080</v>
      </c>
      <c r="G606" s="16">
        <v>0</v>
      </c>
      <c r="H606" s="16">
        <v>51083180</v>
      </c>
      <c r="I606" s="111">
        <v>5444769</v>
      </c>
      <c r="J606" s="43">
        <f t="shared" si="18"/>
        <v>45638411</v>
      </c>
      <c r="K606" s="98">
        <f t="shared" si="19"/>
        <v>8.382065611966274</v>
      </c>
      <c r="L606" s="61"/>
      <c r="M606" s="16"/>
      <c r="N606" s="16"/>
      <c r="O606" s="16"/>
      <c r="P606" s="16"/>
      <c r="Q606" s="16"/>
      <c r="R606" s="16"/>
      <c r="S606" s="16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</row>
    <row r="607" spans="1:37">
      <c r="A607" s="5"/>
      <c r="B607" s="54" t="s">
        <v>376</v>
      </c>
      <c r="D607" s="16" t="s">
        <v>377</v>
      </c>
      <c r="E607" s="66">
        <v>24728149</v>
      </c>
      <c r="F607" s="16">
        <v>1925788</v>
      </c>
      <c r="G607" s="16">
        <v>99300000</v>
      </c>
      <c r="H607" s="16">
        <v>38862997</v>
      </c>
      <c r="I607" s="111">
        <v>100450000</v>
      </c>
      <c r="J607" s="43">
        <f t="shared" si="18"/>
        <v>-61587003</v>
      </c>
      <c r="K607" s="98">
        <f t="shared" si="19"/>
        <v>-0.6131110303633649</v>
      </c>
      <c r="L607" s="61"/>
      <c r="M607" s="16"/>
      <c r="N607" s="16"/>
      <c r="O607" s="16"/>
      <c r="P607" s="16"/>
      <c r="Q607" s="16"/>
      <c r="R607" s="16"/>
      <c r="S607" s="16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</row>
    <row r="608" spans="1:37" ht="14.25" customHeight="1">
      <c r="A608" s="5"/>
      <c r="B608" s="54" t="s">
        <v>378</v>
      </c>
      <c r="D608" s="16" t="s">
        <v>379</v>
      </c>
      <c r="E608" s="66">
        <v>11059279</v>
      </c>
      <c r="F608" s="16">
        <v>24126584.829999998</v>
      </c>
      <c r="G608" s="16">
        <v>24614123</v>
      </c>
      <c r="H608" s="16">
        <v>98179050.829999998</v>
      </c>
      <c r="I608" s="111">
        <v>87181879.650000006</v>
      </c>
      <c r="J608" s="43">
        <f t="shared" si="18"/>
        <v>10997171.179999992</v>
      </c>
      <c r="K608" s="98">
        <f t="shared" si="19"/>
        <v>0.12614056067785173</v>
      </c>
      <c r="L608" s="61"/>
      <c r="M608" s="16"/>
      <c r="N608" s="16"/>
      <c r="O608" s="16"/>
      <c r="P608" s="16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</row>
    <row r="609" spans="1:37">
      <c r="A609" s="5"/>
      <c r="B609" s="16"/>
      <c r="D609" s="16" t="s">
        <v>380</v>
      </c>
      <c r="F609" s="16">
        <v>0</v>
      </c>
      <c r="G609" s="16">
        <v>0</v>
      </c>
      <c r="H609" s="29">
        <v>0</v>
      </c>
      <c r="I609" s="111">
        <v>0</v>
      </c>
      <c r="J609" s="43">
        <f t="shared" si="18"/>
        <v>0</v>
      </c>
      <c r="K609" s="98">
        <v>0</v>
      </c>
      <c r="L609" s="16"/>
      <c r="M609" s="16"/>
      <c r="N609" s="16"/>
      <c r="O609" s="16"/>
      <c r="P609" s="16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</row>
    <row r="610" spans="1:37">
      <c r="A610" s="5"/>
      <c r="B610" s="54" t="s">
        <v>381</v>
      </c>
      <c r="D610" s="16" t="s">
        <v>382</v>
      </c>
      <c r="E610" s="66">
        <v>1000000</v>
      </c>
      <c r="F610" s="16">
        <v>0</v>
      </c>
      <c r="G610" s="16">
        <v>0</v>
      </c>
      <c r="H610" s="16">
        <v>2000000</v>
      </c>
      <c r="I610" s="111">
        <v>0</v>
      </c>
      <c r="J610" s="43">
        <f t="shared" si="18"/>
        <v>2000000</v>
      </c>
      <c r="K610" s="98">
        <v>0</v>
      </c>
      <c r="L610" s="61"/>
      <c r="M610" s="16"/>
      <c r="N610" s="16"/>
      <c r="O610" s="16"/>
      <c r="P610" s="16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</row>
    <row r="611" spans="1:37" hidden="1">
      <c r="A611" s="5"/>
      <c r="B611" s="16"/>
      <c r="D611" s="16"/>
      <c r="E611" s="16"/>
      <c r="F611" s="16"/>
      <c r="G611" s="16">
        <v>0</v>
      </c>
      <c r="H611" s="29"/>
      <c r="I611" s="29">
        <f>+G611</f>
        <v>0</v>
      </c>
      <c r="J611" s="43"/>
      <c r="K611" s="98"/>
      <c r="L611" s="16"/>
      <c r="M611" s="16"/>
      <c r="N611" s="16"/>
      <c r="O611" s="16"/>
      <c r="P611" s="16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</row>
    <row r="612" spans="1:37" hidden="1">
      <c r="A612" s="5"/>
      <c r="B612" s="16"/>
      <c r="D612" s="16"/>
      <c r="E612" s="16"/>
      <c r="F612" s="16"/>
      <c r="G612" s="16">
        <v>0</v>
      </c>
      <c r="H612" s="29"/>
      <c r="I612" s="29">
        <f>+G612</f>
        <v>0</v>
      </c>
      <c r="J612" s="43"/>
      <c r="K612" s="98"/>
      <c r="L612" s="16"/>
      <c r="M612" s="16"/>
      <c r="N612" s="16"/>
      <c r="O612" s="16"/>
      <c r="P612" s="16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</row>
    <row r="613" spans="1:37" hidden="1">
      <c r="A613" s="5"/>
      <c r="B613" s="16"/>
      <c r="D613" s="16" t="s">
        <v>34</v>
      </c>
      <c r="E613" s="16"/>
      <c r="F613" s="16"/>
      <c r="G613" s="16"/>
      <c r="H613" s="29"/>
      <c r="I613" s="29"/>
      <c r="J613" s="5"/>
      <c r="K613" s="98"/>
      <c r="L613" s="16"/>
      <c r="M613" s="16"/>
      <c r="N613" s="16"/>
      <c r="O613" s="16"/>
      <c r="P613" s="16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</row>
    <row r="614" spans="1:37" ht="13.5" thickBot="1">
      <c r="A614" s="5"/>
      <c r="B614" s="16"/>
      <c r="D614" s="262" t="s">
        <v>358</v>
      </c>
      <c r="E614" s="69">
        <f>SUM(E597:E613)</f>
        <v>1342032425</v>
      </c>
      <c r="F614" s="69">
        <f>SUM(F597:F613)</f>
        <v>1261830054.8299999</v>
      </c>
      <c r="G614" s="69">
        <f>SUM(G597:G613)</f>
        <v>1324786268</v>
      </c>
      <c r="H614" s="70">
        <f>SUM(H597:H613)</f>
        <v>5179661817.8299999</v>
      </c>
      <c r="I614" s="70">
        <f>SUM(I597:I613)</f>
        <v>4891570839.6499996</v>
      </c>
      <c r="J614" s="261">
        <f>+H614-I614</f>
        <v>288090978.18000031</v>
      </c>
      <c r="K614" s="116">
        <f>+J614/I614</f>
        <v>5.8895391199243821E-2</v>
      </c>
      <c r="L614" s="16"/>
      <c r="M614" s="16"/>
      <c r="N614" s="16"/>
      <c r="O614" s="16"/>
      <c r="P614" s="16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</row>
    <row r="615" spans="1:37" ht="13.5" thickTop="1">
      <c r="A615" s="5"/>
      <c r="D615" s="16"/>
      <c r="E615" s="16"/>
      <c r="F615" s="16"/>
      <c r="G615" s="16"/>
      <c r="H615" s="29"/>
      <c r="I615" s="29"/>
      <c r="J615" s="16"/>
      <c r="K615" s="33"/>
      <c r="M615" s="16"/>
      <c r="N615" s="16"/>
      <c r="O615" s="16"/>
      <c r="P615" s="16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</row>
    <row r="616" spans="1:37">
      <c r="A616" s="5"/>
      <c r="D616" s="16"/>
      <c r="E616" s="16"/>
      <c r="F616" s="16"/>
      <c r="G616" s="16"/>
      <c r="H616" s="29"/>
      <c r="I616" s="29"/>
      <c r="J616" s="16"/>
      <c r="K616" s="33"/>
      <c r="M616" s="16"/>
      <c r="N616" s="16"/>
      <c r="O616" s="16"/>
      <c r="P616" s="16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</row>
    <row r="617" spans="1:37" ht="14">
      <c r="A617" s="5"/>
      <c r="D617" s="263"/>
      <c r="E617" s="20" t="str">
        <f>E55</f>
        <v>30 April 2017</v>
      </c>
      <c r="F617" s="20" t="str">
        <f>F55</f>
        <v>31 Maret 2017</v>
      </c>
      <c r="G617" s="20" t="str">
        <f>G55</f>
        <v>30 April 2016</v>
      </c>
      <c r="H617" s="21" t="str">
        <f>H55</f>
        <v>s/d  30 April 2017</v>
      </c>
      <c r="I617" s="21" t="str">
        <f>I55</f>
        <v>s/d  30 April 2016</v>
      </c>
      <c r="J617" s="19" t="s">
        <v>56</v>
      </c>
      <c r="K617" s="19" t="s">
        <v>9</v>
      </c>
      <c r="M617" s="16"/>
      <c r="N617" s="16"/>
      <c r="O617" s="16"/>
      <c r="P617" s="16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</row>
    <row r="618" spans="1:37">
      <c r="A618" s="5"/>
      <c r="D618" s="72" t="s">
        <v>64</v>
      </c>
      <c r="E618" s="16"/>
      <c r="F618" s="16"/>
      <c r="G618" s="16"/>
      <c r="H618" s="29"/>
      <c r="I618" s="29"/>
      <c r="J618" s="16"/>
      <c r="K618" s="33"/>
      <c r="M618" s="16"/>
      <c r="N618" s="16"/>
      <c r="O618" s="16"/>
      <c r="P618" s="16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</row>
    <row r="619" spans="1:37">
      <c r="A619" s="5"/>
      <c r="D619" s="16" t="s">
        <v>64</v>
      </c>
      <c r="E619" s="16">
        <v>0</v>
      </c>
      <c r="F619" s="16">
        <v>0</v>
      </c>
      <c r="G619" s="16">
        <v>0</v>
      </c>
      <c r="H619" s="29">
        <v>0</v>
      </c>
      <c r="I619" s="29">
        <v>0</v>
      </c>
      <c r="J619" s="43">
        <f>+H619-I619</f>
        <v>0</v>
      </c>
      <c r="K619" s="98">
        <v>0</v>
      </c>
      <c r="M619" s="16"/>
      <c r="N619" s="16"/>
      <c r="O619" s="16"/>
      <c r="P619" s="16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</row>
    <row r="620" spans="1:37">
      <c r="A620" s="5"/>
      <c r="D620" s="16"/>
      <c r="E620" s="16"/>
      <c r="F620" s="16"/>
      <c r="G620" s="16"/>
      <c r="H620" s="29"/>
      <c r="I620" s="29"/>
      <c r="J620" s="16"/>
      <c r="K620" s="33"/>
      <c r="M620" s="16"/>
      <c r="N620" s="16"/>
      <c r="O620" s="16"/>
      <c r="P620" s="16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</row>
    <row r="621" spans="1:37" ht="13.5" thickBot="1">
      <c r="A621" s="5"/>
      <c r="D621" s="262" t="s">
        <v>64</v>
      </c>
      <c r="E621" s="69">
        <f t="shared" ref="E621:J621" si="20">SUM(E619:E620)</f>
        <v>0</v>
      </c>
      <c r="F621" s="69">
        <f t="shared" si="20"/>
        <v>0</v>
      </c>
      <c r="G621" s="69">
        <f t="shared" si="20"/>
        <v>0</v>
      </c>
      <c r="H621" s="70">
        <f t="shared" si="20"/>
        <v>0</v>
      </c>
      <c r="I621" s="70">
        <f t="shared" si="20"/>
        <v>0</v>
      </c>
      <c r="J621" s="69">
        <f t="shared" si="20"/>
        <v>0</v>
      </c>
      <c r="K621" s="116">
        <v>0</v>
      </c>
      <c r="M621" s="16"/>
      <c r="N621" s="16"/>
      <c r="O621" s="16"/>
      <c r="P621" s="16"/>
      <c r="Q621" s="16"/>
      <c r="R621" s="16"/>
      <c r="S621" s="16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</row>
    <row r="622" spans="1:37" ht="13.5" thickTop="1">
      <c r="A622" s="5"/>
      <c r="D622" s="16"/>
      <c r="E622" s="16"/>
      <c r="F622" s="16"/>
      <c r="G622" s="16"/>
      <c r="H622" s="29"/>
      <c r="I622" s="29"/>
      <c r="J622" s="16"/>
      <c r="K622" s="33"/>
      <c r="M622" s="16"/>
      <c r="N622" s="16"/>
      <c r="O622" s="16"/>
      <c r="P622" s="16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</row>
    <row r="623" spans="1:37">
      <c r="A623" s="5"/>
      <c r="D623" s="16"/>
      <c r="E623" s="16"/>
      <c r="F623" s="16"/>
      <c r="G623" s="16"/>
      <c r="H623" s="29"/>
      <c r="I623" s="29"/>
      <c r="J623" s="16"/>
      <c r="K623" s="33"/>
      <c r="M623" s="16"/>
      <c r="N623" s="16"/>
      <c r="O623" s="16"/>
      <c r="P623" s="16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</row>
    <row r="624" spans="1:37">
      <c r="A624" s="5"/>
      <c r="D624" s="16"/>
      <c r="E624" s="20" t="str">
        <f>E55</f>
        <v>30 April 2017</v>
      </c>
      <c r="F624" s="20" t="str">
        <f>F55</f>
        <v>31 Maret 2017</v>
      </c>
      <c r="G624" s="20" t="str">
        <f>G55</f>
        <v>30 April 2016</v>
      </c>
      <c r="H624" s="21" t="str">
        <f>H55</f>
        <v>s/d  30 April 2017</v>
      </c>
      <c r="I624" s="21" t="str">
        <f>I55</f>
        <v>s/d  30 April 2016</v>
      </c>
      <c r="J624" s="19" t="s">
        <v>56</v>
      </c>
      <c r="K624" s="19" t="s">
        <v>9</v>
      </c>
      <c r="M624" s="16"/>
      <c r="N624" s="16"/>
      <c r="O624" s="16"/>
      <c r="P624" s="16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</row>
    <row r="625" spans="1:37">
      <c r="A625" s="5"/>
      <c r="D625" s="72" t="s">
        <v>383</v>
      </c>
      <c r="E625" s="72"/>
      <c r="F625" s="72"/>
      <c r="G625" s="16"/>
      <c r="H625" s="29"/>
      <c r="I625" s="29"/>
      <c r="J625" s="16"/>
      <c r="K625" s="33"/>
      <c r="M625" s="16"/>
      <c r="N625" s="16"/>
      <c r="O625" s="16"/>
      <c r="P625" s="16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</row>
    <row r="626" spans="1:37">
      <c r="A626" s="5"/>
      <c r="D626" s="16" t="s">
        <v>384</v>
      </c>
      <c r="F626" s="16">
        <v>0</v>
      </c>
      <c r="G626" s="16">
        <v>0</v>
      </c>
      <c r="H626" s="16">
        <v>0</v>
      </c>
      <c r="I626" s="29">
        <v>0</v>
      </c>
      <c r="J626" s="43">
        <f t="shared" ref="J626:J637" si="21">+H626-I626</f>
        <v>0</v>
      </c>
      <c r="K626" s="98">
        <v>0</v>
      </c>
      <c r="M626" s="16"/>
      <c r="N626" s="16"/>
      <c r="O626" s="16"/>
      <c r="P626" s="16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</row>
    <row r="627" spans="1:37">
      <c r="A627" s="5"/>
      <c r="D627" s="16" t="s">
        <v>385</v>
      </c>
      <c r="F627" s="16">
        <v>0</v>
      </c>
      <c r="G627" s="16">
        <v>10931625</v>
      </c>
      <c r="H627" s="16">
        <v>0</v>
      </c>
      <c r="I627" s="111">
        <v>43726500</v>
      </c>
      <c r="J627" s="43">
        <f t="shared" si="21"/>
        <v>-43726500</v>
      </c>
      <c r="K627" s="98">
        <v>0</v>
      </c>
      <c r="M627" s="16"/>
      <c r="N627" s="16"/>
      <c r="O627" s="16"/>
      <c r="P627" s="16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</row>
    <row r="628" spans="1:37">
      <c r="A628" s="5"/>
      <c r="B628" s="54" t="s">
        <v>386</v>
      </c>
      <c r="D628" s="16" t="s">
        <v>387</v>
      </c>
      <c r="E628" s="264">
        <v>0</v>
      </c>
      <c r="F628" s="16">
        <v>16394614</v>
      </c>
      <c r="G628" s="16">
        <v>13830235</v>
      </c>
      <c r="H628" s="16">
        <v>48228973</v>
      </c>
      <c r="I628" s="111">
        <v>55320920</v>
      </c>
      <c r="J628" s="43">
        <f t="shared" si="21"/>
        <v>-7091947</v>
      </c>
      <c r="K628" s="98">
        <f t="shared" ref="K628:K633" si="22">+J628/I628</f>
        <v>-0.12819647612512591</v>
      </c>
      <c r="L628" s="61"/>
      <c r="M628" s="16"/>
      <c r="N628" s="16"/>
      <c r="O628" s="16"/>
      <c r="P628" s="16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</row>
    <row r="629" spans="1:37">
      <c r="A629" s="5"/>
      <c r="D629" s="16" t="s">
        <v>388</v>
      </c>
      <c r="F629" s="16">
        <v>0</v>
      </c>
      <c r="G629" s="16">
        <v>0</v>
      </c>
      <c r="H629" s="16">
        <v>0</v>
      </c>
      <c r="I629" s="111">
        <v>0</v>
      </c>
      <c r="J629" s="43">
        <f t="shared" si="21"/>
        <v>0</v>
      </c>
      <c r="K629" s="98">
        <v>0</v>
      </c>
      <c r="M629" s="16"/>
      <c r="N629" s="16"/>
      <c r="O629" s="16"/>
      <c r="P629" s="16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</row>
    <row r="630" spans="1:37">
      <c r="A630" s="5"/>
      <c r="D630" s="16" t="s">
        <v>389</v>
      </c>
      <c r="F630" s="16">
        <v>0</v>
      </c>
      <c r="G630" s="16">
        <v>0</v>
      </c>
      <c r="H630" s="16">
        <v>0</v>
      </c>
      <c r="I630" s="111">
        <v>0</v>
      </c>
      <c r="J630" s="43">
        <f t="shared" si="21"/>
        <v>0</v>
      </c>
      <c r="K630" s="98">
        <v>0</v>
      </c>
      <c r="M630" s="16"/>
      <c r="N630" s="16"/>
      <c r="O630" s="16"/>
      <c r="P630" s="16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</row>
    <row r="631" spans="1:37">
      <c r="A631" s="5"/>
      <c r="D631" s="16" t="s">
        <v>390</v>
      </c>
      <c r="F631" s="16">
        <v>0</v>
      </c>
      <c r="G631" s="16">
        <v>0</v>
      </c>
      <c r="H631" s="16">
        <v>0</v>
      </c>
      <c r="I631" s="111">
        <v>0</v>
      </c>
      <c r="J631" s="43">
        <f t="shared" si="21"/>
        <v>0</v>
      </c>
      <c r="K631" s="98">
        <v>0</v>
      </c>
      <c r="M631" s="16"/>
      <c r="N631" s="16"/>
      <c r="O631" s="16"/>
      <c r="P631" s="16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</row>
    <row r="632" spans="1:37">
      <c r="A632" s="5"/>
      <c r="B632" s="54"/>
      <c r="C632" s="76"/>
      <c r="D632" s="16" t="s">
        <v>391</v>
      </c>
      <c r="F632" s="16">
        <v>0</v>
      </c>
      <c r="G632" s="16">
        <v>0</v>
      </c>
      <c r="H632" s="16">
        <v>0</v>
      </c>
      <c r="I632" s="111">
        <v>7812498</v>
      </c>
      <c r="J632" s="43">
        <f t="shared" si="21"/>
        <v>-7812498</v>
      </c>
      <c r="K632" s="98">
        <f t="shared" si="22"/>
        <v>-1</v>
      </c>
      <c r="M632" s="16"/>
      <c r="N632" s="16"/>
      <c r="O632" s="16"/>
      <c r="P632" s="16"/>
      <c r="Q632" s="16"/>
      <c r="R632" s="16"/>
      <c r="S632" s="16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</row>
    <row r="633" spans="1:37">
      <c r="A633" s="5"/>
      <c r="B633" s="54"/>
      <c r="D633" s="16" t="s">
        <v>392</v>
      </c>
      <c r="E633" s="16">
        <f>E634+E635</f>
        <v>328195131</v>
      </c>
      <c r="F633" s="16">
        <f>F634+F635</f>
        <v>-306234121</v>
      </c>
      <c r="G633" s="16">
        <v>327782875</v>
      </c>
      <c r="H633" s="16">
        <f>+H634+H635</f>
        <v>1312780524</v>
      </c>
      <c r="I633" s="111">
        <v>1617175625</v>
      </c>
      <c r="J633" s="43">
        <f t="shared" si="21"/>
        <v>-304395101</v>
      </c>
      <c r="K633" s="98">
        <f t="shared" si="22"/>
        <v>-0.18822637213567944</v>
      </c>
      <c r="L633" s="61"/>
      <c r="M633" s="16"/>
      <c r="N633" s="16"/>
      <c r="O633" s="16"/>
      <c r="P633" s="16"/>
      <c r="Q633" s="16"/>
      <c r="R633" s="16"/>
      <c r="S633" s="16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</row>
    <row r="634" spans="1:37" hidden="1">
      <c r="A634" s="5"/>
      <c r="B634" s="54" t="s">
        <v>393</v>
      </c>
      <c r="D634" s="16" t="s">
        <v>392</v>
      </c>
      <c r="E634" s="66">
        <v>227212195</v>
      </c>
      <c r="F634" s="16">
        <v>-407217057</v>
      </c>
      <c r="G634" s="16"/>
      <c r="H634" s="16">
        <v>1110814652</v>
      </c>
      <c r="I634" s="29"/>
      <c r="J634" s="43"/>
      <c r="K634" s="98"/>
      <c r="L634" s="61"/>
      <c r="M634" s="16"/>
      <c r="N634" s="16"/>
      <c r="O634" s="16"/>
      <c r="P634" s="16"/>
      <c r="Q634" s="16"/>
      <c r="R634" s="16"/>
      <c r="S634" s="16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</row>
    <row r="635" spans="1:37" hidden="1">
      <c r="A635" s="5"/>
      <c r="B635" s="54" t="s">
        <v>394</v>
      </c>
      <c r="D635" s="16" t="s">
        <v>395</v>
      </c>
      <c r="E635" s="66">
        <v>100982936</v>
      </c>
      <c r="F635" s="16">
        <v>100982936</v>
      </c>
      <c r="G635" s="16"/>
      <c r="H635" s="16">
        <v>201965872</v>
      </c>
      <c r="I635" s="29"/>
      <c r="J635" s="43"/>
      <c r="K635" s="98"/>
      <c r="L635" s="61"/>
      <c r="M635" s="16"/>
      <c r="N635" s="16"/>
      <c r="O635" s="16"/>
      <c r="P635" s="16"/>
      <c r="Q635" s="16"/>
      <c r="R635" s="16"/>
      <c r="S635" s="16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</row>
    <row r="636" spans="1:37" collapsed="1">
      <c r="A636" s="5"/>
      <c r="B636" s="54" t="s">
        <v>396</v>
      </c>
      <c r="D636" s="16" t="s">
        <v>397</v>
      </c>
      <c r="E636" s="66">
        <v>6268518.4000000004</v>
      </c>
      <c r="F636" s="16">
        <v>6268519</v>
      </c>
      <c r="G636" s="16">
        <v>0</v>
      </c>
      <c r="H636" s="16">
        <v>25074074.399999999</v>
      </c>
      <c r="I636" s="111">
        <v>0</v>
      </c>
      <c r="J636" s="43">
        <f t="shared" si="21"/>
        <v>25074074.399999999</v>
      </c>
      <c r="K636" s="98">
        <v>0</v>
      </c>
      <c r="L636" s="61"/>
      <c r="M636" s="16"/>
      <c r="N636" s="16"/>
      <c r="O636" s="16"/>
      <c r="P636" s="16"/>
      <c r="Q636" s="16"/>
      <c r="R636" s="16"/>
      <c r="S636" s="16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</row>
    <row r="637" spans="1:37">
      <c r="A637" s="5"/>
      <c r="B637" s="54" t="s">
        <v>398</v>
      </c>
      <c r="D637" s="16" t="s">
        <v>399</v>
      </c>
      <c r="E637" s="66">
        <v>0</v>
      </c>
      <c r="F637" s="16">
        <v>-10000000</v>
      </c>
      <c r="G637" s="16">
        <v>0</v>
      </c>
      <c r="H637" s="16">
        <v>0</v>
      </c>
      <c r="I637" s="111">
        <v>0</v>
      </c>
      <c r="J637" s="43">
        <f t="shared" si="21"/>
        <v>0</v>
      </c>
      <c r="K637" s="98">
        <v>0</v>
      </c>
      <c r="L637" s="61"/>
      <c r="M637" s="16"/>
      <c r="N637" s="16"/>
      <c r="O637" s="16"/>
      <c r="P637" s="16"/>
      <c r="Q637" s="16"/>
      <c r="R637" s="16"/>
      <c r="S637" s="16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</row>
    <row r="638" spans="1:37">
      <c r="A638" s="5"/>
      <c r="B638" s="265" t="s">
        <v>400</v>
      </c>
      <c r="D638" s="16" t="s">
        <v>401</v>
      </c>
      <c r="E638" s="66">
        <v>44385185.633000001</v>
      </c>
      <c r="F638" s="16">
        <v>0</v>
      </c>
      <c r="G638" s="16">
        <v>0</v>
      </c>
      <c r="H638" s="16">
        <v>44385185.633000001</v>
      </c>
      <c r="I638" s="29"/>
      <c r="J638" s="5"/>
      <c r="K638" s="98"/>
      <c r="L638" s="66"/>
      <c r="M638" s="61"/>
      <c r="N638" s="61"/>
      <c r="O638" s="16"/>
      <c r="P638" s="16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</row>
    <row r="639" spans="1:37" ht="13.5" thickBot="1">
      <c r="A639" s="5"/>
      <c r="B639" s="265"/>
      <c r="D639" s="262" t="s">
        <v>66</v>
      </c>
      <c r="E639" s="69">
        <f>+SUM(E626:E633)+E636+E637+E638</f>
        <v>378848835.03299999</v>
      </c>
      <c r="F639" s="69">
        <f>+SUM(F626:F633)+F636+F637</f>
        <v>-293570988</v>
      </c>
      <c r="G639" s="69">
        <f>SUM(G626:G638)</f>
        <v>352544735</v>
      </c>
      <c r="H639" s="69">
        <f>+SUM(H626:H633)+H636+H637+H638</f>
        <v>1430468757.033</v>
      </c>
      <c r="I639" s="70">
        <f>SUM(I626:I638)</f>
        <v>1724035543</v>
      </c>
      <c r="J639" s="261">
        <f>+H639-I639</f>
        <v>-293566785.96700001</v>
      </c>
      <c r="K639" s="116">
        <f>+J639/I639</f>
        <v>-0.17027884788045811</v>
      </c>
      <c r="M639" s="16"/>
      <c r="N639" s="16"/>
      <c r="O639" s="16"/>
      <c r="P639" s="16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</row>
    <row r="640" spans="1:37" ht="13.5" thickTop="1">
      <c r="A640" s="5"/>
      <c r="D640" s="16"/>
      <c r="E640" s="16"/>
      <c r="F640" s="16"/>
      <c r="G640" s="16"/>
      <c r="H640" s="29"/>
      <c r="I640" s="29"/>
      <c r="J640" s="16"/>
      <c r="K640" s="33"/>
      <c r="M640" s="16"/>
      <c r="N640" s="16"/>
      <c r="O640" s="16"/>
      <c r="P640" s="16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</row>
    <row r="641" spans="1:37">
      <c r="A641" s="5"/>
      <c r="D641" s="16"/>
      <c r="E641" s="16"/>
      <c r="F641" s="16"/>
      <c r="G641" s="16"/>
      <c r="H641" s="29"/>
      <c r="I641" s="29"/>
      <c r="J641" s="16"/>
      <c r="K641" s="33"/>
      <c r="M641" s="16"/>
      <c r="N641" s="16"/>
      <c r="O641" s="16"/>
      <c r="P641" s="16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</row>
    <row r="642" spans="1:37">
      <c r="A642" s="5"/>
      <c r="D642" s="16"/>
      <c r="E642" s="20" t="str">
        <f>E579</f>
        <v>30 April 2017</v>
      </c>
      <c r="F642" s="20" t="str">
        <f>F579</f>
        <v>31 Maret 2017</v>
      </c>
      <c r="G642" s="20" t="str">
        <f>G579</f>
        <v>30 April 2016</v>
      </c>
      <c r="H642" s="21" t="str">
        <f>H579</f>
        <v>s/d  30 April 2017</v>
      </c>
      <c r="I642" s="21" t="str">
        <f>I579</f>
        <v>s/d  30 April 2016</v>
      </c>
      <c r="J642" s="19" t="s">
        <v>56</v>
      </c>
      <c r="K642" s="19" t="s">
        <v>9</v>
      </c>
      <c r="M642" s="16"/>
      <c r="N642" s="16"/>
      <c r="O642" s="16"/>
      <c r="P642" s="16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</row>
    <row r="643" spans="1:37">
      <c r="A643" s="5"/>
      <c r="D643" s="266" t="s">
        <v>67</v>
      </c>
      <c r="E643" s="16"/>
      <c r="F643" s="16"/>
      <c r="G643" s="16"/>
      <c r="H643" s="29"/>
      <c r="I643" s="29"/>
      <c r="J643" s="16"/>
      <c r="K643" s="33"/>
      <c r="M643" s="16"/>
      <c r="N643" s="16"/>
      <c r="O643" s="16"/>
      <c r="P643" s="16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</row>
    <row r="644" spans="1:37">
      <c r="A644" s="5"/>
      <c r="D644" s="267" t="s">
        <v>67</v>
      </c>
      <c r="E644" s="16">
        <v>0</v>
      </c>
      <c r="F644" s="16">
        <v>0</v>
      </c>
      <c r="G644" s="16">
        <v>0</v>
      </c>
      <c r="H644" s="29">
        <v>0</v>
      </c>
      <c r="I644" s="29">
        <v>0</v>
      </c>
      <c r="J644" s="43">
        <f>+H644-I644</f>
        <v>0</v>
      </c>
      <c r="K644" s="98">
        <v>0</v>
      </c>
      <c r="M644" s="16"/>
      <c r="N644" s="16"/>
      <c r="O644" s="16"/>
      <c r="P644" s="16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</row>
    <row r="645" spans="1:37">
      <c r="A645" s="5"/>
      <c r="D645" s="16"/>
      <c r="E645" s="16"/>
      <c r="F645" s="16"/>
      <c r="G645" s="16"/>
      <c r="H645" s="29"/>
      <c r="I645" s="29"/>
      <c r="J645" s="16"/>
      <c r="K645" s="33"/>
      <c r="M645" s="16"/>
      <c r="N645" s="16"/>
      <c r="O645" s="16"/>
      <c r="P645" s="16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</row>
    <row r="646" spans="1:37" ht="13.5" thickBot="1">
      <c r="A646" s="5"/>
      <c r="D646" s="262" t="s">
        <v>67</v>
      </c>
      <c r="E646" s="69">
        <f t="shared" ref="E646:J646" si="23">SUM(E644:E645)</f>
        <v>0</v>
      </c>
      <c r="F646" s="69">
        <f t="shared" si="23"/>
        <v>0</v>
      </c>
      <c r="G646" s="69">
        <f t="shared" si="23"/>
        <v>0</v>
      </c>
      <c r="H646" s="70">
        <f t="shared" si="23"/>
        <v>0</v>
      </c>
      <c r="I646" s="70">
        <f t="shared" si="23"/>
        <v>0</v>
      </c>
      <c r="J646" s="69">
        <f t="shared" si="23"/>
        <v>0</v>
      </c>
      <c r="K646" s="116">
        <v>0</v>
      </c>
      <c r="M646" s="16"/>
      <c r="N646" s="16"/>
      <c r="O646" s="16"/>
      <c r="P646" s="16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</row>
    <row r="647" spans="1:37" ht="13.5" thickTop="1">
      <c r="A647" s="5"/>
      <c r="D647" s="16"/>
      <c r="E647" s="16"/>
      <c r="F647" s="16"/>
      <c r="G647" s="16"/>
      <c r="H647" s="29"/>
      <c r="I647" s="29"/>
      <c r="J647" s="16"/>
      <c r="K647" s="33"/>
      <c r="M647" s="16"/>
      <c r="N647" s="16"/>
      <c r="O647" s="16"/>
      <c r="P647" s="16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</row>
    <row r="648" spans="1:37">
      <c r="A648" s="5"/>
      <c r="D648" s="16"/>
      <c r="E648" s="16"/>
      <c r="F648" s="16"/>
      <c r="G648" s="16"/>
      <c r="H648" s="29"/>
      <c r="I648" s="29"/>
      <c r="J648" s="16"/>
      <c r="K648" s="33"/>
      <c r="M648" s="16"/>
      <c r="N648" s="16"/>
      <c r="O648" s="16"/>
      <c r="P648" s="16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</row>
    <row r="649" spans="1:37">
      <c r="A649" s="5"/>
      <c r="E649" s="20" t="str">
        <f>E55</f>
        <v>30 April 2017</v>
      </c>
      <c r="F649" s="20" t="str">
        <f>F55</f>
        <v>31 Maret 2017</v>
      </c>
      <c r="G649" s="20" t="str">
        <f>G55</f>
        <v>30 April 2016</v>
      </c>
      <c r="H649" s="21" t="str">
        <f>H55</f>
        <v>s/d  30 April 2017</v>
      </c>
      <c r="I649" s="21" t="str">
        <f>I55</f>
        <v>s/d  30 April 2016</v>
      </c>
      <c r="J649" s="19" t="s">
        <v>56</v>
      </c>
      <c r="K649" s="19" t="s">
        <v>9</v>
      </c>
      <c r="M649" s="16"/>
      <c r="N649" s="16"/>
      <c r="O649" s="16"/>
      <c r="P649" s="16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</row>
    <row r="650" spans="1:37">
      <c r="A650" s="5"/>
      <c r="D650" s="72" t="s">
        <v>402</v>
      </c>
      <c r="E650" s="72"/>
      <c r="F650" s="72"/>
      <c r="G650" s="16"/>
      <c r="H650" s="29"/>
      <c r="I650" s="29"/>
      <c r="J650" s="16"/>
      <c r="K650" s="33"/>
      <c r="M650" s="16"/>
      <c r="N650" s="16"/>
      <c r="O650" s="16"/>
      <c r="P650" s="16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</row>
    <row r="651" spans="1:37">
      <c r="A651" s="5"/>
      <c r="B651" s="54" t="s">
        <v>403</v>
      </c>
      <c r="D651" s="267" t="s">
        <v>404</v>
      </c>
      <c r="E651" s="66">
        <v>1042767</v>
      </c>
      <c r="F651" s="16">
        <v>1042767</v>
      </c>
      <c r="G651" s="268">
        <v>22119825</v>
      </c>
      <c r="H651" s="16">
        <v>37526955</v>
      </c>
      <c r="I651" s="111">
        <v>88206120</v>
      </c>
      <c r="J651" s="43">
        <f t="shared" ref="J651:J665" si="24">+H651-I651</f>
        <v>-50679165</v>
      </c>
      <c r="K651" s="98">
        <f t="shared" ref="K651:K664" si="25">+J651/I651</f>
        <v>-0.5745538404818169</v>
      </c>
      <c r="L651" s="61"/>
      <c r="M651" s="16"/>
      <c r="N651" s="16"/>
      <c r="O651" s="61"/>
      <c r="P651" s="16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</row>
    <row r="652" spans="1:37">
      <c r="A652" s="5"/>
      <c r="B652" s="54" t="s">
        <v>405</v>
      </c>
      <c r="D652" s="267" t="s">
        <v>406</v>
      </c>
      <c r="E652" s="66">
        <v>65441667</v>
      </c>
      <c r="F652" s="16">
        <v>65441667</v>
      </c>
      <c r="G652" s="269">
        <v>52594167</v>
      </c>
      <c r="H652" s="16">
        <v>261766668</v>
      </c>
      <c r="I652" s="111">
        <v>214583334</v>
      </c>
      <c r="J652" s="43">
        <f t="shared" si="24"/>
        <v>47183334</v>
      </c>
      <c r="K652" s="98">
        <f t="shared" si="25"/>
        <v>0.21988349756929398</v>
      </c>
      <c r="L652" s="61"/>
      <c r="M652" s="16"/>
      <c r="N652" s="16"/>
      <c r="P652" s="16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</row>
    <row r="653" spans="1:37">
      <c r="A653" s="5"/>
      <c r="D653" s="267" t="s">
        <v>407</v>
      </c>
      <c r="F653" s="16">
        <v>0</v>
      </c>
      <c r="G653" s="269">
        <v>232500</v>
      </c>
      <c r="H653" s="29">
        <v>0</v>
      </c>
      <c r="I653" s="111">
        <v>930000</v>
      </c>
      <c r="J653" s="43">
        <f t="shared" si="24"/>
        <v>-930000</v>
      </c>
      <c r="K653" s="98">
        <f t="shared" si="25"/>
        <v>-1</v>
      </c>
      <c r="M653" s="16"/>
      <c r="N653" s="16"/>
      <c r="O653" s="4"/>
      <c r="P653" s="16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</row>
    <row r="654" spans="1:37">
      <c r="A654" s="5"/>
      <c r="B654" s="54" t="s">
        <v>408</v>
      </c>
      <c r="D654" s="267" t="s">
        <v>409</v>
      </c>
      <c r="E654" s="66">
        <v>88604385</v>
      </c>
      <c r="F654" s="16">
        <v>88604385</v>
      </c>
      <c r="G654" s="269">
        <v>93448180</v>
      </c>
      <c r="H654" s="16">
        <v>355243582</v>
      </c>
      <c r="I654" s="111">
        <v>369293740</v>
      </c>
      <c r="J654" s="43">
        <f t="shared" si="24"/>
        <v>-14050158</v>
      </c>
      <c r="K654" s="98">
        <f t="shared" si="25"/>
        <v>-3.8046022659360537E-2</v>
      </c>
      <c r="L654" s="61"/>
      <c r="M654" s="16"/>
      <c r="N654" s="16"/>
      <c r="O654" s="4"/>
      <c r="P654" s="16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</row>
    <row r="655" spans="1:37">
      <c r="A655" s="5"/>
      <c r="B655" s="54" t="s">
        <v>410</v>
      </c>
      <c r="D655" s="267" t="s">
        <v>411</v>
      </c>
      <c r="E655" s="66">
        <v>349985</v>
      </c>
      <c r="F655" s="16">
        <v>349985</v>
      </c>
      <c r="G655" s="269">
        <v>349985</v>
      </c>
      <c r="H655" s="16">
        <v>1399940</v>
      </c>
      <c r="I655" s="111">
        <v>1399940</v>
      </c>
      <c r="J655" s="43">
        <f t="shared" si="24"/>
        <v>0</v>
      </c>
      <c r="K655" s="98">
        <f t="shared" si="25"/>
        <v>0</v>
      </c>
      <c r="L655" s="61"/>
      <c r="M655" s="16"/>
      <c r="N655" s="16"/>
      <c r="O655" s="4"/>
      <c r="P655" s="16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</row>
    <row r="656" spans="1:37">
      <c r="A656" s="5"/>
      <c r="B656" s="54"/>
      <c r="D656" s="267" t="s">
        <v>412</v>
      </c>
      <c r="F656" s="16"/>
      <c r="G656" s="269">
        <v>0</v>
      </c>
      <c r="H656" s="29">
        <v>0</v>
      </c>
      <c r="I656" s="111">
        <v>0</v>
      </c>
      <c r="J656" s="43">
        <f t="shared" si="24"/>
        <v>0</v>
      </c>
      <c r="K656" s="98">
        <v>0</v>
      </c>
      <c r="L656" s="61"/>
      <c r="M656" s="16"/>
      <c r="N656" s="16"/>
      <c r="O656" s="4"/>
      <c r="P656" s="16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</row>
    <row r="657" spans="1:34">
      <c r="A657" s="5"/>
      <c r="B657" s="54" t="s">
        <v>413</v>
      </c>
      <c r="D657" s="267" t="s">
        <v>414</v>
      </c>
      <c r="E657" s="66">
        <v>73457</v>
      </c>
      <c r="F657" s="16">
        <v>149036</v>
      </c>
      <c r="G657" s="269">
        <v>149036</v>
      </c>
      <c r="H657" s="16">
        <v>520565</v>
      </c>
      <c r="I657" s="111">
        <v>596144</v>
      </c>
      <c r="J657" s="43">
        <f t="shared" si="24"/>
        <v>-75579</v>
      </c>
      <c r="K657" s="98">
        <f t="shared" si="25"/>
        <v>-0.12677977133041682</v>
      </c>
      <c r="L657" s="61"/>
      <c r="M657" s="16"/>
      <c r="N657" s="16"/>
      <c r="O657" s="4"/>
      <c r="P657" s="16"/>
      <c r="Q657" s="16"/>
      <c r="R657" s="16"/>
      <c r="S657" s="16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</row>
    <row r="658" spans="1:34">
      <c r="A658" s="5"/>
      <c r="D658" s="267" t="s">
        <v>415</v>
      </c>
      <c r="F658" s="16">
        <v>0</v>
      </c>
      <c r="G658" s="269">
        <v>0</v>
      </c>
      <c r="H658" s="29">
        <v>0</v>
      </c>
      <c r="I658" s="111">
        <v>0</v>
      </c>
      <c r="J658" s="43">
        <f t="shared" si="24"/>
        <v>0</v>
      </c>
      <c r="K658" s="98">
        <v>0</v>
      </c>
      <c r="M658" s="16"/>
      <c r="N658" s="16"/>
      <c r="O658" s="4"/>
      <c r="P658" s="16"/>
      <c r="Q658" s="16"/>
      <c r="R658" s="16"/>
      <c r="S658" s="16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</row>
    <row r="659" spans="1:34">
      <c r="A659" s="5"/>
      <c r="B659" s="54" t="s">
        <v>416</v>
      </c>
      <c r="D659" s="267" t="s">
        <v>417</v>
      </c>
      <c r="E659" s="66">
        <v>314333</v>
      </c>
      <c r="F659" s="16">
        <v>314333</v>
      </c>
      <c r="G659" s="269">
        <v>314333</v>
      </c>
      <c r="H659" s="16">
        <v>1257332</v>
      </c>
      <c r="I659" s="111">
        <v>0</v>
      </c>
      <c r="J659" s="43">
        <f t="shared" si="24"/>
        <v>1257332</v>
      </c>
      <c r="K659" s="98" t="e">
        <f t="shared" si="25"/>
        <v>#DIV/0!</v>
      </c>
      <c r="L659" s="61"/>
      <c r="M659" s="16"/>
      <c r="N659" s="16"/>
      <c r="O659" s="4"/>
      <c r="P659" s="16"/>
      <c r="Q659" s="16"/>
      <c r="R659" s="16"/>
      <c r="S659" s="16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</row>
    <row r="660" spans="1:34">
      <c r="A660" s="5"/>
      <c r="B660" s="54" t="s">
        <v>418</v>
      </c>
      <c r="D660" s="267" t="s">
        <v>419</v>
      </c>
      <c r="E660" s="66">
        <v>313476</v>
      </c>
      <c r="F660" s="16">
        <v>313476</v>
      </c>
      <c r="G660" s="269">
        <v>399639</v>
      </c>
      <c r="H660" s="16">
        <v>1340067</v>
      </c>
      <c r="I660" s="111">
        <v>1364256</v>
      </c>
      <c r="J660" s="43">
        <f t="shared" si="24"/>
        <v>-24189</v>
      </c>
      <c r="K660" s="98">
        <f t="shared" si="25"/>
        <v>-1.7730543241151222E-2</v>
      </c>
      <c r="L660" s="61"/>
      <c r="M660" s="16"/>
      <c r="N660" s="16"/>
      <c r="O660" s="4"/>
      <c r="P660" s="16"/>
      <c r="Q660" s="16"/>
      <c r="R660" s="16"/>
      <c r="S660" s="16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</row>
    <row r="661" spans="1:34">
      <c r="A661" s="5"/>
      <c r="B661" s="54" t="s">
        <v>420</v>
      </c>
      <c r="D661" s="267" t="s">
        <v>421</v>
      </c>
      <c r="E661" s="66">
        <v>583333</v>
      </c>
      <c r="F661" s="16">
        <v>583333</v>
      </c>
      <c r="G661" s="269">
        <v>583333</v>
      </c>
      <c r="H661" s="16">
        <v>2333332</v>
      </c>
      <c r="I661" s="111">
        <v>2333332</v>
      </c>
      <c r="J661" s="43">
        <f t="shared" si="24"/>
        <v>0</v>
      </c>
      <c r="K661" s="98">
        <f t="shared" si="25"/>
        <v>0</v>
      </c>
      <c r="L661" s="61"/>
      <c r="M661" s="16"/>
      <c r="N661" s="16"/>
      <c r="O661" s="4"/>
      <c r="P661" s="16"/>
      <c r="Q661" s="16"/>
      <c r="R661" s="16"/>
      <c r="S661" s="16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</row>
    <row r="662" spans="1:34">
      <c r="A662" s="5"/>
      <c r="D662" s="267" t="s">
        <v>422</v>
      </c>
      <c r="F662" s="16"/>
      <c r="G662" s="269">
        <v>0</v>
      </c>
      <c r="H662" s="29">
        <v>0</v>
      </c>
      <c r="I662" s="111">
        <v>0</v>
      </c>
      <c r="J662" s="43">
        <f t="shared" si="24"/>
        <v>0</v>
      </c>
      <c r="K662" s="98">
        <v>0</v>
      </c>
      <c r="M662" s="16"/>
      <c r="N662" s="16"/>
      <c r="O662" s="4"/>
      <c r="P662" s="16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</row>
    <row r="663" spans="1:34">
      <c r="A663" s="5"/>
      <c r="D663" s="267" t="s">
        <v>423</v>
      </c>
      <c r="F663" s="16"/>
      <c r="G663" s="269">
        <v>0</v>
      </c>
      <c r="H663" s="29">
        <v>0</v>
      </c>
      <c r="I663" s="111">
        <v>0</v>
      </c>
      <c r="J663" s="43">
        <f t="shared" si="24"/>
        <v>0</v>
      </c>
      <c r="K663" s="98">
        <v>0</v>
      </c>
      <c r="M663" s="16"/>
      <c r="N663" s="16"/>
      <c r="O663" s="4"/>
      <c r="P663" s="16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</row>
    <row r="664" spans="1:34">
      <c r="A664" s="5"/>
      <c r="B664" s="54" t="s">
        <v>424</v>
      </c>
      <c r="D664" s="267" t="s">
        <v>425</v>
      </c>
      <c r="E664" s="66">
        <v>6063763</v>
      </c>
      <c r="F664" s="16">
        <v>6063762.9699999997</v>
      </c>
      <c r="G664" s="269">
        <v>5336350</v>
      </c>
      <c r="H664" s="16">
        <v>39669480.969999999</v>
      </c>
      <c r="I664" s="111">
        <v>21345400</v>
      </c>
      <c r="J664" s="43">
        <f t="shared" si="24"/>
        <v>18324080.969999999</v>
      </c>
      <c r="K664" s="98">
        <f t="shared" si="25"/>
        <v>0.85845573144565102</v>
      </c>
      <c r="L664" s="61"/>
      <c r="M664" s="16"/>
      <c r="N664" s="16"/>
      <c r="O664" s="4"/>
      <c r="P664" s="16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</row>
    <row r="665" spans="1:34">
      <c r="A665" s="5"/>
      <c r="D665" s="267" t="s">
        <v>426</v>
      </c>
      <c r="F665" s="16"/>
      <c r="G665" s="269">
        <v>0</v>
      </c>
      <c r="H665" s="29">
        <v>0</v>
      </c>
      <c r="I665" s="29">
        <v>0</v>
      </c>
      <c r="J665" s="43">
        <f t="shared" si="24"/>
        <v>0</v>
      </c>
      <c r="K665" s="98">
        <v>0</v>
      </c>
      <c r="M665" s="16"/>
      <c r="N665" s="16"/>
      <c r="O665" s="4"/>
      <c r="P665" s="16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</row>
    <row r="666" spans="1:34">
      <c r="A666" s="5"/>
      <c r="D666" s="267"/>
      <c r="F666" s="16">
        <v>0</v>
      </c>
      <c r="G666" s="269"/>
      <c r="H666" s="29"/>
      <c r="I666" s="29"/>
      <c r="J666" s="43"/>
      <c r="K666" s="98"/>
      <c r="M666" s="16"/>
      <c r="N666" s="16"/>
      <c r="O666" s="4"/>
      <c r="P666" s="16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</row>
    <row r="667" spans="1:34">
      <c r="A667" s="5"/>
      <c r="D667" s="267"/>
      <c r="F667" s="16">
        <v>0</v>
      </c>
      <c r="G667" s="269"/>
      <c r="H667" s="29"/>
      <c r="I667" s="29"/>
      <c r="J667" s="43"/>
      <c r="K667" s="98"/>
      <c r="M667" s="16"/>
      <c r="N667" s="16"/>
      <c r="O667" s="4"/>
      <c r="P667" s="16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</row>
    <row r="668" spans="1:34">
      <c r="A668" s="5"/>
      <c r="D668" s="267"/>
      <c r="F668" s="16">
        <v>0</v>
      </c>
      <c r="G668" s="269"/>
      <c r="H668" s="29"/>
      <c r="I668" s="29"/>
      <c r="J668" s="43"/>
      <c r="K668" s="98"/>
      <c r="M668" s="16"/>
      <c r="N668" s="16"/>
      <c r="O668" s="4"/>
      <c r="P668" s="16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</row>
    <row r="669" spans="1:34">
      <c r="A669" s="5"/>
      <c r="D669" s="16"/>
      <c r="F669" s="16">
        <v>0</v>
      </c>
      <c r="G669" s="269"/>
      <c r="H669" s="29">
        <f>+F669</f>
        <v>0</v>
      </c>
      <c r="I669" s="29">
        <f>+G669</f>
        <v>0</v>
      </c>
      <c r="J669" s="43">
        <f>+H669-I669</f>
        <v>0</v>
      </c>
      <c r="K669" s="98">
        <v>1</v>
      </c>
      <c r="M669" s="16"/>
      <c r="N669" s="16"/>
      <c r="O669" s="4"/>
      <c r="P669" s="16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</row>
    <row r="670" spans="1:34">
      <c r="A670" s="5"/>
      <c r="D670" s="16"/>
      <c r="E670" s="16"/>
      <c r="F670" s="16"/>
      <c r="G670" s="16"/>
      <c r="H670" s="29"/>
      <c r="I670" s="29"/>
      <c r="J670" s="5"/>
      <c r="K670" s="98"/>
      <c r="M670" s="16"/>
      <c r="N670" s="16"/>
      <c r="O670" s="4"/>
      <c r="P670" s="16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</row>
    <row r="671" spans="1:34" ht="13.5" thickBot="1">
      <c r="A671" s="5"/>
      <c r="D671" s="262" t="s">
        <v>402</v>
      </c>
      <c r="E671" s="69">
        <f>SUM(E651:E670)</f>
        <v>162787166</v>
      </c>
      <c r="F671" s="69">
        <f>SUM(F651:F670)</f>
        <v>162862744.97</v>
      </c>
      <c r="G671" s="69">
        <f>SUM(G651:G669)</f>
        <v>175527348</v>
      </c>
      <c r="H671" s="70">
        <f>SUM(H651:H669)</f>
        <v>701057921.97000003</v>
      </c>
      <c r="I671" s="70">
        <f>SUM(I651:I669)</f>
        <v>700052266</v>
      </c>
      <c r="J671" s="261">
        <f>+H671-I671</f>
        <v>1005655.9700000286</v>
      </c>
      <c r="K671" s="116">
        <f>+J671/I671</f>
        <v>1.4365441251211215E-3</v>
      </c>
      <c r="M671" s="16"/>
      <c r="N671" s="16"/>
      <c r="O671" s="4"/>
      <c r="P671" s="16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</row>
    <row r="672" spans="1:34" ht="13.5" thickTop="1">
      <c r="A672" s="5"/>
      <c r="D672" s="16"/>
      <c r="E672" s="16"/>
      <c r="F672" s="16"/>
      <c r="G672" s="16"/>
      <c r="H672" s="16"/>
      <c r="I672" s="16"/>
      <c r="J672" s="16"/>
      <c r="K672" s="33"/>
      <c r="M672" s="16"/>
      <c r="N672" s="16"/>
      <c r="O672" s="4"/>
      <c r="P672" s="16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</row>
    <row r="673" spans="1:37">
      <c r="A673" s="5"/>
      <c r="D673" s="16"/>
      <c r="E673" s="16"/>
      <c r="F673" s="16"/>
      <c r="G673" s="16"/>
      <c r="H673" s="29"/>
      <c r="I673" s="29"/>
      <c r="J673" s="16"/>
      <c r="K673" s="33"/>
      <c r="M673" s="16"/>
      <c r="N673" s="16"/>
      <c r="O673" s="4"/>
      <c r="P673" s="16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</row>
    <row r="674" spans="1:37">
      <c r="A674" s="5" t="s">
        <v>427</v>
      </c>
      <c r="D674" s="16"/>
      <c r="E674" s="20" t="str">
        <f>E55</f>
        <v>30 April 2017</v>
      </c>
      <c r="F674" s="20" t="str">
        <f>F55</f>
        <v>31 Maret 2017</v>
      </c>
      <c r="G674" s="20" t="str">
        <f>G55</f>
        <v>30 April 2016</v>
      </c>
      <c r="H674" s="21" t="str">
        <f>H55</f>
        <v>s/d  30 April 2017</v>
      </c>
      <c r="I674" s="21" t="str">
        <f>I55</f>
        <v>s/d  30 April 2016</v>
      </c>
      <c r="J674" s="19" t="s">
        <v>56</v>
      </c>
      <c r="K674" s="19" t="s">
        <v>9</v>
      </c>
      <c r="M674" s="16"/>
      <c r="N674" s="16"/>
      <c r="O674" s="4"/>
      <c r="P674" s="16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</row>
    <row r="675" spans="1:37">
      <c r="A675" s="5"/>
      <c r="D675" s="266" t="s">
        <v>428</v>
      </c>
      <c r="E675" s="16"/>
      <c r="F675" s="16"/>
      <c r="G675" s="16"/>
      <c r="H675" s="29"/>
      <c r="I675" s="29"/>
      <c r="J675" s="16"/>
      <c r="K675" s="33"/>
      <c r="M675" s="16"/>
      <c r="N675" s="16"/>
      <c r="O675" s="4"/>
      <c r="P675" s="16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</row>
    <row r="676" spans="1:37">
      <c r="A676" s="5"/>
      <c r="B676" s="54" t="s">
        <v>429</v>
      </c>
      <c r="D676" s="267" t="s">
        <v>430</v>
      </c>
      <c r="E676" s="66">
        <v>15155642</v>
      </c>
      <c r="F676" s="16">
        <v>15155641.67</v>
      </c>
      <c r="G676" s="16">
        <v>8154167</v>
      </c>
      <c r="H676" s="16">
        <v>60622567.670000002</v>
      </c>
      <c r="I676" s="111">
        <v>0</v>
      </c>
      <c r="J676" s="43">
        <f>+H676-I676</f>
        <v>60622567.670000002</v>
      </c>
      <c r="K676" s="98" t="e">
        <f>+J676/I676</f>
        <v>#DIV/0!</v>
      </c>
      <c r="L676" s="61"/>
      <c r="M676" s="16"/>
      <c r="N676" s="16"/>
      <c r="P676" s="16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</row>
    <row r="677" spans="1:37">
      <c r="A677" s="5"/>
      <c r="D677" s="16"/>
      <c r="E677" s="16"/>
      <c r="F677" s="16"/>
      <c r="G677" s="16"/>
      <c r="H677" s="29"/>
      <c r="I677" s="29"/>
      <c r="J677" s="16"/>
      <c r="K677" s="33"/>
      <c r="L677" s="5"/>
      <c r="M677" s="16"/>
      <c r="N677" s="16"/>
      <c r="P677" s="16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</row>
    <row r="678" spans="1:37" ht="13.5" thickBot="1">
      <c r="A678" s="5"/>
      <c r="D678" s="262" t="s">
        <v>428</v>
      </c>
      <c r="E678" s="69">
        <f t="shared" ref="E678:J678" si="26">SUM(E676:E677)</f>
        <v>15155642</v>
      </c>
      <c r="F678" s="69">
        <f>SUM(F676:F677)</f>
        <v>15155641.67</v>
      </c>
      <c r="G678" s="69">
        <f t="shared" si="26"/>
        <v>8154167</v>
      </c>
      <c r="H678" s="70">
        <f t="shared" si="26"/>
        <v>60622567.670000002</v>
      </c>
      <c r="I678" s="70">
        <f t="shared" si="26"/>
        <v>0</v>
      </c>
      <c r="J678" s="69">
        <f t="shared" si="26"/>
        <v>60622567.670000002</v>
      </c>
      <c r="K678" s="116" t="e">
        <f>+J678/I678</f>
        <v>#DIV/0!</v>
      </c>
      <c r="M678" s="16"/>
      <c r="N678" s="16"/>
      <c r="P678" s="16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</row>
    <row r="679" spans="1:37" ht="13.5" thickTop="1">
      <c r="A679" s="5"/>
      <c r="D679" s="16"/>
      <c r="E679" s="16"/>
      <c r="F679" s="16"/>
      <c r="G679" s="16"/>
      <c r="H679" s="29"/>
      <c r="I679" s="29"/>
      <c r="J679" s="16"/>
      <c r="K679" s="33"/>
      <c r="M679" s="16"/>
      <c r="N679" s="16"/>
      <c r="P679" s="16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</row>
    <row r="680" spans="1:37">
      <c r="A680" s="5"/>
      <c r="D680" s="16"/>
      <c r="E680" s="16"/>
      <c r="F680" s="16"/>
      <c r="G680" s="16"/>
      <c r="H680" s="29"/>
      <c r="I680" s="29"/>
      <c r="J680" s="16"/>
      <c r="K680" s="33"/>
      <c r="L680" s="61"/>
      <c r="M680" s="16"/>
      <c r="N680" s="16"/>
      <c r="P680" s="16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</row>
    <row r="681" spans="1:37">
      <c r="A681" s="5"/>
      <c r="D681" s="16"/>
      <c r="E681" s="20" t="str">
        <f>E55</f>
        <v>30 April 2017</v>
      </c>
      <c r="F681" s="20" t="str">
        <f>F55</f>
        <v>31 Maret 2017</v>
      </c>
      <c r="G681" s="20" t="str">
        <f>G55</f>
        <v>30 April 2016</v>
      </c>
      <c r="H681" s="21" t="str">
        <f>H55</f>
        <v>s/d  30 April 2017</v>
      </c>
      <c r="I681" s="21" t="str">
        <f>I55</f>
        <v>s/d  30 April 2016</v>
      </c>
      <c r="J681" s="19" t="s">
        <v>56</v>
      </c>
      <c r="K681" s="19" t="s">
        <v>9</v>
      </c>
      <c r="M681" s="16"/>
      <c r="N681" s="16"/>
      <c r="P681" s="16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</row>
    <row r="682" spans="1:37">
      <c r="A682" s="94"/>
      <c r="B682" s="94"/>
      <c r="C682" s="94"/>
      <c r="D682" s="72" t="s">
        <v>431</v>
      </c>
      <c r="E682" s="16"/>
      <c r="F682" s="16"/>
      <c r="G682" s="16"/>
      <c r="H682" s="29"/>
      <c r="I682" s="29"/>
      <c r="J682" s="5"/>
      <c r="K682" s="98"/>
      <c r="M682" s="16"/>
      <c r="N682" s="16"/>
      <c r="P682" s="16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</row>
    <row r="683" spans="1:37">
      <c r="A683" s="5"/>
      <c r="B683" s="54"/>
      <c r="C683" s="61"/>
      <c r="D683" s="16" t="s">
        <v>432</v>
      </c>
      <c r="E683" s="16">
        <f>E684+E685</f>
        <v>4850630</v>
      </c>
      <c r="F683" s="16">
        <f>F684+F685</f>
        <v>27000</v>
      </c>
      <c r="G683" s="16">
        <v>107000</v>
      </c>
      <c r="H683" s="29">
        <f>+H684+H685</f>
        <v>5854800</v>
      </c>
      <c r="I683" s="111">
        <v>1746260</v>
      </c>
      <c r="J683" s="43">
        <f t="shared" ref="J683:J699" si="27">+H683-I683</f>
        <v>4108540</v>
      </c>
      <c r="K683" s="98">
        <f t="shared" ref="K683:K708" si="28">+J683/I683</f>
        <v>2.3527653384948404</v>
      </c>
      <c r="L683" s="61"/>
      <c r="M683" s="16"/>
      <c r="N683" s="16"/>
      <c r="O683" s="16"/>
      <c r="P683" s="16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</row>
    <row r="684" spans="1:37">
      <c r="A684" s="5"/>
      <c r="B684" s="54" t="s">
        <v>433</v>
      </c>
      <c r="C684" s="61"/>
      <c r="D684" s="16"/>
      <c r="E684" s="66">
        <v>492245</v>
      </c>
      <c r="F684" s="16">
        <v>0</v>
      </c>
      <c r="G684" s="16"/>
      <c r="H684" s="16">
        <v>852815</v>
      </c>
      <c r="I684" s="111" t="e">
        <v>#N/A</v>
      </c>
      <c r="J684" s="43"/>
      <c r="K684" s="98"/>
      <c r="L684" s="61"/>
      <c r="M684" s="16"/>
      <c r="N684" s="16"/>
      <c r="O684" s="16"/>
      <c r="P684" s="16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</row>
    <row r="685" spans="1:37">
      <c r="A685" s="5"/>
      <c r="B685" s="54" t="s">
        <v>434</v>
      </c>
      <c r="C685" s="61"/>
      <c r="D685" s="16"/>
      <c r="E685" s="66">
        <v>4358385</v>
      </c>
      <c r="F685" s="16">
        <v>27000</v>
      </c>
      <c r="G685" s="16"/>
      <c r="H685" s="16">
        <v>5001985</v>
      </c>
      <c r="I685" s="111" t="e">
        <v>#N/A</v>
      </c>
      <c r="J685" s="43"/>
      <c r="K685" s="98"/>
      <c r="L685" s="61"/>
      <c r="M685" s="16"/>
      <c r="N685" s="16"/>
      <c r="O685" s="16"/>
      <c r="P685" s="16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</row>
    <row r="686" spans="1:37">
      <c r="A686" s="5"/>
      <c r="B686" s="54"/>
      <c r="C686" s="61"/>
      <c r="D686" s="16" t="s">
        <v>435</v>
      </c>
      <c r="E686" s="16">
        <f>E687+E688</f>
        <v>12762229</v>
      </c>
      <c r="F686" s="16">
        <f>F687+F688</f>
        <v>-2529072</v>
      </c>
      <c r="G686" s="16">
        <v>8909952</v>
      </c>
      <c r="H686" s="29">
        <f>+H687+H688</f>
        <v>27779072</v>
      </c>
      <c r="I686" s="111">
        <v>38238177</v>
      </c>
      <c r="J686" s="43">
        <f t="shared" si="27"/>
        <v>-10459105</v>
      </c>
      <c r="K686" s="98">
        <f t="shared" si="28"/>
        <v>-0.27352519969767386</v>
      </c>
      <c r="L686" s="61"/>
      <c r="M686" s="16"/>
      <c r="N686" s="16"/>
      <c r="O686" s="16"/>
      <c r="P686" s="16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</row>
    <row r="687" spans="1:37">
      <c r="A687" s="5"/>
      <c r="B687" s="54" t="s">
        <v>436</v>
      </c>
      <c r="C687" s="61"/>
      <c r="D687" s="16"/>
      <c r="E687" s="66">
        <v>1940919</v>
      </c>
      <c r="F687" s="16">
        <v>-6896890</v>
      </c>
      <c r="G687" s="16"/>
      <c r="H687" s="16">
        <v>3565732</v>
      </c>
      <c r="I687" s="111" t="e">
        <v>#N/A</v>
      </c>
      <c r="J687" s="43"/>
      <c r="K687" s="98"/>
      <c r="L687" s="61"/>
      <c r="M687" s="16"/>
      <c r="N687" s="16"/>
      <c r="O687" s="16"/>
      <c r="P687" s="16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</row>
    <row r="688" spans="1:37">
      <c r="A688" s="5"/>
      <c r="B688" s="54" t="s">
        <v>437</v>
      </c>
      <c r="C688" s="61"/>
      <c r="D688" s="16"/>
      <c r="E688" s="66">
        <v>10821310</v>
      </c>
      <c r="F688" s="16">
        <v>4367818</v>
      </c>
      <c r="G688" s="16"/>
      <c r="H688" s="16">
        <v>24213340</v>
      </c>
      <c r="I688" s="111" t="e">
        <v>#N/A</v>
      </c>
      <c r="J688" s="43"/>
      <c r="K688" s="98"/>
      <c r="L688" s="61"/>
      <c r="M688" s="16"/>
      <c r="N688" s="16"/>
      <c r="O688" s="16"/>
      <c r="P688" s="16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</row>
    <row r="689" spans="1:37">
      <c r="A689" s="5"/>
      <c r="B689" s="54" t="s">
        <v>438</v>
      </c>
      <c r="C689" s="61"/>
      <c r="D689" s="16" t="s">
        <v>439</v>
      </c>
      <c r="E689" s="16">
        <f>E690+E691</f>
        <v>4000000</v>
      </c>
      <c r="F689" s="16">
        <f>F690+F691</f>
        <v>4065000</v>
      </c>
      <c r="G689" s="16">
        <v>8050000</v>
      </c>
      <c r="H689" s="16">
        <f>+H690+H691</f>
        <v>16115000</v>
      </c>
      <c r="I689" s="111">
        <v>17984000</v>
      </c>
      <c r="J689" s="43">
        <f t="shared" si="27"/>
        <v>-1869000</v>
      </c>
      <c r="K689" s="98">
        <f t="shared" si="28"/>
        <v>-0.10392571174377224</v>
      </c>
      <c r="L689" s="61"/>
      <c r="M689" s="16"/>
      <c r="N689" s="16"/>
      <c r="O689" s="16"/>
      <c r="P689" s="16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</row>
    <row r="690" spans="1:37">
      <c r="A690" s="5"/>
      <c r="B690" s="54" t="s">
        <v>438</v>
      </c>
      <c r="C690" s="61"/>
      <c r="D690" s="16"/>
      <c r="E690" s="66">
        <v>4000000</v>
      </c>
      <c r="F690" s="16">
        <v>4065000</v>
      </c>
      <c r="G690" s="16"/>
      <c r="H690" s="16">
        <v>16065000</v>
      </c>
      <c r="I690" s="111" t="e">
        <v>#N/A</v>
      </c>
      <c r="J690" s="43"/>
      <c r="K690" s="98"/>
      <c r="L690" s="61"/>
      <c r="M690" s="16"/>
      <c r="N690" s="16"/>
      <c r="O690" s="16"/>
      <c r="P690" s="16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</row>
    <row r="691" spans="1:37">
      <c r="A691" s="5"/>
      <c r="B691" s="61" t="s">
        <v>440</v>
      </c>
      <c r="C691" s="61"/>
      <c r="D691" s="16"/>
      <c r="E691" s="66">
        <v>0</v>
      </c>
      <c r="F691" s="16">
        <v>0</v>
      </c>
      <c r="G691" s="16"/>
      <c r="H691" s="16">
        <v>50000</v>
      </c>
      <c r="I691" s="111" t="e">
        <v>#N/A</v>
      </c>
      <c r="J691" s="43"/>
      <c r="K691" s="98"/>
      <c r="L691" s="61"/>
      <c r="M691" s="16"/>
      <c r="N691" s="16"/>
      <c r="O691" s="16"/>
      <c r="P691" s="16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</row>
    <row r="692" spans="1:37">
      <c r="A692" s="5"/>
      <c r="B692" s="54" t="s">
        <v>441</v>
      </c>
      <c r="C692" s="61"/>
      <c r="D692" s="16" t="s">
        <v>442</v>
      </c>
      <c r="E692" s="66">
        <f>+E693+E694</f>
        <v>14380286</v>
      </c>
      <c r="F692" s="16">
        <v>0</v>
      </c>
      <c r="G692" s="16">
        <v>5000000</v>
      </c>
      <c r="H692" s="16">
        <f>+H693+H694</f>
        <v>24853726</v>
      </c>
      <c r="I692" s="111">
        <v>20220000</v>
      </c>
      <c r="J692" s="43">
        <f t="shared" si="27"/>
        <v>4633726</v>
      </c>
      <c r="K692" s="98">
        <f t="shared" si="28"/>
        <v>0.22916547972304649</v>
      </c>
      <c r="L692" s="61"/>
      <c r="M692" s="16"/>
      <c r="N692" s="16"/>
      <c r="O692" s="16"/>
      <c r="P692" s="16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</row>
    <row r="693" spans="1:37">
      <c r="A693" s="5"/>
      <c r="B693" s="54" t="s">
        <v>441</v>
      </c>
      <c r="C693" s="61"/>
      <c r="D693" s="16" t="s">
        <v>442</v>
      </c>
      <c r="E693" s="66">
        <v>9916000</v>
      </c>
      <c r="F693" s="16">
        <v>0</v>
      </c>
      <c r="G693" s="16">
        <v>12321000</v>
      </c>
      <c r="H693" s="16">
        <v>20389440</v>
      </c>
      <c r="I693" s="111">
        <v>20220000</v>
      </c>
      <c r="J693" s="43">
        <f>+H693-I693</f>
        <v>169440</v>
      </c>
      <c r="K693" s="98">
        <f>+J693/I693</f>
        <v>8.3798219584569726E-3</v>
      </c>
      <c r="L693" s="61"/>
      <c r="M693" s="16"/>
      <c r="N693" s="16"/>
      <c r="O693" s="16"/>
      <c r="P693" s="16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</row>
    <row r="694" spans="1:37">
      <c r="A694" s="5"/>
      <c r="B694" s="270" t="s">
        <v>443</v>
      </c>
      <c r="C694" s="61"/>
      <c r="D694" s="16"/>
      <c r="E694" s="66">
        <v>4464286</v>
      </c>
      <c r="F694" s="16"/>
      <c r="G694" s="16"/>
      <c r="H694" s="16">
        <v>4464286</v>
      </c>
      <c r="I694" s="111"/>
      <c r="J694" s="43"/>
      <c r="K694" s="98"/>
      <c r="L694" s="61"/>
      <c r="M694" s="16"/>
      <c r="N694" s="16"/>
      <c r="O694" s="16"/>
      <c r="P694" s="16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</row>
    <row r="695" spans="1:37">
      <c r="A695" s="5"/>
      <c r="B695" s="54" t="s">
        <v>444</v>
      </c>
      <c r="C695" s="61"/>
      <c r="D695" s="16" t="s">
        <v>445</v>
      </c>
      <c r="E695" s="66">
        <v>18096000</v>
      </c>
      <c r="F695" s="16">
        <v>2321000</v>
      </c>
      <c r="G695" s="16">
        <v>12321000</v>
      </c>
      <c r="H695" s="16">
        <v>40059000</v>
      </c>
      <c r="I695" s="111">
        <v>29284000</v>
      </c>
      <c r="J695" s="43">
        <f t="shared" si="27"/>
        <v>10775000</v>
      </c>
      <c r="K695" s="98">
        <f t="shared" si="28"/>
        <v>0.36794836770932932</v>
      </c>
      <c r="L695" s="61"/>
      <c r="M695" s="16"/>
      <c r="N695" s="16"/>
      <c r="O695" s="16"/>
      <c r="P695" s="16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</row>
    <row r="696" spans="1:37">
      <c r="A696" s="5"/>
      <c r="C696" s="61"/>
      <c r="D696" s="16" t="s">
        <v>446</v>
      </c>
      <c r="F696" s="16">
        <v>0</v>
      </c>
      <c r="G696" s="16">
        <v>0</v>
      </c>
      <c r="H696" s="29">
        <v>0</v>
      </c>
      <c r="I696" s="111">
        <v>0</v>
      </c>
      <c r="J696" s="43">
        <f t="shared" si="27"/>
        <v>0</v>
      </c>
      <c r="K696" s="98">
        <v>0</v>
      </c>
      <c r="M696" s="16"/>
      <c r="N696" s="16"/>
      <c r="O696" s="16"/>
      <c r="P696" s="16"/>
      <c r="Q696" s="16"/>
      <c r="R696" s="16"/>
      <c r="S696" s="16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</row>
    <row r="697" spans="1:37">
      <c r="A697" s="5"/>
      <c r="B697" s="61"/>
      <c r="D697" s="16" t="s">
        <v>447</v>
      </c>
      <c r="F697" s="16">
        <v>0</v>
      </c>
      <c r="G697" s="16">
        <v>0</v>
      </c>
      <c r="H697" s="29">
        <v>0</v>
      </c>
      <c r="I697" s="111">
        <v>0</v>
      </c>
      <c r="J697" s="43">
        <f t="shared" si="27"/>
        <v>0</v>
      </c>
      <c r="K697" s="98">
        <v>0</v>
      </c>
      <c r="M697" s="16"/>
      <c r="N697" s="16"/>
      <c r="O697" s="16"/>
      <c r="P697" s="16"/>
      <c r="Q697" s="16"/>
      <c r="R697" s="16"/>
      <c r="S697" s="16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</row>
    <row r="698" spans="1:37">
      <c r="A698" s="5"/>
      <c r="B698" s="54" t="s">
        <v>448</v>
      </c>
      <c r="D698" s="16" t="s">
        <v>449</v>
      </c>
      <c r="E698" s="66">
        <v>-24734280</v>
      </c>
      <c r="F698" s="16">
        <v>73346400</v>
      </c>
      <c r="G698" s="16">
        <v>23555000</v>
      </c>
      <c r="H698" s="16">
        <v>98080680</v>
      </c>
      <c r="I698" s="111">
        <v>119105000</v>
      </c>
      <c r="J698" s="43">
        <f t="shared" si="27"/>
        <v>-21024320</v>
      </c>
      <c r="K698" s="98">
        <f t="shared" si="28"/>
        <v>-0.17651920574283195</v>
      </c>
      <c r="L698" s="61"/>
      <c r="M698" s="16"/>
      <c r="N698" s="16"/>
      <c r="O698" s="16"/>
      <c r="P698" s="16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</row>
    <row r="699" spans="1:37">
      <c r="A699" s="5"/>
      <c r="B699" s="54" t="s">
        <v>450</v>
      </c>
      <c r="D699" s="16" t="s">
        <v>451</v>
      </c>
      <c r="E699" s="66">
        <v>0</v>
      </c>
      <c r="F699" s="16">
        <v>0</v>
      </c>
      <c r="G699" s="16">
        <v>200000</v>
      </c>
      <c r="H699" s="16">
        <v>39872999</v>
      </c>
      <c r="I699" s="111">
        <v>0</v>
      </c>
      <c r="J699" s="43">
        <f t="shared" si="27"/>
        <v>39872999</v>
      </c>
      <c r="K699" s="98">
        <v>0</v>
      </c>
      <c r="L699" s="61"/>
      <c r="M699" s="16"/>
      <c r="N699" s="16"/>
      <c r="O699" s="16"/>
      <c r="P699" s="16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</row>
    <row r="700" spans="1:37">
      <c r="A700" s="5"/>
      <c r="B700" s="265" t="s">
        <v>452</v>
      </c>
      <c r="D700" s="16" t="s">
        <v>453</v>
      </c>
      <c r="E700" s="66">
        <v>10984375</v>
      </c>
      <c r="F700" s="16">
        <v>0</v>
      </c>
      <c r="G700" s="16">
        <v>0</v>
      </c>
      <c r="H700" s="16">
        <v>10984375</v>
      </c>
      <c r="I700" s="29"/>
      <c r="J700" s="43"/>
      <c r="K700" s="98" t="e">
        <f t="shared" si="28"/>
        <v>#DIV/0!</v>
      </c>
      <c r="L700" s="61"/>
      <c r="M700" s="16"/>
      <c r="N700" s="16"/>
      <c r="O700" s="16"/>
      <c r="P700" s="16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</row>
    <row r="701" spans="1:37">
      <c r="A701" s="5"/>
      <c r="D701" s="16"/>
      <c r="F701" s="16">
        <v>0</v>
      </c>
      <c r="G701" s="16">
        <v>0</v>
      </c>
      <c r="H701" s="29">
        <v>0</v>
      </c>
      <c r="I701" s="29"/>
      <c r="J701" s="43"/>
      <c r="K701" s="98" t="e">
        <f t="shared" si="28"/>
        <v>#DIV/0!</v>
      </c>
      <c r="M701" s="16"/>
      <c r="N701" s="16"/>
      <c r="O701" s="16"/>
      <c r="P701" s="16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</row>
    <row r="702" spans="1:37">
      <c r="A702" s="5"/>
      <c r="D702" s="16"/>
      <c r="F702" s="16">
        <v>0</v>
      </c>
      <c r="G702" s="16">
        <v>0</v>
      </c>
      <c r="H702" s="29">
        <v>0</v>
      </c>
      <c r="I702" s="29"/>
      <c r="J702" s="43"/>
      <c r="K702" s="98" t="e">
        <f t="shared" si="28"/>
        <v>#DIV/0!</v>
      </c>
      <c r="M702" s="16"/>
      <c r="N702" s="16"/>
      <c r="O702" s="16"/>
      <c r="P702" s="16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</row>
    <row r="703" spans="1:37">
      <c r="A703" s="5"/>
      <c r="D703" s="16"/>
      <c r="F703" s="16">
        <v>0</v>
      </c>
      <c r="G703" s="16">
        <v>0</v>
      </c>
      <c r="H703" s="29">
        <v>0</v>
      </c>
      <c r="I703" s="29"/>
      <c r="J703" s="43"/>
      <c r="K703" s="98" t="e">
        <f t="shared" si="28"/>
        <v>#DIV/0!</v>
      </c>
      <c r="M703" s="16"/>
      <c r="N703" s="16"/>
      <c r="O703" s="16"/>
      <c r="P703" s="16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</row>
    <row r="704" spans="1:37">
      <c r="A704" s="5"/>
      <c r="D704" s="16"/>
      <c r="F704" s="16">
        <v>0</v>
      </c>
      <c r="G704" s="16">
        <v>0</v>
      </c>
      <c r="H704" s="29">
        <v>0</v>
      </c>
      <c r="I704" s="29"/>
      <c r="J704" s="43"/>
      <c r="K704" s="98" t="e">
        <f t="shared" si="28"/>
        <v>#DIV/0!</v>
      </c>
      <c r="M704" s="16"/>
      <c r="N704" s="16"/>
      <c r="O704" s="16"/>
      <c r="P704" s="16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</row>
    <row r="705" spans="1:37">
      <c r="A705" s="5"/>
      <c r="D705" s="16"/>
      <c r="F705" s="16">
        <v>0</v>
      </c>
      <c r="G705" s="16">
        <v>0</v>
      </c>
      <c r="H705" s="29">
        <v>0</v>
      </c>
      <c r="I705" s="29"/>
      <c r="J705" s="43"/>
      <c r="K705" s="98" t="e">
        <f t="shared" si="28"/>
        <v>#DIV/0!</v>
      </c>
      <c r="M705" s="16"/>
      <c r="N705" s="16"/>
      <c r="O705" s="16"/>
      <c r="P705" s="16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</row>
    <row r="706" spans="1:37">
      <c r="A706" s="5"/>
      <c r="D706" s="16"/>
      <c r="F706" s="16">
        <v>0</v>
      </c>
      <c r="G706" s="16">
        <v>0</v>
      </c>
      <c r="H706" s="29">
        <v>0</v>
      </c>
      <c r="I706" s="29"/>
      <c r="J706" s="43"/>
      <c r="K706" s="98" t="e">
        <f t="shared" si="28"/>
        <v>#DIV/0!</v>
      </c>
      <c r="M706" s="16"/>
      <c r="N706" s="16"/>
      <c r="O706" s="16"/>
      <c r="P706" s="16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</row>
    <row r="707" spans="1:37">
      <c r="A707" s="5"/>
      <c r="D707" s="16"/>
      <c r="F707" s="16">
        <v>0</v>
      </c>
      <c r="G707" s="16">
        <v>0</v>
      </c>
      <c r="H707" s="29">
        <v>0</v>
      </c>
      <c r="I707" s="29">
        <f>+G707</f>
        <v>0</v>
      </c>
      <c r="J707" s="43">
        <f>+H707-I707</f>
        <v>0</v>
      </c>
      <c r="K707" s="98" t="e">
        <f t="shared" si="28"/>
        <v>#DIV/0!</v>
      </c>
      <c r="M707" s="16"/>
      <c r="N707" s="16"/>
      <c r="O707" s="16"/>
      <c r="P707" s="16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</row>
    <row r="708" spans="1:37">
      <c r="A708" s="5"/>
      <c r="D708" s="16"/>
      <c r="F708" s="16">
        <v>0</v>
      </c>
      <c r="G708" s="16">
        <v>0</v>
      </c>
      <c r="H708" s="29">
        <v>0</v>
      </c>
      <c r="I708" s="29">
        <f>+G708</f>
        <v>0</v>
      </c>
      <c r="J708" s="43">
        <f>+H708-I708</f>
        <v>0</v>
      </c>
      <c r="K708" s="98" t="e">
        <f t="shared" si="28"/>
        <v>#DIV/0!</v>
      </c>
      <c r="M708" s="16"/>
      <c r="N708" s="16"/>
      <c r="O708" s="16"/>
      <c r="P708" s="16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</row>
    <row r="709" spans="1:37">
      <c r="A709" s="5"/>
      <c r="D709" s="16"/>
      <c r="E709" s="16"/>
      <c r="F709" s="16"/>
      <c r="G709" s="16"/>
      <c r="H709" s="29"/>
      <c r="I709" s="29"/>
      <c r="J709" s="5"/>
      <c r="K709" s="98"/>
      <c r="L709" s="66"/>
      <c r="M709" s="61"/>
      <c r="N709" s="61"/>
      <c r="O709" s="16"/>
      <c r="P709" s="16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</row>
    <row r="710" spans="1:37" ht="13.5" thickBot="1">
      <c r="A710" s="5"/>
      <c r="D710" s="262" t="s">
        <v>431</v>
      </c>
      <c r="E710" s="69">
        <f>+E683+E686+E689+E692+E695+E696+E697+E698+E699+E700</f>
        <v>40339240</v>
      </c>
      <c r="F710" s="69">
        <f>+F683+F686+F689+F692+F695+F696+F697+F698+F699</f>
        <v>77230328</v>
      </c>
      <c r="G710" s="69">
        <f>+G683+G686+G689+G692+G695+G696+G697+G698+G699</f>
        <v>58142952</v>
      </c>
      <c r="H710" s="69">
        <f>+H683+H686+H689+H692+H695+H696+H697+H698+H699+H700</f>
        <v>263599652</v>
      </c>
      <c r="I710" s="69">
        <f>+I683+I686+I689+I692+I695+I696+I697+I698+I699</f>
        <v>226577437</v>
      </c>
      <c r="J710" s="69">
        <f>+J683+J686+J689+J692+J695+J696+J697+J698+J699</f>
        <v>26037840</v>
      </c>
      <c r="K710" s="116">
        <f>+J710/I710</f>
        <v>0.11491806220757983</v>
      </c>
      <c r="L710" s="66"/>
      <c r="M710" s="61"/>
      <c r="N710" s="61"/>
      <c r="O710" s="16"/>
      <c r="P710" s="16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</row>
    <row r="711" spans="1:37" ht="13.5" thickTop="1">
      <c r="A711" s="5"/>
      <c r="D711" s="16"/>
      <c r="E711" s="16"/>
      <c r="F711" s="16"/>
      <c r="G711" s="16"/>
      <c r="H711" s="16">
        <v>263599652</v>
      </c>
      <c r="I711" s="16"/>
      <c r="J711" s="16"/>
      <c r="K711" s="33"/>
      <c r="M711" s="16"/>
      <c r="N711" s="16"/>
      <c r="O711" s="16"/>
      <c r="P711" s="16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</row>
    <row r="712" spans="1:37">
      <c r="A712" s="5"/>
      <c r="D712" s="16"/>
      <c r="E712" s="34"/>
      <c r="F712" s="16"/>
      <c r="G712" s="16"/>
      <c r="H712" s="29">
        <f>+H711-H710</f>
        <v>0</v>
      </c>
      <c r="I712" s="29"/>
      <c r="J712" s="16"/>
      <c r="K712" s="33"/>
      <c r="M712" s="16"/>
      <c r="N712" s="16"/>
      <c r="O712" s="16"/>
      <c r="P712" s="16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</row>
    <row r="713" spans="1:37">
      <c r="A713" s="5"/>
      <c r="D713" s="16"/>
      <c r="E713" s="20" t="str">
        <f>E55</f>
        <v>30 April 2017</v>
      </c>
      <c r="F713" s="20" t="str">
        <f>F55</f>
        <v>31 Maret 2017</v>
      </c>
      <c r="G713" s="20" t="str">
        <f>G55</f>
        <v>30 April 2016</v>
      </c>
      <c r="H713" s="21" t="str">
        <f>H55</f>
        <v>s/d  30 April 2017</v>
      </c>
      <c r="I713" s="21" t="str">
        <f>I55</f>
        <v>s/d  30 April 2016</v>
      </c>
      <c r="J713" s="19" t="s">
        <v>56</v>
      </c>
      <c r="K713" s="19" t="s">
        <v>9</v>
      </c>
      <c r="M713" s="16"/>
      <c r="N713" s="16"/>
      <c r="O713" s="61"/>
      <c r="P713" s="16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</row>
    <row r="714" spans="1:37">
      <c r="A714" s="5"/>
      <c r="D714" s="72" t="s">
        <v>454</v>
      </c>
      <c r="E714" s="72"/>
      <c r="F714" s="72"/>
      <c r="G714" s="16"/>
      <c r="H714" s="29"/>
      <c r="I714" s="29"/>
      <c r="J714" s="16"/>
      <c r="K714" s="33"/>
      <c r="O714" s="16"/>
      <c r="P714" s="16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</row>
    <row r="715" spans="1:37">
      <c r="A715" s="5"/>
      <c r="D715" s="16" t="s">
        <v>455</v>
      </c>
      <c r="E715" s="16">
        <f>E716+E717</f>
        <v>16708975</v>
      </c>
      <c r="F715" s="16">
        <f>F716+F717</f>
        <v>-9621500</v>
      </c>
      <c r="G715" s="16">
        <v>1660000</v>
      </c>
      <c r="H715" s="29">
        <f>+H716+H717</f>
        <v>24254220</v>
      </c>
      <c r="I715" s="111">
        <v>22987605</v>
      </c>
      <c r="J715" s="43">
        <f>+H715-I715</f>
        <v>1266615</v>
      </c>
      <c r="K715" s="98">
        <f>+J715/I715</f>
        <v>5.5099911452280478E-2</v>
      </c>
      <c r="L715" s="61"/>
      <c r="O715" s="16"/>
      <c r="P715" s="16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</row>
    <row r="716" spans="1:37">
      <c r="A716" s="5"/>
      <c r="B716" s="54" t="s">
        <v>456</v>
      </c>
      <c r="D716" s="16"/>
      <c r="E716" s="66">
        <v>8669785</v>
      </c>
      <c r="F716" s="16">
        <v>-9765000</v>
      </c>
      <c r="G716" s="16"/>
      <c r="H716" s="16">
        <v>4304720</v>
      </c>
      <c r="I716" s="29"/>
      <c r="J716" s="43"/>
      <c r="K716" s="98"/>
      <c r="L716" s="61"/>
      <c r="O716" s="16"/>
      <c r="P716" s="16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</row>
    <row r="717" spans="1:37">
      <c r="A717" s="5"/>
      <c r="B717" s="54" t="s">
        <v>457</v>
      </c>
      <c r="D717" s="16"/>
      <c r="E717" s="66">
        <v>8039190</v>
      </c>
      <c r="F717" s="16">
        <v>143500</v>
      </c>
      <c r="G717" s="16"/>
      <c r="H717" s="16">
        <v>19949500</v>
      </c>
      <c r="I717" s="29"/>
      <c r="J717" s="43"/>
      <c r="K717" s="98"/>
      <c r="L717" s="61"/>
      <c r="O717" s="16"/>
      <c r="P717" s="16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</row>
    <row r="718" spans="1:37">
      <c r="A718" s="5"/>
      <c r="B718" s="54" t="s">
        <v>458</v>
      </c>
      <c r="D718" s="16" t="s">
        <v>459</v>
      </c>
      <c r="E718" s="66">
        <v>1878000</v>
      </c>
      <c r="F718" s="16">
        <v>2466000</v>
      </c>
      <c r="G718" s="16">
        <v>2189940</v>
      </c>
      <c r="H718" s="16">
        <v>11058000</v>
      </c>
      <c r="I718" s="111">
        <v>9656098</v>
      </c>
      <c r="J718" s="43">
        <f>+H718-I718</f>
        <v>1401902</v>
      </c>
      <c r="K718" s="98">
        <f>+J718/I718</f>
        <v>0.14518307498536159</v>
      </c>
      <c r="L718" s="61"/>
      <c r="O718" s="16"/>
      <c r="P718" s="16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</row>
    <row r="719" spans="1:37">
      <c r="A719" s="5"/>
      <c r="B719" s="54"/>
      <c r="D719" s="16" t="s">
        <v>460</v>
      </c>
      <c r="E719" s="16">
        <f>E720+E721</f>
        <v>31314123</v>
      </c>
      <c r="F719" s="16">
        <f>F720+F721</f>
        <v>-31745316</v>
      </c>
      <c r="G719" s="16">
        <v>0</v>
      </c>
      <c r="H719" s="29">
        <f>+H720+H721</f>
        <v>66784838</v>
      </c>
      <c r="I719" s="111">
        <v>231692763</v>
      </c>
      <c r="J719" s="43">
        <f>+H719-I719</f>
        <v>-164907925</v>
      </c>
      <c r="K719" s="98">
        <v>0</v>
      </c>
      <c r="L719" s="61"/>
      <c r="O719" s="16"/>
      <c r="P719" s="16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</row>
    <row r="720" spans="1:37">
      <c r="A720" s="5"/>
      <c r="B720" s="54" t="s">
        <v>461</v>
      </c>
      <c r="D720" s="16"/>
      <c r="E720" s="66">
        <v>18366391</v>
      </c>
      <c r="F720" s="16">
        <v>-59405384</v>
      </c>
      <c r="G720" s="16"/>
      <c r="H720" s="16">
        <v>-1879111</v>
      </c>
      <c r="I720" s="29"/>
      <c r="J720" s="43"/>
      <c r="K720" s="98"/>
      <c r="L720" s="61"/>
      <c r="O720" s="16"/>
      <c r="P720" s="16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</row>
    <row r="721" spans="1:37">
      <c r="A721" s="5"/>
      <c r="B721" s="54" t="s">
        <v>462</v>
      </c>
      <c r="D721" s="16"/>
      <c r="E721" s="66">
        <v>12947732</v>
      </c>
      <c r="F721" s="16">
        <v>27660068</v>
      </c>
      <c r="G721" s="16"/>
      <c r="H721" s="16">
        <v>68663949</v>
      </c>
      <c r="I721" s="29"/>
      <c r="J721" s="43"/>
      <c r="K721" s="98"/>
      <c r="L721" s="61"/>
      <c r="O721" s="16"/>
      <c r="P721" s="16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</row>
    <row r="722" spans="1:37">
      <c r="A722" s="5"/>
      <c r="B722" s="54"/>
      <c r="D722" s="16" t="s">
        <v>463</v>
      </c>
      <c r="E722" s="16">
        <f>E723+E724</f>
        <v>2730001</v>
      </c>
      <c r="F722" s="16">
        <f>F723+F724</f>
        <v>420400</v>
      </c>
      <c r="G722" s="16">
        <v>1279272</v>
      </c>
      <c r="H722" s="29">
        <f>+H723+H724</f>
        <v>6564403</v>
      </c>
      <c r="I722" s="111">
        <v>4429404</v>
      </c>
      <c r="J722" s="43">
        <f>+H722-I722</f>
        <v>2134999</v>
      </c>
      <c r="K722" s="98">
        <f>+J722/I722</f>
        <v>0.48200593127201763</v>
      </c>
      <c r="L722" s="61"/>
      <c r="O722" s="16"/>
      <c r="P722" s="16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</row>
    <row r="723" spans="1:37">
      <c r="A723" s="5"/>
      <c r="B723" s="54" t="s">
        <v>464</v>
      </c>
      <c r="D723" s="16"/>
      <c r="E723" s="66">
        <v>2478001</v>
      </c>
      <c r="F723" s="16">
        <v>142000</v>
      </c>
      <c r="G723" s="16"/>
      <c r="H723" s="16">
        <v>5738503</v>
      </c>
      <c r="I723" s="29"/>
      <c r="J723" s="43"/>
      <c r="K723" s="98"/>
      <c r="L723" s="61"/>
      <c r="O723" s="16"/>
      <c r="P723" s="16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</row>
    <row r="724" spans="1:37">
      <c r="A724" s="5"/>
      <c r="B724" s="54" t="s">
        <v>465</v>
      </c>
      <c r="D724" s="16"/>
      <c r="E724" s="66">
        <v>252000</v>
      </c>
      <c r="F724" s="16">
        <v>278400</v>
      </c>
      <c r="G724" s="16"/>
      <c r="H724" s="16">
        <v>825900</v>
      </c>
      <c r="I724" s="29"/>
      <c r="J724" s="43"/>
      <c r="K724" s="98"/>
      <c r="L724" s="61"/>
      <c r="O724" s="16"/>
      <c r="P724" s="16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</row>
    <row r="725" spans="1:37">
      <c r="A725" s="5"/>
      <c r="B725" s="54"/>
      <c r="D725" s="16" t="s">
        <v>466</v>
      </c>
      <c r="E725" s="16">
        <f>E726+E727</f>
        <v>3841000</v>
      </c>
      <c r="F725" s="16">
        <f>F726+F727</f>
        <v>168000</v>
      </c>
      <c r="G725" s="16">
        <v>2369000</v>
      </c>
      <c r="H725" s="29">
        <f>+H726+H727</f>
        <v>6757000</v>
      </c>
      <c r="I725" s="111">
        <v>5098000</v>
      </c>
      <c r="J725" s="43">
        <f>+H725-I725</f>
        <v>1659000</v>
      </c>
      <c r="K725" s="98">
        <f>+J725/I725</f>
        <v>0.32542173401333857</v>
      </c>
      <c r="L725" s="61"/>
      <c r="O725" s="16"/>
      <c r="P725" s="16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</row>
    <row r="726" spans="1:37" hidden="1">
      <c r="A726" s="5"/>
      <c r="B726" s="54" t="s">
        <v>467</v>
      </c>
      <c r="D726" s="16"/>
      <c r="E726" s="66">
        <v>3339000</v>
      </c>
      <c r="F726" s="16">
        <v>0</v>
      </c>
      <c r="G726" s="16"/>
      <c r="H726" s="16">
        <v>5589000</v>
      </c>
      <c r="I726" s="29"/>
      <c r="J726" s="43"/>
      <c r="K726" s="98"/>
      <c r="L726" s="61"/>
      <c r="O726" s="16"/>
      <c r="P726" s="16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</row>
    <row r="727" spans="1:37" hidden="1">
      <c r="A727" s="5"/>
      <c r="B727" s="54" t="s">
        <v>468</v>
      </c>
      <c r="D727" s="16"/>
      <c r="E727" s="66">
        <v>502000</v>
      </c>
      <c r="F727" s="16">
        <v>168000</v>
      </c>
      <c r="G727" s="16"/>
      <c r="H727" s="16">
        <v>1168000</v>
      </c>
      <c r="I727" s="29"/>
      <c r="J727" s="43"/>
      <c r="K727" s="98"/>
      <c r="L727" s="61"/>
      <c r="O727" s="16"/>
      <c r="P727" s="16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</row>
    <row r="728" spans="1:37" collapsed="1">
      <c r="A728" s="5"/>
      <c r="B728" s="54"/>
      <c r="D728" s="16" t="s">
        <v>469</v>
      </c>
      <c r="E728" s="16">
        <f>E729+E730</f>
        <v>5012190</v>
      </c>
      <c r="F728" s="16">
        <f>F729+F730</f>
        <v>1254700</v>
      </c>
      <c r="G728" s="16">
        <v>5698230</v>
      </c>
      <c r="H728" s="29">
        <f>+H729+H730</f>
        <v>8777485</v>
      </c>
      <c r="I728" s="111">
        <v>23468469</v>
      </c>
      <c r="J728" s="43">
        <f>+H728-I728</f>
        <v>-14690984</v>
      </c>
      <c r="K728" s="98">
        <f>+J728/I728</f>
        <v>-0.62598817161869402</v>
      </c>
      <c r="L728" s="61"/>
      <c r="O728" s="16"/>
      <c r="P728" s="16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</row>
    <row r="729" spans="1:37" hidden="1">
      <c r="A729" s="5"/>
      <c r="B729" s="54" t="s">
        <v>470</v>
      </c>
      <c r="D729" s="16"/>
      <c r="E729" s="66">
        <v>3041500</v>
      </c>
      <c r="F729" s="16">
        <v>1155900</v>
      </c>
      <c r="G729" s="16"/>
      <c r="H729" s="16">
        <v>7260500</v>
      </c>
      <c r="I729" s="29"/>
      <c r="J729" s="43"/>
      <c r="K729" s="98"/>
      <c r="L729" s="61"/>
      <c r="O729" s="16"/>
      <c r="P729" s="16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</row>
    <row r="730" spans="1:37" hidden="1">
      <c r="A730" s="5"/>
      <c r="B730" s="54" t="s">
        <v>471</v>
      </c>
      <c r="D730" s="16"/>
      <c r="E730" s="66">
        <v>1970690</v>
      </c>
      <c r="F730" s="16">
        <v>98800</v>
      </c>
      <c r="G730" s="16"/>
      <c r="H730" s="16">
        <v>1516985</v>
      </c>
      <c r="I730" s="29"/>
      <c r="J730" s="43"/>
      <c r="K730" s="98"/>
      <c r="L730" s="61"/>
      <c r="O730" s="16"/>
      <c r="P730" s="16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</row>
    <row r="731" spans="1:37" collapsed="1">
      <c r="A731" s="5"/>
      <c r="B731" s="54"/>
      <c r="D731" s="16" t="s">
        <v>472</v>
      </c>
      <c r="E731" s="16">
        <f>E732+E733</f>
        <v>9485000</v>
      </c>
      <c r="F731" s="16">
        <f>F732+F733</f>
        <v>2620000</v>
      </c>
      <c r="G731" s="16">
        <v>500000</v>
      </c>
      <c r="H731" s="29">
        <f>+H732+H733</f>
        <v>33528000</v>
      </c>
      <c r="I731" s="111">
        <v>16234000</v>
      </c>
      <c r="J731" s="43">
        <f>+H731-I731</f>
        <v>17294000</v>
      </c>
      <c r="K731" s="98">
        <f>+J731/I731</f>
        <v>1.0652950597511395</v>
      </c>
      <c r="L731" s="61"/>
      <c r="M731" s="61"/>
      <c r="N731" s="61"/>
      <c r="O731" s="16"/>
      <c r="P731" s="16"/>
      <c r="Q731" s="16"/>
      <c r="R731" s="16"/>
      <c r="S731" s="16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</row>
    <row r="732" spans="1:37" hidden="1">
      <c r="A732" s="5"/>
      <c r="B732" s="54" t="s">
        <v>473</v>
      </c>
      <c r="D732" s="16"/>
      <c r="E732" s="66">
        <v>8965000</v>
      </c>
      <c r="F732" s="16">
        <v>1700000</v>
      </c>
      <c r="G732" s="16"/>
      <c r="H732" s="16">
        <v>32088000</v>
      </c>
      <c r="I732" s="29"/>
      <c r="J732" s="43"/>
      <c r="K732" s="98"/>
      <c r="L732" s="61"/>
      <c r="M732" s="61"/>
      <c r="N732" s="61"/>
      <c r="O732" s="16"/>
      <c r="P732" s="16"/>
      <c r="Q732" s="16"/>
      <c r="R732" s="16"/>
      <c r="S732" s="16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</row>
    <row r="733" spans="1:37" hidden="1">
      <c r="A733" s="5"/>
      <c r="B733" s="54" t="s">
        <v>474</v>
      </c>
      <c r="D733" s="16"/>
      <c r="E733" s="66">
        <v>520000</v>
      </c>
      <c r="F733" s="16">
        <v>920000</v>
      </c>
      <c r="G733" s="16"/>
      <c r="H733" s="16">
        <v>1440000</v>
      </c>
      <c r="I733" s="29"/>
      <c r="J733" s="43"/>
      <c r="K733" s="98"/>
      <c r="L733" s="61"/>
      <c r="M733" s="61"/>
      <c r="N733" s="61"/>
      <c r="O733" s="16"/>
      <c r="P733" s="16"/>
      <c r="Q733" s="16"/>
      <c r="R733" s="16"/>
      <c r="S733" s="16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</row>
    <row r="734" spans="1:37" collapsed="1">
      <c r="A734" s="5"/>
      <c r="B734" s="54" t="s">
        <v>475</v>
      </c>
      <c r="D734" s="16" t="s">
        <v>476</v>
      </c>
      <c r="E734" s="66">
        <v>342718</v>
      </c>
      <c r="F734" s="16">
        <v>1000000</v>
      </c>
      <c r="G734" s="16">
        <v>0</v>
      </c>
      <c r="H734" s="16">
        <v>1342718</v>
      </c>
      <c r="I734" s="111">
        <v>0</v>
      </c>
      <c r="J734" s="43">
        <f>+H734-I734</f>
        <v>1342718</v>
      </c>
      <c r="K734" s="98">
        <v>0</v>
      </c>
      <c r="L734" s="61"/>
      <c r="M734" s="61"/>
      <c r="N734" s="61"/>
      <c r="O734" s="16"/>
      <c r="P734" s="16"/>
      <c r="Q734" s="16"/>
      <c r="R734" s="16"/>
      <c r="S734" s="16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</row>
    <row r="735" spans="1:37" ht="15" customHeight="1">
      <c r="A735" s="5"/>
      <c r="D735" s="16" t="s">
        <v>477</v>
      </c>
      <c r="F735" s="16">
        <v>0</v>
      </c>
      <c r="G735" s="16">
        <v>0</v>
      </c>
      <c r="H735" s="29">
        <v>0</v>
      </c>
      <c r="I735" s="111">
        <v>0</v>
      </c>
      <c r="J735" s="43">
        <f>+H735-I735</f>
        <v>0</v>
      </c>
      <c r="K735" s="98">
        <v>0</v>
      </c>
      <c r="L735" s="66"/>
      <c r="M735" s="61"/>
      <c r="N735" s="61"/>
      <c r="O735" s="16"/>
      <c r="P735" s="16"/>
      <c r="Q735" s="16"/>
      <c r="R735" s="16"/>
      <c r="S735" s="16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</row>
    <row r="736" spans="1:37">
      <c r="A736" s="5"/>
      <c r="B736" s="54"/>
      <c r="D736" s="16"/>
      <c r="E736" s="16"/>
      <c r="F736" s="16"/>
      <c r="G736" s="16"/>
      <c r="H736" s="29"/>
      <c r="I736" s="29"/>
      <c r="J736" s="43"/>
      <c r="K736" s="98"/>
      <c r="L736" s="66"/>
      <c r="M736" s="61"/>
      <c r="N736" s="61"/>
      <c r="O736" s="16"/>
      <c r="P736" s="16"/>
      <c r="Q736" s="16"/>
      <c r="R736" s="16"/>
      <c r="S736" s="16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</row>
    <row r="737" spans="1:37" hidden="1">
      <c r="A737" s="5"/>
      <c r="E737" s="17"/>
      <c r="F737" s="17"/>
      <c r="G737" s="17"/>
      <c r="H737" s="44"/>
      <c r="I737" s="29"/>
      <c r="J737" s="5"/>
      <c r="K737" s="98"/>
      <c r="L737" s="66"/>
      <c r="M737" s="61"/>
      <c r="N737" s="61"/>
      <c r="O737" s="16"/>
      <c r="P737" s="16"/>
      <c r="Q737" s="16"/>
      <c r="R737" s="16"/>
      <c r="S737" s="16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</row>
    <row r="738" spans="1:37" ht="13.5" thickBot="1">
      <c r="A738" s="5"/>
      <c r="D738" s="262" t="s">
        <v>454</v>
      </c>
      <c r="E738" s="69">
        <f t="shared" ref="E738:J738" si="29">+E715+E718+E719+E722+E725+E728+E731+E734</f>
        <v>71312007</v>
      </c>
      <c r="F738" s="69">
        <f t="shared" si="29"/>
        <v>-33437716</v>
      </c>
      <c r="G738" s="69">
        <f t="shared" si="29"/>
        <v>13696442</v>
      </c>
      <c r="H738" s="69">
        <f t="shared" si="29"/>
        <v>159066664</v>
      </c>
      <c r="I738" s="69">
        <f t="shared" si="29"/>
        <v>313566339</v>
      </c>
      <c r="J738" s="69">
        <f t="shared" si="29"/>
        <v>-154499675</v>
      </c>
      <c r="K738" s="116">
        <f>+J738/I738</f>
        <v>-0.49271766699422415</v>
      </c>
      <c r="L738" s="66"/>
      <c r="M738" s="61"/>
      <c r="N738" s="61"/>
      <c r="O738" s="16"/>
      <c r="P738" s="16"/>
      <c r="Q738" s="16"/>
      <c r="R738" s="16"/>
      <c r="S738" s="16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</row>
    <row r="739" spans="1:37" ht="13.5" thickTop="1">
      <c r="A739" s="5"/>
      <c r="D739" s="16"/>
      <c r="E739" s="16"/>
      <c r="F739" s="16"/>
      <c r="G739" s="16"/>
      <c r="H739" s="16"/>
      <c r="I739" s="16"/>
      <c r="J739" s="16"/>
      <c r="K739" s="33"/>
      <c r="L739" s="66"/>
      <c r="M739" s="61"/>
      <c r="N739" s="61"/>
      <c r="O739" s="16"/>
      <c r="P739" s="16"/>
      <c r="Q739" s="16"/>
      <c r="R739" s="16"/>
      <c r="S739" s="16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</row>
    <row r="740" spans="1:37">
      <c r="A740" s="5"/>
      <c r="D740" s="16"/>
      <c r="E740" s="16"/>
      <c r="F740" s="16"/>
      <c r="G740" s="16"/>
      <c r="H740" s="29"/>
      <c r="I740" s="29"/>
      <c r="J740" s="16"/>
      <c r="K740" s="33"/>
      <c r="L740" s="66"/>
      <c r="M740" s="61"/>
      <c r="N740" s="61"/>
      <c r="O740" s="16"/>
      <c r="P740" s="16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</row>
    <row r="741" spans="1:37">
      <c r="A741" s="5"/>
      <c r="D741" s="16"/>
      <c r="E741" s="20" t="str">
        <f>E55</f>
        <v>30 April 2017</v>
      </c>
      <c r="F741" s="20" t="str">
        <f>F55</f>
        <v>31 Maret 2017</v>
      </c>
      <c r="G741" s="20" t="str">
        <f>G55</f>
        <v>30 April 2016</v>
      </c>
      <c r="H741" s="21" t="str">
        <f>H55</f>
        <v>s/d  30 April 2017</v>
      </c>
      <c r="I741" s="21" t="str">
        <f>I55</f>
        <v>s/d  30 April 2016</v>
      </c>
      <c r="J741" s="19" t="s">
        <v>56</v>
      </c>
      <c r="K741" s="19" t="s">
        <v>9</v>
      </c>
      <c r="L741" s="66"/>
      <c r="M741" s="61"/>
      <c r="N741" s="61"/>
      <c r="O741" s="16"/>
      <c r="P741" s="16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</row>
    <row r="742" spans="1:37">
      <c r="A742" s="5"/>
      <c r="D742" s="72" t="s">
        <v>478</v>
      </c>
      <c r="E742" s="72"/>
      <c r="F742" s="72"/>
      <c r="G742" s="16"/>
      <c r="H742" s="29"/>
      <c r="I742" s="29"/>
      <c r="J742" s="16"/>
      <c r="K742" s="33"/>
      <c r="M742" s="16"/>
      <c r="N742" s="16"/>
      <c r="O742" s="16"/>
      <c r="P742" s="16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</row>
    <row r="743" spans="1:37">
      <c r="A743" s="5"/>
      <c r="B743" s="54" t="s">
        <v>479</v>
      </c>
      <c r="D743" s="16" t="s">
        <v>480</v>
      </c>
      <c r="E743" s="66">
        <v>44136394</v>
      </c>
      <c r="F743" s="16">
        <v>-117960</v>
      </c>
      <c r="G743" s="16">
        <v>59227905</v>
      </c>
      <c r="H743" s="16">
        <v>147136394</v>
      </c>
      <c r="I743" s="111">
        <v>226486794</v>
      </c>
      <c r="J743" s="43">
        <f>+H743-I743</f>
        <v>-79350400</v>
      </c>
      <c r="K743" s="98">
        <f>+J743/I743</f>
        <v>-0.35035331905488493</v>
      </c>
      <c r="L743" s="61"/>
      <c r="M743" s="16"/>
      <c r="N743" s="16"/>
      <c r="O743" s="16"/>
      <c r="P743" s="16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</row>
    <row r="744" spans="1:37">
      <c r="A744" s="5"/>
      <c r="D744" s="16"/>
      <c r="E744" s="16"/>
      <c r="F744" s="16"/>
      <c r="G744" s="16"/>
      <c r="H744" s="29"/>
      <c r="I744" s="29"/>
      <c r="J744" s="16"/>
      <c r="K744" s="33"/>
      <c r="L744" s="61"/>
      <c r="M744" s="16"/>
      <c r="N744" s="16"/>
      <c r="O744" s="16"/>
      <c r="P744" s="16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</row>
    <row r="745" spans="1:37" ht="13.5" thickBot="1">
      <c r="A745" s="5"/>
      <c r="D745" s="262" t="s">
        <v>478</v>
      </c>
      <c r="E745" s="69">
        <f>SUM(E743:E744)</f>
        <v>44136394</v>
      </c>
      <c r="F745" s="69">
        <f>SUM(F743:F744)</f>
        <v>-117960</v>
      </c>
      <c r="G745" s="69">
        <f>+G743</f>
        <v>59227905</v>
      </c>
      <c r="H745" s="70">
        <f>+H743</f>
        <v>147136394</v>
      </c>
      <c r="I745" s="70">
        <f>+I743</f>
        <v>226486794</v>
      </c>
      <c r="J745" s="261">
        <f>+H745-I745</f>
        <v>-79350400</v>
      </c>
      <c r="K745" s="116">
        <f>+J745/I745</f>
        <v>-0.35035331905488493</v>
      </c>
      <c r="M745" s="16"/>
      <c r="N745" s="16"/>
      <c r="O745" s="16"/>
      <c r="P745" s="16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</row>
    <row r="746" spans="1:37" ht="13.5" thickTop="1">
      <c r="A746" s="5"/>
      <c r="D746" s="16"/>
      <c r="E746" s="16"/>
      <c r="F746" s="16"/>
      <c r="G746" s="16"/>
      <c r="H746" s="16"/>
      <c r="I746" s="16"/>
      <c r="J746" s="16"/>
      <c r="K746" s="33"/>
      <c r="M746" s="16"/>
      <c r="N746" s="16"/>
      <c r="O746" s="16"/>
      <c r="P746" s="16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</row>
    <row r="747" spans="1:37">
      <c r="A747" s="5"/>
      <c r="D747" s="16"/>
      <c r="E747" s="16"/>
      <c r="F747" s="16"/>
      <c r="G747" s="16"/>
      <c r="H747" s="29"/>
      <c r="I747" s="29"/>
      <c r="J747" s="16"/>
      <c r="K747" s="33"/>
      <c r="M747" s="16"/>
      <c r="N747" s="16"/>
      <c r="O747" s="16"/>
      <c r="P747" s="16"/>
      <c r="Q747" s="16"/>
      <c r="R747" s="16"/>
      <c r="S747" s="16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</row>
    <row r="748" spans="1:37">
      <c r="A748" s="5"/>
      <c r="D748" s="16"/>
      <c r="E748" s="20" t="str">
        <f>E55</f>
        <v>30 April 2017</v>
      </c>
      <c r="F748" s="20" t="str">
        <f>F55</f>
        <v>31 Maret 2017</v>
      </c>
      <c r="G748" s="20" t="str">
        <f>G55</f>
        <v>30 April 2016</v>
      </c>
      <c r="H748" s="21" t="str">
        <f>H55</f>
        <v>s/d  30 April 2017</v>
      </c>
      <c r="I748" s="21" t="str">
        <f>I55</f>
        <v>s/d  30 April 2016</v>
      </c>
      <c r="J748" s="19" t="s">
        <v>56</v>
      </c>
      <c r="K748" s="19" t="s">
        <v>9</v>
      </c>
      <c r="M748" s="16"/>
      <c r="N748" s="16"/>
      <c r="O748" s="16"/>
      <c r="P748" s="16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</row>
    <row r="749" spans="1:37">
      <c r="A749" s="5"/>
      <c r="D749" s="72" t="s">
        <v>481</v>
      </c>
      <c r="E749" s="72"/>
      <c r="F749" s="72"/>
      <c r="G749" s="16"/>
      <c r="H749" s="29"/>
      <c r="I749" s="29"/>
      <c r="J749" s="16"/>
      <c r="K749" s="33"/>
      <c r="M749" s="16"/>
      <c r="N749" s="16"/>
      <c r="O749" s="16"/>
      <c r="P749" s="16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</row>
    <row r="750" spans="1:37">
      <c r="A750" s="5"/>
      <c r="B750" s="54" t="s">
        <v>482</v>
      </c>
      <c r="D750" s="16" t="s">
        <v>483</v>
      </c>
      <c r="E750" s="66">
        <v>103870000</v>
      </c>
      <c r="F750" s="16">
        <v>0</v>
      </c>
      <c r="G750" s="16">
        <v>22400000</v>
      </c>
      <c r="H750" s="16">
        <v>311670000</v>
      </c>
      <c r="I750" s="111">
        <v>204653846</v>
      </c>
      <c r="J750" s="43">
        <f>+H750-I750</f>
        <v>107016154</v>
      </c>
      <c r="K750" s="98">
        <f>+J750/I750</f>
        <v>0.52291298742560643</v>
      </c>
      <c r="L750" s="61"/>
      <c r="M750" s="16"/>
      <c r="N750" s="16"/>
      <c r="O750" s="16"/>
      <c r="P750" s="16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</row>
    <row r="751" spans="1:37" hidden="1">
      <c r="A751" s="5"/>
      <c r="D751" s="16"/>
      <c r="E751" s="16"/>
      <c r="F751" s="16"/>
      <c r="G751" s="16"/>
      <c r="H751" s="29"/>
      <c r="I751" s="29"/>
      <c r="J751" s="43"/>
      <c r="K751" s="98"/>
      <c r="M751" s="16"/>
      <c r="N751" s="16"/>
      <c r="O751" s="16"/>
      <c r="P751" s="16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</row>
    <row r="752" spans="1:37">
      <c r="A752" s="5"/>
      <c r="D752" s="16" t="s">
        <v>34</v>
      </c>
      <c r="E752" s="16"/>
      <c r="F752" s="16"/>
      <c r="G752" s="16"/>
      <c r="H752" s="29"/>
      <c r="I752" s="29"/>
      <c r="J752" s="5"/>
      <c r="K752" s="98"/>
      <c r="M752" s="16"/>
      <c r="N752" s="16"/>
      <c r="O752" s="16"/>
      <c r="P752" s="16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</row>
    <row r="753" spans="1:37" ht="13.5" thickBot="1">
      <c r="A753" s="5"/>
      <c r="D753" s="262" t="s">
        <v>484</v>
      </c>
      <c r="E753" s="69">
        <f>SUM(E750:E752)</f>
        <v>103870000</v>
      </c>
      <c r="F753" s="69">
        <f>SUM(F750:F752)</f>
        <v>0</v>
      </c>
      <c r="G753" s="69">
        <f>+G750</f>
        <v>22400000</v>
      </c>
      <c r="H753" s="70">
        <f>+H750</f>
        <v>311670000</v>
      </c>
      <c r="I753" s="70">
        <f>+I750</f>
        <v>204653846</v>
      </c>
      <c r="J753" s="261">
        <f>+H753-I753</f>
        <v>107016154</v>
      </c>
      <c r="K753" s="116">
        <f>+J753/I753</f>
        <v>0.52291298742560643</v>
      </c>
      <c r="M753" s="16"/>
      <c r="N753" s="16"/>
      <c r="O753" s="16"/>
      <c r="P753" s="16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</row>
    <row r="754" spans="1:37" ht="13.5" thickTop="1">
      <c r="A754" s="5"/>
      <c r="D754" s="16"/>
      <c r="E754" s="16"/>
      <c r="F754" s="16"/>
      <c r="G754" s="16"/>
      <c r="H754" s="29"/>
      <c r="I754" s="29"/>
      <c r="J754" s="16"/>
      <c r="K754" s="33"/>
      <c r="M754" s="16"/>
      <c r="N754" s="16"/>
      <c r="O754" s="16"/>
      <c r="P754" s="16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</row>
    <row r="755" spans="1:37">
      <c r="A755" s="5"/>
      <c r="D755" s="16"/>
      <c r="E755" s="16"/>
      <c r="F755" s="16"/>
      <c r="G755" s="16"/>
      <c r="H755" s="29"/>
      <c r="I755" s="29"/>
      <c r="J755" s="16"/>
      <c r="K755" s="33"/>
      <c r="M755" s="16"/>
      <c r="N755" s="16"/>
      <c r="O755" s="16"/>
      <c r="P755" s="16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</row>
    <row r="756" spans="1:37">
      <c r="A756" s="5" t="s">
        <v>427</v>
      </c>
      <c r="D756" s="16"/>
      <c r="E756" s="20" t="str">
        <f>E55</f>
        <v>30 April 2017</v>
      </c>
      <c r="F756" s="20" t="str">
        <f>F55</f>
        <v>31 Maret 2017</v>
      </c>
      <c r="G756" s="20" t="str">
        <f>G55</f>
        <v>30 April 2016</v>
      </c>
      <c r="H756" s="21" t="str">
        <f>H55</f>
        <v>s/d  30 April 2017</v>
      </c>
      <c r="I756" s="21" t="str">
        <f>I55</f>
        <v>s/d  30 April 2016</v>
      </c>
      <c r="J756" s="19" t="s">
        <v>56</v>
      </c>
      <c r="K756" s="19" t="s">
        <v>9</v>
      </c>
      <c r="M756" s="16"/>
      <c r="N756" s="16"/>
      <c r="O756" s="16"/>
      <c r="P756" s="16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</row>
    <row r="757" spans="1:37">
      <c r="A757" s="94"/>
      <c r="B757" s="94"/>
      <c r="C757" s="94"/>
      <c r="D757" s="271" t="s">
        <v>485</v>
      </c>
      <c r="E757" s="271"/>
      <c r="F757" s="271"/>
      <c r="G757" s="16"/>
      <c r="H757" s="29"/>
      <c r="I757" s="29"/>
      <c r="J757" s="16"/>
      <c r="K757" s="33"/>
      <c r="M757" s="16"/>
      <c r="N757" s="16"/>
      <c r="O757" s="16"/>
      <c r="P757" s="16"/>
      <c r="Q757" s="16"/>
      <c r="R757" s="16"/>
      <c r="S757" s="16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</row>
    <row r="758" spans="1:37">
      <c r="A758" s="5"/>
      <c r="B758" s="54" t="s">
        <v>486</v>
      </c>
      <c r="D758" s="16" t="s">
        <v>487</v>
      </c>
      <c r="E758" s="66">
        <v>1930500</v>
      </c>
      <c r="F758" s="16">
        <v>0</v>
      </c>
      <c r="G758" s="16">
        <v>1440000</v>
      </c>
      <c r="H758" s="16">
        <v>9644785</v>
      </c>
      <c r="I758" s="111">
        <v>139898000</v>
      </c>
      <c r="J758" s="43">
        <f>+H758-I758</f>
        <v>-130253215</v>
      </c>
      <c r="K758" s="98">
        <v>0</v>
      </c>
      <c r="L758" s="61"/>
      <c r="M758" s="61"/>
      <c r="N758" s="61"/>
      <c r="O758" s="16"/>
      <c r="P758" s="16"/>
      <c r="Q758" s="16"/>
      <c r="R758" s="16"/>
      <c r="S758" s="16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</row>
    <row r="759" spans="1:37">
      <c r="A759" s="5"/>
      <c r="C759" s="54"/>
      <c r="D759" s="16" t="s">
        <v>488</v>
      </c>
      <c r="E759" s="16">
        <f>E760+E761</f>
        <v>15498112</v>
      </c>
      <c r="F759" s="16">
        <f>F760+F761</f>
        <v>52953621</v>
      </c>
      <c r="G759" s="16">
        <v>1500000</v>
      </c>
      <c r="H759" s="29">
        <f>+H760+H761</f>
        <v>139112033</v>
      </c>
      <c r="I759" s="111">
        <v>10509676</v>
      </c>
      <c r="J759" s="43">
        <f>+H759-I759</f>
        <v>128602357</v>
      </c>
      <c r="K759" s="98">
        <f>+J759/I759</f>
        <v>12.236567235754936</v>
      </c>
      <c r="L759" s="66"/>
      <c r="M759" s="61"/>
      <c r="N759" s="61"/>
      <c r="O759" s="16"/>
      <c r="P759" s="16"/>
      <c r="Q759" s="16"/>
      <c r="R759" s="16"/>
      <c r="S759" s="16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</row>
    <row r="760" spans="1:37" hidden="1">
      <c r="A760" s="5"/>
      <c r="B760" s="54" t="s">
        <v>489</v>
      </c>
      <c r="C760" s="54"/>
      <c r="D760" s="16"/>
      <c r="E760" s="66">
        <v>13008074</v>
      </c>
      <c r="F760" s="16">
        <v>7872064</v>
      </c>
      <c r="G760" s="16"/>
      <c r="H760" s="16">
        <v>25744138</v>
      </c>
      <c r="I760" s="29"/>
      <c r="J760" s="43"/>
      <c r="K760" s="98"/>
      <c r="L760" s="66"/>
      <c r="M760" s="61"/>
      <c r="N760" s="61"/>
      <c r="O760" s="16"/>
      <c r="P760" s="16"/>
      <c r="Q760" s="16"/>
      <c r="R760" s="16"/>
      <c r="S760" s="16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</row>
    <row r="761" spans="1:37" hidden="1">
      <c r="A761" s="5"/>
      <c r="B761" s="54" t="s">
        <v>490</v>
      </c>
      <c r="C761" s="54"/>
      <c r="D761" s="16" t="s">
        <v>34</v>
      </c>
      <c r="E761" s="66">
        <v>2490038</v>
      </c>
      <c r="F761" s="16">
        <v>45081557</v>
      </c>
      <c r="G761" s="16"/>
      <c r="H761" s="16">
        <v>113367895</v>
      </c>
      <c r="I761" s="29"/>
      <c r="J761" s="5"/>
      <c r="K761" s="98"/>
      <c r="L761" s="66"/>
      <c r="M761" s="61"/>
      <c r="N761" s="61"/>
      <c r="O761" s="16"/>
      <c r="P761" s="16"/>
      <c r="Q761" s="16"/>
      <c r="R761" s="16"/>
      <c r="S761" s="16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</row>
    <row r="762" spans="1:37" ht="13.5" collapsed="1" thickBot="1">
      <c r="A762" s="5"/>
      <c r="D762" s="262" t="s">
        <v>491</v>
      </c>
      <c r="E762" s="69">
        <f>+E759+E758</f>
        <v>17428612</v>
      </c>
      <c r="F762" s="69">
        <f>+F759</f>
        <v>52953621</v>
      </c>
      <c r="G762" s="69">
        <f>SUM(G758:G761)</f>
        <v>2940000</v>
      </c>
      <c r="H762" s="70">
        <f>+H759+H758</f>
        <v>148756818</v>
      </c>
      <c r="I762" s="70">
        <f>SUM(I758:I761)</f>
        <v>150407676</v>
      </c>
      <c r="J762" s="261">
        <f>+H762-I762</f>
        <v>-1650858</v>
      </c>
      <c r="K762" s="116">
        <f>+J762/I762</f>
        <v>-1.0975889289054635E-2</v>
      </c>
      <c r="M762" s="16"/>
      <c r="N762" s="16"/>
      <c r="O762" s="16"/>
      <c r="P762" s="16"/>
      <c r="Q762" s="16"/>
      <c r="R762" s="16"/>
      <c r="S762" s="16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</row>
    <row r="763" spans="1:37" ht="13.5" thickTop="1">
      <c r="A763" s="5"/>
      <c r="D763" s="16"/>
      <c r="E763" s="272"/>
      <c r="F763" s="272"/>
      <c r="G763" s="16"/>
      <c r="H763" s="16"/>
      <c r="I763" s="16"/>
      <c r="J763" s="16"/>
      <c r="K763" s="33"/>
      <c r="M763" s="16"/>
      <c r="N763" s="16"/>
      <c r="O763" s="16"/>
      <c r="P763" s="16"/>
      <c r="Q763" s="16"/>
      <c r="R763" s="16"/>
      <c r="S763" s="16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</row>
    <row r="764" spans="1:37">
      <c r="A764" s="5"/>
      <c r="D764" s="16"/>
      <c r="E764" s="272"/>
      <c r="F764" s="272"/>
      <c r="G764" s="16"/>
      <c r="H764" s="29"/>
      <c r="I764" s="29"/>
      <c r="J764" s="16"/>
      <c r="K764" s="33"/>
      <c r="M764" s="16"/>
      <c r="N764" s="16"/>
      <c r="O764" s="16"/>
      <c r="P764" s="16"/>
      <c r="Q764" s="16"/>
      <c r="R764" s="16"/>
      <c r="S764" s="16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</row>
    <row r="765" spans="1:37">
      <c r="E765" s="20" t="str">
        <f>E55</f>
        <v>30 April 2017</v>
      </c>
      <c r="F765" s="20" t="str">
        <f>F55</f>
        <v>31 Maret 2017</v>
      </c>
      <c r="G765" s="20" t="str">
        <f>G55</f>
        <v>30 April 2016</v>
      </c>
      <c r="H765" s="21" t="str">
        <f>H55</f>
        <v>s/d  30 April 2017</v>
      </c>
      <c r="I765" s="21" t="str">
        <f>I55</f>
        <v>s/d  30 April 2016</v>
      </c>
      <c r="J765" s="19" t="s">
        <v>56</v>
      </c>
      <c r="K765" s="19" t="s">
        <v>9</v>
      </c>
      <c r="M765" s="16"/>
      <c r="N765" s="16"/>
      <c r="O765" s="16"/>
      <c r="P765" s="16"/>
      <c r="Q765" s="16"/>
      <c r="R765" s="16"/>
      <c r="S765" s="16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</row>
    <row r="766" spans="1:37">
      <c r="A766" s="5"/>
      <c r="D766" s="72" t="s">
        <v>492</v>
      </c>
      <c r="E766" s="72"/>
      <c r="F766" s="72"/>
      <c r="G766" s="16"/>
      <c r="H766" s="29"/>
      <c r="I766" s="29"/>
      <c r="J766" s="16"/>
      <c r="K766" s="33"/>
      <c r="L766" s="61"/>
      <c r="M766" s="16"/>
      <c r="N766" s="16"/>
      <c r="O766" s="16"/>
      <c r="P766" s="16"/>
      <c r="Q766" s="16"/>
      <c r="R766" s="16"/>
      <c r="S766" s="16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</row>
    <row r="767" spans="1:37">
      <c r="A767" s="5"/>
      <c r="B767" s="54"/>
      <c r="D767" s="16" t="s">
        <v>493</v>
      </c>
      <c r="E767" s="16">
        <f>+E768+E769</f>
        <v>28755160</v>
      </c>
      <c r="F767" s="16">
        <f>F768+F769</f>
        <v>0</v>
      </c>
      <c r="G767" s="16">
        <v>5139000</v>
      </c>
      <c r="H767" s="29">
        <f>+H768+H769</f>
        <v>43871242</v>
      </c>
      <c r="I767" s="111">
        <v>18991402</v>
      </c>
      <c r="J767" s="43">
        <f>+H767-I767</f>
        <v>24879840</v>
      </c>
      <c r="K767" s="98">
        <f>+J767/I767</f>
        <v>1.3100580989228705</v>
      </c>
      <c r="L767" s="66"/>
      <c r="M767" s="61"/>
      <c r="N767" s="61"/>
      <c r="O767" s="16"/>
      <c r="P767" s="16"/>
      <c r="Q767" s="16"/>
      <c r="R767" s="16"/>
      <c r="S767" s="16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</row>
    <row r="768" spans="1:37" hidden="1">
      <c r="A768" s="5"/>
      <c r="B768" s="54" t="s">
        <v>494</v>
      </c>
      <c r="D768" s="16"/>
      <c r="E768" s="66">
        <v>6546950</v>
      </c>
      <c r="F768" s="16">
        <v>0</v>
      </c>
      <c r="G768" s="16"/>
      <c r="H768" s="16">
        <v>14646950</v>
      </c>
      <c r="I768" s="29"/>
      <c r="J768" s="43"/>
      <c r="K768" s="98"/>
      <c r="L768" s="66"/>
      <c r="M768" s="61"/>
      <c r="N768" s="61"/>
      <c r="O768" s="16"/>
      <c r="P768" s="16"/>
      <c r="Q768" s="16"/>
      <c r="R768" s="16"/>
      <c r="S768" s="16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</row>
    <row r="769" spans="1:37" hidden="1">
      <c r="A769" s="5"/>
      <c r="B769" s="54" t="s">
        <v>495</v>
      </c>
      <c r="D769" s="16"/>
      <c r="E769" s="66">
        <v>22208210</v>
      </c>
      <c r="F769" s="16">
        <v>0</v>
      </c>
      <c r="G769" s="16"/>
      <c r="H769" s="16">
        <v>29224292</v>
      </c>
      <c r="I769" s="29"/>
      <c r="J769" s="43"/>
      <c r="K769" s="98"/>
      <c r="L769" s="66"/>
      <c r="M769" s="61"/>
      <c r="N769" s="61"/>
      <c r="O769" s="16"/>
      <c r="P769" s="16"/>
      <c r="Q769" s="16"/>
      <c r="R769" s="16"/>
      <c r="S769" s="16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</row>
    <row r="770" spans="1:37" ht="13.5" customHeight="1" collapsed="1">
      <c r="A770" s="5"/>
      <c r="B770" s="54"/>
      <c r="D770" s="16" t="s">
        <v>496</v>
      </c>
      <c r="E770" s="16">
        <f>E771+E772</f>
        <v>15745407</v>
      </c>
      <c r="F770" s="16">
        <f>F771+F772</f>
        <v>4735304</v>
      </c>
      <c r="G770" s="16">
        <v>12785155</v>
      </c>
      <c r="H770" s="29">
        <f>+H771+H772</f>
        <v>57554061</v>
      </c>
      <c r="I770" s="111">
        <v>64093965</v>
      </c>
      <c r="J770" s="43">
        <f>+H770-I770</f>
        <v>-6539904</v>
      </c>
      <c r="K770" s="98">
        <f>+J770/I770</f>
        <v>-0.10203619014676343</v>
      </c>
      <c r="L770" s="66"/>
      <c r="M770" s="61"/>
      <c r="N770" s="61"/>
      <c r="O770" s="16"/>
      <c r="P770" s="16"/>
      <c r="Q770" s="16"/>
      <c r="R770" s="16"/>
      <c r="S770" s="16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</row>
    <row r="771" spans="1:37" ht="13.5" hidden="1" customHeight="1">
      <c r="A771" s="5"/>
      <c r="B771" s="54" t="s">
        <v>497</v>
      </c>
      <c r="D771" s="16"/>
      <c r="E771" s="66">
        <v>2728389</v>
      </c>
      <c r="F771" s="16">
        <v>1201650</v>
      </c>
      <c r="G771" s="16"/>
      <c r="H771" s="16">
        <v>12167980</v>
      </c>
      <c r="I771" s="29"/>
      <c r="J771" s="43"/>
      <c r="K771" s="98"/>
      <c r="L771" s="66"/>
      <c r="M771" s="61"/>
      <c r="N771" s="61"/>
      <c r="O771" s="16"/>
      <c r="P771" s="16"/>
      <c r="Q771" s="16"/>
      <c r="R771" s="16"/>
      <c r="S771" s="16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</row>
    <row r="772" spans="1:37" hidden="1">
      <c r="A772" s="5"/>
      <c r="B772" s="54" t="s">
        <v>498</v>
      </c>
      <c r="D772" s="16" t="s">
        <v>34</v>
      </c>
      <c r="E772" s="66">
        <v>13017018</v>
      </c>
      <c r="F772" s="16">
        <v>3533654</v>
      </c>
      <c r="G772" s="16"/>
      <c r="H772" s="16">
        <v>45386081</v>
      </c>
      <c r="I772" s="29"/>
      <c r="J772" s="5"/>
      <c r="K772" s="98"/>
      <c r="L772" s="66"/>
      <c r="M772" s="61"/>
      <c r="N772" s="61"/>
      <c r="O772" s="16"/>
      <c r="P772" s="16"/>
      <c r="Q772" s="16"/>
      <c r="R772" s="16"/>
      <c r="S772" s="16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</row>
    <row r="773" spans="1:37" ht="13.5" collapsed="1" thickBot="1">
      <c r="A773" s="5"/>
      <c r="B773" s="54"/>
      <c r="D773" s="262" t="s">
        <v>499</v>
      </c>
      <c r="E773" s="69">
        <f t="shared" ref="E773:J773" si="30">+E770+E767</f>
        <v>44500567</v>
      </c>
      <c r="F773" s="69">
        <f t="shared" si="30"/>
        <v>4735304</v>
      </c>
      <c r="G773" s="69">
        <f t="shared" si="30"/>
        <v>17924155</v>
      </c>
      <c r="H773" s="69">
        <f t="shared" si="30"/>
        <v>101425303</v>
      </c>
      <c r="I773" s="69">
        <f t="shared" si="30"/>
        <v>83085367</v>
      </c>
      <c r="J773" s="69">
        <f t="shared" si="30"/>
        <v>18339936</v>
      </c>
      <c r="K773" s="116">
        <f>+J773/I773</f>
        <v>0.22073605331730675</v>
      </c>
      <c r="L773" s="66"/>
      <c r="M773" s="61"/>
      <c r="N773" s="61"/>
      <c r="O773" s="16"/>
      <c r="P773" s="16"/>
      <c r="Q773" s="16"/>
      <c r="R773" s="16"/>
      <c r="S773" s="16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</row>
    <row r="774" spans="1:37" ht="13.5" thickTop="1">
      <c r="E774" s="42"/>
      <c r="H774" s="66"/>
      <c r="I774" s="4"/>
      <c r="J774" s="5"/>
      <c r="K774" s="98"/>
      <c r="O774" s="16"/>
      <c r="P774" s="16"/>
      <c r="Q774" s="16"/>
      <c r="R774" s="16"/>
      <c r="S774" s="16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</row>
    <row r="775" spans="1:37">
      <c r="H775" s="137"/>
      <c r="J775" s="5"/>
      <c r="K775" s="98"/>
      <c r="L775" s="61"/>
      <c r="M775" s="16"/>
      <c r="N775" s="16"/>
      <c r="O775" s="16"/>
      <c r="P775" s="16"/>
      <c r="Q775" s="16"/>
      <c r="R775" s="16"/>
      <c r="S775" s="16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</row>
    <row r="776" spans="1:37">
      <c r="E776" s="20" t="str">
        <f>E55</f>
        <v>30 April 2017</v>
      </c>
      <c r="F776" s="20" t="str">
        <f>F55</f>
        <v>31 Maret 2017</v>
      </c>
      <c r="G776" s="20" t="str">
        <f>G55</f>
        <v>30 April 2016</v>
      </c>
      <c r="H776" s="21" t="str">
        <f>H55</f>
        <v>s/d  30 April 2017</v>
      </c>
      <c r="I776" s="21" t="str">
        <f>I55</f>
        <v>s/d  30 April 2016</v>
      </c>
      <c r="J776" s="19" t="s">
        <v>56</v>
      </c>
      <c r="K776" s="19" t="s">
        <v>9</v>
      </c>
      <c r="L776" s="61"/>
      <c r="M776" s="16"/>
      <c r="N776" s="16"/>
      <c r="O776" s="16"/>
      <c r="P776" s="16"/>
      <c r="Q776" s="16"/>
      <c r="R776" s="16"/>
      <c r="S776" s="16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</row>
    <row r="777" spans="1:37">
      <c r="A777" s="5"/>
      <c r="D777" s="72" t="s">
        <v>500</v>
      </c>
      <c r="E777" s="72"/>
      <c r="F777" s="72"/>
      <c r="G777" s="16"/>
      <c r="H777" s="29"/>
      <c r="I777" s="29"/>
      <c r="J777" s="16"/>
      <c r="K777" s="33"/>
      <c r="L777" s="61"/>
      <c r="M777" s="16"/>
      <c r="N777" s="16"/>
      <c r="O777" s="16"/>
      <c r="P777" s="16"/>
      <c r="Q777" s="16"/>
      <c r="R777" s="16"/>
      <c r="S777" s="16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</row>
    <row r="778" spans="1:37">
      <c r="A778" s="5"/>
      <c r="B778" s="54"/>
      <c r="D778" s="16" t="s">
        <v>501</v>
      </c>
      <c r="E778" s="16">
        <f>+E779+E780</f>
        <v>17439688</v>
      </c>
      <c r="F778" s="16">
        <f>+F779+F780</f>
        <v>-6439293</v>
      </c>
      <c r="G778" s="16">
        <v>29020781</v>
      </c>
      <c r="H778" s="29">
        <f>+H779+H780</f>
        <v>42798477</v>
      </c>
      <c r="I778" s="111">
        <v>63672488</v>
      </c>
      <c r="J778" s="43">
        <f>+H778-I778</f>
        <v>-20874011</v>
      </c>
      <c r="K778" s="98">
        <f>+J778/I778</f>
        <v>-0.32783407175796242</v>
      </c>
      <c r="L778" s="61"/>
      <c r="M778" s="61"/>
      <c r="N778" s="61"/>
      <c r="O778" s="16"/>
      <c r="P778" s="16"/>
      <c r="Q778" s="16"/>
      <c r="R778" s="16"/>
      <c r="S778" s="16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</row>
    <row r="779" spans="1:37" hidden="1">
      <c r="A779" s="5"/>
      <c r="B779" s="54" t="s">
        <v>502</v>
      </c>
      <c r="D779" s="16"/>
      <c r="E779" s="66">
        <v>7588427</v>
      </c>
      <c r="F779" s="16">
        <v>1504140</v>
      </c>
      <c r="G779" s="16"/>
      <c r="H779" s="16">
        <v>19462893</v>
      </c>
      <c r="I779" s="29"/>
      <c r="J779" s="43"/>
      <c r="K779" s="98"/>
      <c r="L779" s="61"/>
      <c r="M779" s="61"/>
      <c r="N779" s="61"/>
      <c r="O779" s="16"/>
      <c r="P779" s="16"/>
      <c r="Q779" s="16"/>
      <c r="R779" s="16"/>
      <c r="S779" s="16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</row>
    <row r="780" spans="1:37" hidden="1">
      <c r="A780" s="5"/>
      <c r="B780" s="54" t="s">
        <v>503</v>
      </c>
      <c r="D780" s="16"/>
      <c r="E780" s="66">
        <v>9851261</v>
      </c>
      <c r="F780" s="16">
        <v>-7943433</v>
      </c>
      <c r="G780" s="16"/>
      <c r="H780" s="16">
        <v>23335584</v>
      </c>
      <c r="I780" s="29"/>
      <c r="J780" s="43"/>
      <c r="K780" s="98"/>
      <c r="L780" s="61"/>
      <c r="M780" s="61"/>
      <c r="N780" s="61"/>
      <c r="O780" s="16"/>
      <c r="P780" s="16"/>
      <c r="Q780" s="16"/>
      <c r="R780" s="16"/>
      <c r="S780" s="16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</row>
    <row r="781" spans="1:37" collapsed="1">
      <c r="A781" s="5"/>
      <c r="B781" s="54" t="s">
        <v>504</v>
      </c>
      <c r="D781" s="16" t="s">
        <v>505</v>
      </c>
      <c r="E781" s="66">
        <v>0</v>
      </c>
      <c r="F781" s="16">
        <v>2000000</v>
      </c>
      <c r="G781" s="16">
        <v>2000000</v>
      </c>
      <c r="H781" s="16">
        <v>6000000</v>
      </c>
      <c r="I781" s="111">
        <v>4000000</v>
      </c>
      <c r="J781" s="43">
        <f>+H781-I781</f>
        <v>2000000</v>
      </c>
      <c r="K781" s="98">
        <f>+J781/I781</f>
        <v>0.5</v>
      </c>
      <c r="L781" s="66"/>
      <c r="M781" s="61"/>
      <c r="N781" s="61"/>
      <c r="O781" s="16"/>
      <c r="P781" s="16"/>
      <c r="Q781" s="16"/>
      <c r="R781" s="16"/>
      <c r="S781" s="16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</row>
    <row r="782" spans="1:37">
      <c r="A782" s="5"/>
      <c r="B782" s="54"/>
      <c r="D782" s="16"/>
      <c r="E782" s="16"/>
      <c r="F782" s="16"/>
      <c r="G782" s="16"/>
      <c r="H782" s="29"/>
      <c r="I782" s="29"/>
      <c r="J782" s="43"/>
      <c r="K782" s="98"/>
      <c r="L782" s="66"/>
      <c r="M782" s="61"/>
      <c r="N782" s="61"/>
      <c r="O782" s="16"/>
      <c r="P782" s="16"/>
      <c r="Q782" s="16"/>
      <c r="R782" s="16"/>
      <c r="S782" s="16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</row>
    <row r="783" spans="1:37">
      <c r="A783" s="5"/>
      <c r="B783" s="54"/>
      <c r="D783" s="16" t="s">
        <v>506</v>
      </c>
      <c r="E783" s="16">
        <v>0</v>
      </c>
      <c r="F783" s="16"/>
      <c r="G783" s="16">
        <v>0</v>
      </c>
      <c r="H783" s="29">
        <v>0</v>
      </c>
      <c r="I783" s="29">
        <v>0</v>
      </c>
      <c r="J783" s="43">
        <f>+H783-I783</f>
        <v>0</v>
      </c>
      <c r="K783" s="98">
        <v>0</v>
      </c>
      <c r="L783" s="66"/>
      <c r="M783" s="61"/>
      <c r="N783" s="61"/>
      <c r="O783" s="16"/>
      <c r="P783" s="16"/>
      <c r="Q783" s="16"/>
      <c r="R783" s="16"/>
      <c r="S783" s="16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</row>
    <row r="784" spans="1:37">
      <c r="A784" s="5"/>
      <c r="D784" s="16" t="s">
        <v>34</v>
      </c>
      <c r="E784" s="16"/>
      <c r="F784" s="16"/>
      <c r="G784" s="16"/>
      <c r="H784" s="29"/>
      <c r="I784" s="29"/>
      <c r="J784" s="5"/>
      <c r="K784" s="98"/>
      <c r="M784" s="16"/>
      <c r="N784" s="16"/>
      <c r="O784" s="16"/>
      <c r="P784" s="16"/>
      <c r="Q784" s="16"/>
      <c r="R784" s="16"/>
      <c r="S784" s="16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</row>
    <row r="785" spans="1:37" ht="13.5" thickBot="1">
      <c r="A785" s="5"/>
      <c r="D785" s="262" t="s">
        <v>507</v>
      </c>
      <c r="E785" s="69">
        <f>+E781+E778</f>
        <v>17439688</v>
      </c>
      <c r="F785" s="69">
        <f>+F781+F778</f>
        <v>-4439293</v>
      </c>
      <c r="G785" s="69">
        <f>SUM(G778:G784)</f>
        <v>31020781</v>
      </c>
      <c r="H785" s="70">
        <f>+H778+H781</f>
        <v>48798477</v>
      </c>
      <c r="I785" s="70">
        <f>SUM(I778:I784)</f>
        <v>67672488</v>
      </c>
      <c r="J785" s="261">
        <f>+H785-I785</f>
        <v>-18874011</v>
      </c>
      <c r="K785" s="116">
        <f>+J785/I785</f>
        <v>-0.27890227709671322</v>
      </c>
      <c r="M785" s="16"/>
      <c r="N785" s="16"/>
      <c r="O785" s="16"/>
      <c r="P785" s="16"/>
      <c r="Q785" s="16"/>
      <c r="R785" s="16"/>
      <c r="S785" s="16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</row>
    <row r="786" spans="1:37" ht="13.5" thickTop="1">
      <c r="A786" s="5"/>
      <c r="D786" s="16"/>
      <c r="E786" s="16"/>
      <c r="F786" s="16"/>
      <c r="G786" s="16"/>
      <c r="H786" s="16"/>
      <c r="I786" s="16"/>
      <c r="J786" s="16"/>
      <c r="K786" s="33"/>
      <c r="M786" s="16"/>
      <c r="N786" s="16"/>
      <c r="O786" s="16"/>
      <c r="P786" s="16"/>
      <c r="Q786" s="16"/>
      <c r="R786" s="16"/>
      <c r="S786" s="16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</row>
    <row r="787" spans="1:37">
      <c r="A787" s="5"/>
      <c r="D787" s="16"/>
      <c r="E787" s="16"/>
      <c r="F787" s="16"/>
      <c r="G787" s="16"/>
      <c r="H787" s="29"/>
      <c r="I787" s="29"/>
      <c r="J787" s="16"/>
      <c r="K787" s="33"/>
      <c r="M787" s="16"/>
      <c r="N787" s="16"/>
      <c r="O787" s="16"/>
      <c r="P787" s="16"/>
      <c r="Q787" s="16"/>
      <c r="R787" s="16"/>
      <c r="S787" s="16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</row>
    <row r="788" spans="1:37">
      <c r="A788" s="5"/>
      <c r="D788" s="16"/>
      <c r="E788" s="20" t="str">
        <f>E55</f>
        <v>30 April 2017</v>
      </c>
      <c r="F788" s="20" t="str">
        <f>F55</f>
        <v>31 Maret 2017</v>
      </c>
      <c r="G788" s="20" t="str">
        <f>G55</f>
        <v>30 April 2016</v>
      </c>
      <c r="H788" s="21" t="str">
        <f>H55</f>
        <v>s/d  30 April 2017</v>
      </c>
      <c r="I788" s="21" t="str">
        <f>I55</f>
        <v>s/d  30 April 2016</v>
      </c>
      <c r="J788" s="19" t="s">
        <v>56</v>
      </c>
      <c r="K788" s="19" t="s">
        <v>9</v>
      </c>
      <c r="M788" s="16"/>
      <c r="N788" s="16"/>
      <c r="O788" s="16"/>
      <c r="P788" s="16"/>
      <c r="Q788" s="16"/>
      <c r="R788" s="16"/>
      <c r="S788" s="16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</row>
    <row r="789" spans="1:37">
      <c r="A789" s="5"/>
      <c r="D789" s="72" t="s">
        <v>508</v>
      </c>
      <c r="E789" s="72"/>
      <c r="F789" s="72"/>
      <c r="G789" s="16"/>
      <c r="H789" s="29"/>
      <c r="I789" s="29"/>
      <c r="J789" s="16"/>
      <c r="K789" s="33"/>
      <c r="M789" s="16"/>
      <c r="N789" s="16"/>
      <c r="O789" s="16"/>
      <c r="P789" s="16"/>
      <c r="Q789" s="16"/>
      <c r="R789" s="16"/>
      <c r="S789" s="16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</row>
    <row r="790" spans="1:37">
      <c r="A790" s="5"/>
      <c r="B790" s="54" t="s">
        <v>509</v>
      </c>
      <c r="D790" s="16" t="s">
        <v>510</v>
      </c>
      <c r="E790" s="66">
        <v>178486642</v>
      </c>
      <c r="F790" s="16">
        <v>24080742</v>
      </c>
      <c r="G790" s="16">
        <v>70095048</v>
      </c>
      <c r="H790" s="16">
        <v>462617708</v>
      </c>
      <c r="I790" s="111">
        <v>258368726</v>
      </c>
      <c r="J790" s="43">
        <f>+H790-I790</f>
        <v>204248982</v>
      </c>
      <c r="K790" s="98">
        <f>+J790/I790</f>
        <v>0.79053291457573704</v>
      </c>
      <c r="L790" s="61"/>
      <c r="M790" s="16"/>
      <c r="N790" s="16"/>
      <c r="O790" s="16"/>
      <c r="P790" s="16"/>
      <c r="Q790" s="16"/>
      <c r="R790" s="16"/>
      <c r="S790" s="16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</row>
    <row r="791" spans="1:37">
      <c r="A791" s="5"/>
      <c r="D791" s="16" t="s">
        <v>34</v>
      </c>
      <c r="E791" s="16"/>
      <c r="F791" s="16"/>
      <c r="G791" s="16"/>
      <c r="H791" s="29"/>
      <c r="I791" s="29"/>
      <c r="J791" s="5"/>
      <c r="K791" s="98"/>
      <c r="M791" s="16"/>
      <c r="N791" s="16"/>
      <c r="O791" s="16"/>
      <c r="P791" s="16"/>
      <c r="Q791" s="16"/>
      <c r="R791" s="16"/>
      <c r="S791" s="16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</row>
    <row r="792" spans="1:37" ht="13.5" thickBot="1">
      <c r="A792" s="5"/>
      <c r="D792" s="262" t="s">
        <v>76</v>
      </c>
      <c r="E792" s="69">
        <f>SUM(E790:E791)</f>
        <v>178486642</v>
      </c>
      <c r="F792" s="69">
        <f>SUM(F790:F791)</f>
        <v>24080742</v>
      </c>
      <c r="G792" s="69">
        <f>+G790</f>
        <v>70095048</v>
      </c>
      <c r="H792" s="70">
        <f>+H790</f>
        <v>462617708</v>
      </c>
      <c r="I792" s="70">
        <f>+I790</f>
        <v>258368726</v>
      </c>
      <c r="J792" s="261">
        <f>+H792-I792</f>
        <v>204248982</v>
      </c>
      <c r="K792" s="116">
        <f>+J792/I792</f>
        <v>0.79053291457573704</v>
      </c>
      <c r="M792" s="16"/>
      <c r="N792" s="16"/>
      <c r="O792" s="16"/>
      <c r="P792" s="16"/>
      <c r="Q792" s="16"/>
      <c r="R792" s="16"/>
      <c r="S792" s="16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</row>
    <row r="793" spans="1:37" ht="13.5" thickTop="1">
      <c r="A793" s="5"/>
      <c r="D793" s="16"/>
      <c r="E793" s="16"/>
      <c r="F793" s="16"/>
      <c r="G793" s="16"/>
      <c r="H793" s="16"/>
      <c r="I793" s="16"/>
      <c r="J793" s="16"/>
      <c r="K793" s="33"/>
      <c r="M793" s="16"/>
      <c r="N793" s="16"/>
      <c r="O793" s="16"/>
      <c r="P793" s="16"/>
      <c r="Q793" s="16"/>
      <c r="R793" s="16"/>
      <c r="S793" s="16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</row>
    <row r="794" spans="1:37">
      <c r="A794" s="5"/>
      <c r="D794" s="16"/>
      <c r="E794" s="16"/>
      <c r="F794" s="16"/>
      <c r="G794" s="16"/>
      <c r="H794" s="29"/>
      <c r="I794" s="29"/>
      <c r="J794" s="16"/>
      <c r="K794" s="33"/>
      <c r="M794" s="16"/>
      <c r="N794" s="16"/>
      <c r="O794" s="16"/>
      <c r="P794" s="16"/>
      <c r="Q794" s="16"/>
      <c r="R794" s="16"/>
      <c r="S794" s="16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</row>
    <row r="795" spans="1:37">
      <c r="A795" s="5"/>
      <c r="D795" s="16"/>
      <c r="E795" s="20" t="str">
        <f>E55</f>
        <v>30 April 2017</v>
      </c>
      <c r="F795" s="20" t="str">
        <f>F55</f>
        <v>31 Maret 2017</v>
      </c>
      <c r="G795" s="20" t="str">
        <f>G55</f>
        <v>30 April 2016</v>
      </c>
      <c r="H795" s="21" t="str">
        <f>H55</f>
        <v>s/d  30 April 2017</v>
      </c>
      <c r="I795" s="21" t="str">
        <f>I55</f>
        <v>s/d  30 April 2016</v>
      </c>
      <c r="J795" s="19" t="s">
        <v>56</v>
      </c>
      <c r="K795" s="19" t="s">
        <v>9</v>
      </c>
      <c r="M795" s="16"/>
      <c r="N795" s="16"/>
      <c r="O795" s="16"/>
      <c r="P795" s="16"/>
      <c r="Q795" s="16"/>
      <c r="R795" s="16"/>
      <c r="S795" s="16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</row>
    <row r="796" spans="1:37">
      <c r="A796" s="5"/>
      <c r="D796" s="72" t="s">
        <v>511</v>
      </c>
      <c r="E796" s="72"/>
      <c r="F796" s="72"/>
      <c r="G796" s="16"/>
      <c r="H796" s="29"/>
      <c r="I796" s="29"/>
      <c r="J796" s="16"/>
      <c r="K796" s="33"/>
      <c r="M796" s="16"/>
      <c r="N796" s="16"/>
      <c r="O796" s="16"/>
      <c r="P796" s="16"/>
      <c r="Q796" s="16"/>
      <c r="R796" s="16"/>
      <c r="S796" s="16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</row>
    <row r="797" spans="1:37">
      <c r="A797" s="5"/>
      <c r="B797" s="54" t="s">
        <v>512</v>
      </c>
      <c r="D797" s="16" t="s">
        <v>513</v>
      </c>
      <c r="E797" s="66">
        <v>0</v>
      </c>
      <c r="F797" s="16">
        <v>0</v>
      </c>
      <c r="G797" s="16">
        <v>0</v>
      </c>
      <c r="H797" s="16">
        <v>-7740900</v>
      </c>
      <c r="I797" s="111">
        <v>3782000</v>
      </c>
      <c r="J797" s="43">
        <f>+H797-I797</f>
        <v>-11522900</v>
      </c>
      <c r="K797" s="98">
        <f>+J797/I797</f>
        <v>-3.0467741935483872</v>
      </c>
      <c r="L797" s="61"/>
      <c r="M797" s="16"/>
      <c r="N797" s="16"/>
      <c r="O797" s="16"/>
      <c r="P797" s="16"/>
      <c r="Q797" s="16"/>
      <c r="R797" s="16"/>
      <c r="S797" s="16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</row>
    <row r="798" spans="1:37">
      <c r="A798" s="5"/>
      <c r="D798" s="16" t="s">
        <v>514</v>
      </c>
      <c r="E798" s="16">
        <v>0</v>
      </c>
      <c r="F798" s="16">
        <v>0</v>
      </c>
      <c r="G798" s="16">
        <v>0</v>
      </c>
      <c r="H798" s="29">
        <v>0</v>
      </c>
      <c r="I798" s="29">
        <v>0</v>
      </c>
      <c r="J798" s="43">
        <f>+H798-I798</f>
        <v>0</v>
      </c>
      <c r="K798" s="98">
        <v>0</v>
      </c>
      <c r="M798" s="16"/>
      <c r="N798" s="16"/>
      <c r="O798" s="16"/>
      <c r="P798" s="16"/>
      <c r="Q798" s="16"/>
      <c r="R798" s="16"/>
      <c r="S798" s="16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</row>
    <row r="799" spans="1:37">
      <c r="A799" s="5"/>
      <c r="D799" s="16" t="s">
        <v>515</v>
      </c>
      <c r="E799" s="16">
        <v>0</v>
      </c>
      <c r="F799" s="16">
        <v>0</v>
      </c>
      <c r="G799" s="16">
        <v>2934846</v>
      </c>
      <c r="H799" s="29">
        <v>0</v>
      </c>
      <c r="I799" s="29">
        <v>0</v>
      </c>
      <c r="J799" s="43">
        <f>+H799-I799</f>
        <v>0</v>
      </c>
      <c r="K799" s="98">
        <v>0</v>
      </c>
      <c r="M799" s="16"/>
      <c r="N799" s="16"/>
      <c r="O799" s="16"/>
      <c r="P799" s="16"/>
      <c r="Q799" s="16"/>
      <c r="R799" s="16"/>
      <c r="S799" s="16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</row>
    <row r="800" spans="1:37">
      <c r="A800" s="5"/>
      <c r="D800" s="16" t="s">
        <v>516</v>
      </c>
      <c r="E800" s="16">
        <v>0</v>
      </c>
      <c r="F800" s="16">
        <v>0</v>
      </c>
      <c r="G800" s="16">
        <v>0</v>
      </c>
      <c r="H800" s="29">
        <v>0</v>
      </c>
      <c r="I800" s="29">
        <v>0</v>
      </c>
      <c r="J800" s="43">
        <f>+H800-I800</f>
        <v>0</v>
      </c>
      <c r="K800" s="98">
        <v>0</v>
      </c>
      <c r="M800" s="16"/>
      <c r="N800" s="16"/>
      <c r="O800" s="16"/>
      <c r="P800" s="16"/>
      <c r="Q800" s="16"/>
      <c r="R800" s="16"/>
      <c r="S800" s="16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</row>
    <row r="801" spans="1:37">
      <c r="A801" s="5"/>
      <c r="D801" s="16"/>
      <c r="E801" s="16"/>
      <c r="F801" s="16"/>
      <c r="G801" s="16"/>
      <c r="H801" s="29"/>
      <c r="I801" s="29"/>
      <c r="J801" s="5"/>
      <c r="K801" s="98"/>
      <c r="L801" s="61"/>
      <c r="M801" s="16"/>
      <c r="N801" s="16"/>
      <c r="O801" s="16"/>
      <c r="P801" s="16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</row>
    <row r="802" spans="1:37" ht="13.5" thickBot="1">
      <c r="A802" s="5"/>
      <c r="D802" s="262" t="s">
        <v>77</v>
      </c>
      <c r="E802" s="69">
        <f t="shared" ref="E802:J802" si="31">SUM(E797:E801)</f>
        <v>0</v>
      </c>
      <c r="F802" s="69">
        <f t="shared" si="31"/>
        <v>0</v>
      </c>
      <c r="G802" s="69">
        <f t="shared" si="31"/>
        <v>2934846</v>
      </c>
      <c r="H802" s="70">
        <f t="shared" si="31"/>
        <v>-7740900</v>
      </c>
      <c r="I802" s="70">
        <f t="shared" si="31"/>
        <v>3782000</v>
      </c>
      <c r="J802" s="69">
        <f t="shared" si="31"/>
        <v>-11522900</v>
      </c>
      <c r="K802" s="273">
        <f>+J802/I802</f>
        <v>-3.0467741935483872</v>
      </c>
      <c r="L802" s="61"/>
      <c r="M802" s="16"/>
      <c r="N802" s="16"/>
      <c r="O802" s="16"/>
      <c r="P802" s="16"/>
      <c r="Q802" s="16"/>
      <c r="R802" s="16"/>
      <c r="S802" s="16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</row>
    <row r="803" spans="1:37" ht="13.5" thickTop="1">
      <c r="A803" s="5"/>
      <c r="D803" s="16"/>
      <c r="E803" s="16"/>
      <c r="F803" s="16"/>
      <c r="G803" s="16"/>
      <c r="H803" s="29"/>
      <c r="I803" s="29"/>
      <c r="J803" s="16"/>
      <c r="K803" s="33"/>
      <c r="L803" s="61"/>
      <c r="M803" s="16"/>
      <c r="N803" s="16"/>
      <c r="O803" s="16"/>
      <c r="P803" s="16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</row>
    <row r="804" spans="1:37">
      <c r="A804" s="5"/>
      <c r="D804" s="16"/>
      <c r="E804" s="16"/>
      <c r="F804" s="16"/>
      <c r="G804" s="16"/>
      <c r="H804" s="29"/>
      <c r="I804" s="29"/>
      <c r="J804" s="16"/>
      <c r="K804" s="33"/>
      <c r="L804" s="16"/>
      <c r="M804" s="16"/>
      <c r="N804" s="16"/>
      <c r="O804" s="16"/>
      <c r="P804" s="16"/>
      <c r="Q804" s="16"/>
      <c r="R804" s="16"/>
      <c r="S804" s="16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</row>
    <row r="805" spans="1:37" s="37" customFormat="1">
      <c r="A805" s="8"/>
      <c r="B805" s="8"/>
      <c r="C805" s="8"/>
      <c r="D805" s="29"/>
      <c r="E805" s="21" t="str">
        <f>E55</f>
        <v>30 April 2017</v>
      </c>
      <c r="F805" s="21" t="str">
        <f>F55</f>
        <v>31 Maret 2017</v>
      </c>
      <c r="G805" s="21" t="str">
        <f>G55</f>
        <v>30 April 2016</v>
      </c>
      <c r="H805" s="21" t="str">
        <f>H55</f>
        <v>s/d  30 April 2017</v>
      </c>
      <c r="I805" s="21" t="str">
        <f>I55</f>
        <v>s/d  30 April 2016</v>
      </c>
      <c r="J805" s="149" t="s">
        <v>56</v>
      </c>
      <c r="K805" s="149" t="s">
        <v>9</v>
      </c>
      <c r="L805" s="29"/>
      <c r="M805" s="29"/>
      <c r="N805" s="29"/>
      <c r="O805" s="29"/>
      <c r="P805" s="29"/>
      <c r="Q805" s="29"/>
      <c r="R805" s="29"/>
      <c r="S805" s="29"/>
      <c r="T805" s="44"/>
      <c r="U805" s="44"/>
      <c r="V805" s="44"/>
      <c r="W805" s="44"/>
      <c r="X805" s="44"/>
      <c r="Y805" s="44"/>
      <c r="Z805" s="44"/>
      <c r="AA805" s="44"/>
      <c r="AB805" s="44"/>
      <c r="AC805" s="44"/>
      <c r="AD805" s="44"/>
      <c r="AE805" s="44"/>
      <c r="AF805" s="44"/>
      <c r="AG805" s="44"/>
      <c r="AH805" s="44"/>
    </row>
    <row r="806" spans="1:37" s="37" customFormat="1">
      <c r="A806" s="8"/>
      <c r="B806" s="8"/>
      <c r="C806" s="8"/>
      <c r="D806" s="143" t="s">
        <v>517</v>
      </c>
      <c r="E806" s="274"/>
      <c r="F806" s="274"/>
      <c r="G806" s="29"/>
      <c r="H806" s="29"/>
      <c r="I806" s="29"/>
      <c r="J806" s="8"/>
      <c r="K806" s="151"/>
      <c r="L806" s="29"/>
      <c r="M806" s="29"/>
      <c r="N806" s="29"/>
      <c r="O806" s="29"/>
      <c r="P806" s="29"/>
      <c r="Q806" s="29"/>
      <c r="R806" s="29"/>
      <c r="S806" s="29"/>
      <c r="T806" s="44"/>
      <c r="U806" s="44"/>
      <c r="V806" s="44"/>
      <c r="W806" s="44"/>
      <c r="X806" s="44"/>
      <c r="Y806" s="44"/>
      <c r="Z806" s="44"/>
      <c r="AA806" s="44"/>
      <c r="AB806" s="44"/>
      <c r="AC806" s="44"/>
      <c r="AD806" s="44"/>
      <c r="AE806" s="44"/>
      <c r="AF806" s="44"/>
      <c r="AG806" s="44"/>
      <c r="AH806" s="44"/>
    </row>
    <row r="807" spans="1:37" s="37" customFormat="1">
      <c r="A807" s="8"/>
      <c r="B807" s="8"/>
      <c r="C807" s="61"/>
      <c r="D807" s="29" t="s">
        <v>518</v>
      </c>
      <c r="F807" s="16">
        <v>0</v>
      </c>
      <c r="G807" s="29">
        <v>0</v>
      </c>
      <c r="H807" s="29">
        <v>0</v>
      </c>
      <c r="I807" s="111">
        <v>0</v>
      </c>
      <c r="J807" s="150">
        <f t="shared" ref="J807:J820" si="32">+H807-I807</f>
        <v>0</v>
      </c>
      <c r="K807" s="151">
        <v>0</v>
      </c>
      <c r="L807" s="61"/>
      <c r="M807" s="61"/>
      <c r="N807" s="61"/>
      <c r="O807" s="61"/>
      <c r="P807" s="29"/>
      <c r="Q807" s="29"/>
      <c r="R807" s="29"/>
      <c r="S807" s="29"/>
      <c r="T807" s="44"/>
      <c r="U807" s="44"/>
      <c r="V807" s="44"/>
      <c r="W807" s="44"/>
      <c r="X807" s="44"/>
      <c r="Y807" s="44"/>
      <c r="Z807" s="44"/>
      <c r="AA807" s="44"/>
      <c r="AB807" s="44"/>
      <c r="AC807" s="44"/>
      <c r="AD807" s="44"/>
      <c r="AE807" s="44"/>
      <c r="AF807" s="44"/>
      <c r="AG807" s="44"/>
      <c r="AH807" s="44"/>
    </row>
    <row r="808" spans="1:37" s="37" customFormat="1">
      <c r="A808" s="8"/>
      <c r="B808" s="8"/>
      <c r="C808" s="61"/>
      <c r="D808" s="29"/>
      <c r="E808" s="16"/>
      <c r="F808" s="29"/>
      <c r="G808" s="29"/>
      <c r="H808" s="29"/>
      <c r="I808" s="29"/>
      <c r="J808" s="150"/>
      <c r="K808" s="151"/>
      <c r="L808" s="66"/>
      <c r="M808" s="61"/>
      <c r="N808" s="61"/>
      <c r="O808" s="61"/>
      <c r="P808" s="29"/>
      <c r="Q808" s="29"/>
      <c r="R808" s="29"/>
      <c r="S808" s="29"/>
      <c r="T808" s="44"/>
      <c r="U808" s="44"/>
      <c r="V808" s="44"/>
      <c r="W808" s="44"/>
      <c r="X808" s="44"/>
      <c r="Y808" s="44"/>
      <c r="Z808" s="44"/>
      <c r="AA808" s="44"/>
      <c r="AB808" s="44"/>
      <c r="AC808" s="44"/>
      <c r="AD808" s="44"/>
      <c r="AE808" s="44"/>
      <c r="AF808" s="44"/>
      <c r="AG808" s="44"/>
      <c r="AH808" s="44"/>
    </row>
    <row r="809" spans="1:37" s="37" customFormat="1">
      <c r="A809" s="8"/>
      <c r="B809" s="54" t="s">
        <v>519</v>
      </c>
      <c r="C809" s="61"/>
      <c r="D809" s="29" t="s">
        <v>520</v>
      </c>
      <c r="E809" s="66">
        <v>6662885</v>
      </c>
      <c r="F809" s="16">
        <v>980000</v>
      </c>
      <c r="G809" s="29">
        <v>1460000</v>
      </c>
      <c r="H809" s="16">
        <v>20672885</v>
      </c>
      <c r="I809" s="111">
        <v>5740000</v>
      </c>
      <c r="J809" s="150">
        <f t="shared" si="32"/>
        <v>14932885</v>
      </c>
      <c r="K809" s="151">
        <f>+J809/I809</f>
        <v>2.6015479094076657</v>
      </c>
      <c r="L809" s="66"/>
      <c r="M809" s="61"/>
      <c r="N809" s="61"/>
      <c r="O809" s="61"/>
      <c r="P809" s="29"/>
      <c r="Q809" s="29"/>
      <c r="R809" s="29"/>
      <c r="S809" s="29"/>
      <c r="T809" s="44"/>
      <c r="U809" s="44"/>
      <c r="V809" s="44"/>
      <c r="W809" s="44"/>
      <c r="X809" s="44"/>
      <c r="Y809" s="44"/>
      <c r="Z809" s="44"/>
      <c r="AA809" s="44"/>
      <c r="AB809" s="44"/>
      <c r="AC809" s="44"/>
      <c r="AD809" s="44"/>
      <c r="AE809" s="44"/>
      <c r="AF809" s="44"/>
      <c r="AG809" s="44"/>
      <c r="AH809" s="44"/>
    </row>
    <row r="810" spans="1:37" s="37" customFormat="1" hidden="1">
      <c r="A810" s="8"/>
      <c r="B810" s="54"/>
      <c r="C810" s="61"/>
      <c r="D810" s="29"/>
      <c r="E810" s="16"/>
      <c r="F810" s="29"/>
      <c r="G810" s="29"/>
      <c r="H810" s="29"/>
      <c r="I810" s="29"/>
      <c r="J810" s="150"/>
      <c r="K810" s="151"/>
      <c r="L810" s="66"/>
      <c r="M810" s="61"/>
      <c r="N810" s="61"/>
      <c r="O810" s="61"/>
      <c r="P810" s="29"/>
      <c r="Q810" s="29"/>
      <c r="R810" s="29"/>
      <c r="S810" s="29"/>
      <c r="T810" s="44"/>
      <c r="U810" s="44"/>
      <c r="V810" s="44"/>
      <c r="W810" s="44"/>
      <c r="X810" s="44"/>
      <c r="Y810" s="44"/>
      <c r="Z810" s="44"/>
      <c r="AA810" s="44"/>
      <c r="AB810" s="44"/>
      <c r="AC810" s="44"/>
      <c r="AD810" s="44"/>
      <c r="AE810" s="44"/>
      <c r="AF810" s="44"/>
      <c r="AG810" s="44"/>
      <c r="AH810" s="44"/>
    </row>
    <row r="811" spans="1:37" s="37" customFormat="1" hidden="1">
      <c r="A811" s="8"/>
      <c r="B811" s="54"/>
      <c r="C811" s="61"/>
      <c r="D811" s="29"/>
      <c r="E811" s="16"/>
      <c r="F811" s="29"/>
      <c r="G811" s="29"/>
      <c r="H811" s="29"/>
      <c r="I811" s="29"/>
      <c r="J811" s="150"/>
      <c r="K811" s="151"/>
      <c r="L811" s="66"/>
      <c r="M811" s="61"/>
      <c r="N811" s="61"/>
      <c r="O811" s="61"/>
      <c r="P811" s="29"/>
      <c r="Q811" s="29"/>
      <c r="R811" s="29"/>
      <c r="S811" s="29"/>
      <c r="T811" s="44"/>
      <c r="U811" s="44"/>
      <c r="V811" s="44"/>
      <c r="W811" s="44"/>
      <c r="X811" s="44"/>
      <c r="Y811" s="44"/>
      <c r="Z811" s="44"/>
      <c r="AA811" s="44"/>
      <c r="AB811" s="44"/>
      <c r="AC811" s="44"/>
      <c r="AD811" s="44"/>
      <c r="AE811" s="44"/>
      <c r="AF811" s="44"/>
      <c r="AG811" s="44"/>
      <c r="AH811" s="44"/>
    </row>
    <row r="812" spans="1:37" s="37" customFormat="1" collapsed="1">
      <c r="A812" s="8"/>
      <c r="B812" s="54" t="s">
        <v>521</v>
      </c>
      <c r="C812" s="61"/>
      <c r="D812" s="29" t="s">
        <v>522</v>
      </c>
      <c r="E812" s="66">
        <v>3979105</v>
      </c>
      <c r="F812" s="16">
        <v>3979105.33</v>
      </c>
      <c r="G812" s="29">
        <v>4545461</v>
      </c>
      <c r="H812" s="16">
        <v>24455638.329999998</v>
      </c>
      <c r="I812" s="111">
        <v>21553342</v>
      </c>
      <c r="J812" s="150">
        <f t="shared" si="32"/>
        <v>2902296.3299999982</v>
      </c>
      <c r="K812" s="151">
        <f>+J812/I812</f>
        <v>0.13465644121454567</v>
      </c>
      <c r="L812" s="61"/>
      <c r="M812" s="29"/>
      <c r="N812" s="29"/>
      <c r="O812" s="29"/>
      <c r="P812" s="29"/>
      <c r="Q812" s="44"/>
      <c r="R812" s="44"/>
      <c r="S812" s="44"/>
      <c r="T812" s="44"/>
      <c r="U812" s="44"/>
      <c r="V812" s="44"/>
      <c r="W812" s="44"/>
      <c r="X812" s="44"/>
      <c r="Y812" s="44"/>
      <c r="Z812" s="44"/>
      <c r="AA812" s="44"/>
      <c r="AB812" s="44"/>
      <c r="AC812" s="44"/>
      <c r="AD812" s="44"/>
      <c r="AE812" s="44"/>
      <c r="AF812" s="44"/>
      <c r="AG812" s="44"/>
      <c r="AH812" s="44"/>
      <c r="AI812" s="44"/>
      <c r="AJ812" s="44"/>
      <c r="AK812" s="44"/>
    </row>
    <row r="813" spans="1:37" s="37" customFormat="1">
      <c r="A813" s="8"/>
      <c r="B813" s="54" t="s">
        <v>523</v>
      </c>
      <c r="C813" s="61"/>
      <c r="D813" s="29" t="s">
        <v>524</v>
      </c>
      <c r="E813" s="66">
        <v>0</v>
      </c>
      <c r="F813" s="16">
        <v>0</v>
      </c>
      <c r="G813" s="29">
        <v>2245000</v>
      </c>
      <c r="H813" s="16">
        <v>-251900</v>
      </c>
      <c r="I813" s="111">
        <v>7457000</v>
      </c>
      <c r="J813" s="150">
        <f t="shared" si="32"/>
        <v>-7708900</v>
      </c>
      <c r="K813" s="151">
        <f>+J813/I813</f>
        <v>-1.033780340619552</v>
      </c>
      <c r="L813" s="61"/>
      <c r="M813" s="29"/>
      <c r="N813" s="29"/>
      <c r="O813" s="29"/>
      <c r="P813" s="29"/>
      <c r="Q813" s="44"/>
      <c r="R813" s="44"/>
      <c r="S813" s="44"/>
      <c r="T813" s="44"/>
      <c r="U813" s="44"/>
      <c r="V813" s="44"/>
      <c r="W813" s="44"/>
      <c r="X813" s="44"/>
      <c r="Y813" s="44"/>
      <c r="Z813" s="44"/>
      <c r="AA813" s="44"/>
      <c r="AB813" s="44"/>
      <c r="AC813" s="44"/>
      <c r="AD813" s="44"/>
      <c r="AE813" s="44"/>
      <c r="AF813" s="44"/>
      <c r="AG813" s="44"/>
      <c r="AH813" s="44"/>
    </row>
    <row r="814" spans="1:37" s="37" customFormat="1">
      <c r="A814" s="8"/>
      <c r="B814" s="54" t="s">
        <v>525</v>
      </c>
      <c r="C814" s="61"/>
      <c r="D814" s="29" t="s">
        <v>526</v>
      </c>
      <c r="E814" s="66">
        <v>0</v>
      </c>
      <c r="F814" s="16">
        <v>0</v>
      </c>
      <c r="G814" s="29">
        <v>0</v>
      </c>
      <c r="H814" s="16">
        <f>+H815+H816+H817+H818</f>
        <v>7267980</v>
      </c>
      <c r="I814" s="111">
        <v>1200000</v>
      </c>
      <c r="J814" s="150">
        <f t="shared" si="32"/>
        <v>6067980</v>
      </c>
      <c r="K814" s="151">
        <v>0</v>
      </c>
      <c r="L814" s="61"/>
      <c r="M814" s="29"/>
      <c r="N814" s="29"/>
      <c r="O814" s="29"/>
      <c r="P814" s="29"/>
      <c r="Q814" s="44"/>
      <c r="R814" s="44"/>
      <c r="S814" s="44"/>
      <c r="T814" s="44"/>
      <c r="U814" s="44"/>
      <c r="V814" s="44"/>
      <c r="W814" s="44"/>
      <c r="X814" s="44"/>
      <c r="Y814" s="44"/>
      <c r="Z814" s="44"/>
      <c r="AA814" s="44"/>
      <c r="AB814" s="44"/>
      <c r="AC814" s="44"/>
      <c r="AD814" s="44"/>
      <c r="AE814" s="44"/>
      <c r="AF814" s="44"/>
      <c r="AG814" s="44"/>
      <c r="AH814" s="44"/>
    </row>
    <row r="815" spans="1:37" s="37" customFormat="1" hidden="1">
      <c r="A815" s="8"/>
      <c r="B815" s="54" t="s">
        <v>525</v>
      </c>
      <c r="C815" s="61"/>
      <c r="D815" s="29"/>
      <c r="E815" s="66">
        <v>0</v>
      </c>
      <c r="F815" s="16">
        <v>0</v>
      </c>
      <c r="G815" s="29"/>
      <c r="H815" s="16">
        <v>-57500</v>
      </c>
      <c r="I815" s="29"/>
      <c r="J815" s="150"/>
      <c r="K815" s="151"/>
      <c r="L815" s="61"/>
      <c r="M815" s="29"/>
      <c r="N815" s="29"/>
      <c r="O815" s="29"/>
      <c r="P815" s="29"/>
      <c r="Q815" s="44"/>
      <c r="R815" s="44"/>
      <c r="S815" s="44"/>
      <c r="T815" s="44"/>
      <c r="U815" s="44"/>
      <c r="V815" s="44"/>
      <c r="W815" s="44"/>
      <c r="X815" s="44"/>
      <c r="Y815" s="44"/>
      <c r="Z815" s="44"/>
      <c r="AA815" s="44"/>
      <c r="AB815" s="44"/>
      <c r="AC815" s="44"/>
      <c r="AD815" s="44"/>
      <c r="AE815" s="44"/>
      <c r="AF815" s="44"/>
      <c r="AG815" s="44"/>
      <c r="AH815" s="44"/>
    </row>
    <row r="816" spans="1:37" s="37" customFormat="1" hidden="1">
      <c r="A816" s="8"/>
      <c r="B816" s="54" t="s">
        <v>527</v>
      </c>
      <c r="C816" s="61"/>
      <c r="D816" s="29"/>
      <c r="E816" s="66">
        <v>0</v>
      </c>
      <c r="F816" s="16"/>
      <c r="G816" s="29"/>
      <c r="H816" s="16">
        <v>480480</v>
      </c>
      <c r="I816" s="29"/>
      <c r="J816" s="150"/>
      <c r="K816" s="151"/>
      <c r="L816" s="61"/>
      <c r="M816" s="29"/>
      <c r="N816" s="29"/>
      <c r="O816" s="29"/>
      <c r="P816" s="29"/>
      <c r="Q816" s="44"/>
      <c r="R816" s="44"/>
      <c r="S816" s="44"/>
      <c r="T816" s="44"/>
      <c r="U816" s="44"/>
      <c r="V816" s="44"/>
      <c r="W816" s="44"/>
      <c r="X816" s="44"/>
      <c r="Y816" s="44"/>
      <c r="Z816" s="44"/>
      <c r="AA816" s="44"/>
      <c r="AB816" s="44"/>
      <c r="AC816" s="44"/>
      <c r="AD816" s="44"/>
      <c r="AE816" s="44"/>
      <c r="AF816" s="44"/>
      <c r="AG816" s="44"/>
      <c r="AH816" s="44"/>
    </row>
    <row r="817" spans="1:37" s="37" customFormat="1" hidden="1">
      <c r="A817" s="8"/>
      <c r="B817" s="54" t="s">
        <v>528</v>
      </c>
      <c r="C817" s="61"/>
      <c r="D817" s="29"/>
      <c r="E817" s="66">
        <v>0</v>
      </c>
      <c r="F817" s="16">
        <v>0</v>
      </c>
      <c r="G817" s="29"/>
      <c r="H817" s="16">
        <v>1290000</v>
      </c>
      <c r="I817" s="29"/>
      <c r="J817" s="150"/>
      <c r="K817" s="151"/>
      <c r="L817" s="61"/>
      <c r="M817" s="29"/>
      <c r="N817" s="29"/>
      <c r="O817" s="29"/>
      <c r="P817" s="29"/>
      <c r="Q817" s="44"/>
      <c r="R817" s="44"/>
      <c r="S817" s="44"/>
      <c r="T817" s="44"/>
      <c r="U817" s="44"/>
      <c r="V817" s="44"/>
      <c r="W817" s="44"/>
      <c r="X817" s="44"/>
      <c r="Y817" s="44"/>
      <c r="Z817" s="44"/>
      <c r="AA817" s="44"/>
      <c r="AB817" s="44"/>
      <c r="AC817" s="44"/>
      <c r="AD817" s="44"/>
      <c r="AE817" s="44"/>
      <c r="AF817" s="44"/>
      <c r="AG817" s="44"/>
      <c r="AH817" s="44"/>
    </row>
    <row r="818" spans="1:37" s="37" customFormat="1" hidden="1">
      <c r="A818" s="8"/>
      <c r="B818" s="61" t="s">
        <v>529</v>
      </c>
      <c r="C818" s="61"/>
      <c r="D818" s="29"/>
      <c r="E818" s="66">
        <v>2660000</v>
      </c>
      <c r="F818" s="29"/>
      <c r="G818" s="29"/>
      <c r="H818" s="16">
        <v>5555000</v>
      </c>
      <c r="I818" s="29"/>
      <c r="J818" s="150"/>
      <c r="K818" s="151"/>
      <c r="L818" s="61"/>
      <c r="M818" s="29"/>
      <c r="N818" s="29"/>
      <c r="O818" s="29"/>
      <c r="P818" s="29"/>
      <c r="Q818" s="44"/>
      <c r="R818" s="44"/>
      <c r="S818" s="44"/>
      <c r="T818" s="44"/>
      <c r="U818" s="44"/>
      <c r="V818" s="44"/>
      <c r="W818" s="44"/>
      <c r="X818" s="44"/>
      <c r="Y818" s="44"/>
      <c r="Z818" s="44"/>
      <c r="AA818" s="44"/>
      <c r="AB818" s="44"/>
      <c r="AC818" s="44"/>
      <c r="AD818" s="44"/>
      <c r="AE818" s="44"/>
      <c r="AF818" s="44"/>
      <c r="AG818" s="44"/>
      <c r="AH818" s="44"/>
    </row>
    <row r="819" spans="1:37" s="37" customFormat="1" collapsed="1">
      <c r="A819" s="8"/>
      <c r="B819" s="54" t="s">
        <v>530</v>
      </c>
      <c r="C819" s="61"/>
      <c r="D819" s="29" t="s">
        <v>531</v>
      </c>
      <c r="E819" s="66">
        <v>-146001</v>
      </c>
      <c r="F819" s="16">
        <v>0</v>
      </c>
      <c r="G819" s="29">
        <v>0</v>
      </c>
      <c r="H819" s="16">
        <v>-1046001</v>
      </c>
      <c r="I819" s="111">
        <v>0</v>
      </c>
      <c r="J819" s="150">
        <f t="shared" si="32"/>
        <v>-1046001</v>
      </c>
      <c r="K819" s="151">
        <v>0</v>
      </c>
      <c r="L819" s="61"/>
      <c r="M819" s="29"/>
      <c r="N819" s="29"/>
      <c r="O819" s="29"/>
      <c r="P819" s="29"/>
      <c r="Q819" s="44"/>
      <c r="R819" s="44"/>
      <c r="S819" s="44"/>
      <c r="T819" s="44"/>
      <c r="U819" s="44"/>
      <c r="V819" s="44"/>
      <c r="W819" s="44"/>
      <c r="X819" s="44"/>
      <c r="Y819" s="44"/>
      <c r="Z819" s="44"/>
      <c r="AA819" s="44"/>
      <c r="AB819" s="44"/>
      <c r="AC819" s="44"/>
      <c r="AD819" s="44"/>
      <c r="AE819" s="44"/>
      <c r="AF819" s="44"/>
      <c r="AG819" s="44"/>
      <c r="AH819" s="44"/>
    </row>
    <row r="820" spans="1:37" s="37" customFormat="1">
      <c r="A820" s="8"/>
      <c r="B820" s="54" t="s">
        <v>532</v>
      </c>
      <c r="C820" s="61"/>
      <c r="D820" s="29" t="s">
        <v>533</v>
      </c>
      <c r="E820" s="29">
        <f>E821+E822</f>
        <v>80000</v>
      </c>
      <c r="F820" s="29">
        <f>F821+F822</f>
        <v>79000</v>
      </c>
      <c r="G820" s="29">
        <v>2620000</v>
      </c>
      <c r="H820" s="16">
        <f>+H821+H822</f>
        <v>2020200</v>
      </c>
      <c r="I820" s="111">
        <v>9204600</v>
      </c>
      <c r="J820" s="150">
        <f t="shared" si="32"/>
        <v>-7184400</v>
      </c>
      <c r="K820" s="151">
        <f>+J820/I820</f>
        <v>-0.78052278208721726</v>
      </c>
      <c r="L820" s="61"/>
      <c r="M820" s="29"/>
      <c r="N820" s="29"/>
      <c r="O820" s="29"/>
      <c r="P820" s="29"/>
      <c r="Q820" s="44"/>
      <c r="R820" s="44"/>
      <c r="S820" s="44"/>
      <c r="T820" s="44"/>
      <c r="U820" s="44"/>
      <c r="V820" s="44"/>
      <c r="W820" s="44"/>
      <c r="X820" s="44"/>
      <c r="Y820" s="44"/>
      <c r="Z820" s="44"/>
      <c r="AA820" s="44"/>
      <c r="AB820" s="44"/>
      <c r="AC820" s="44"/>
      <c r="AD820" s="44"/>
      <c r="AE820" s="44"/>
      <c r="AF820" s="44"/>
      <c r="AG820" s="44"/>
      <c r="AH820" s="44"/>
    </row>
    <row r="821" spans="1:37" s="37" customFormat="1" hidden="1">
      <c r="A821" s="8"/>
      <c r="B821" s="54" t="s">
        <v>534</v>
      </c>
      <c r="C821" s="8"/>
      <c r="D821" s="29"/>
      <c r="E821" s="66">
        <v>80000</v>
      </c>
      <c r="F821" s="16">
        <v>79000</v>
      </c>
      <c r="G821" s="29">
        <v>0</v>
      </c>
      <c r="H821" s="16">
        <v>2299300</v>
      </c>
      <c r="I821" s="29"/>
      <c r="J821" s="150"/>
      <c r="K821" s="151"/>
      <c r="L821" s="61"/>
      <c r="M821" s="29"/>
      <c r="N821" s="29"/>
      <c r="O821" s="29"/>
      <c r="P821" s="29"/>
      <c r="Q821" s="44"/>
      <c r="R821" s="44"/>
      <c r="S821" s="44"/>
      <c r="T821" s="44"/>
      <c r="U821" s="44"/>
      <c r="V821" s="44"/>
      <c r="W821" s="44"/>
      <c r="X821" s="44"/>
      <c r="Y821" s="44"/>
      <c r="Z821" s="44"/>
      <c r="AA821" s="44"/>
      <c r="AB821" s="44"/>
      <c r="AC821" s="44"/>
      <c r="AD821" s="44"/>
      <c r="AE821" s="44"/>
      <c r="AF821" s="44"/>
      <c r="AG821" s="44"/>
      <c r="AH821" s="44"/>
    </row>
    <row r="822" spans="1:37" s="37" customFormat="1" hidden="1">
      <c r="A822" s="8"/>
      <c r="B822" s="54" t="s">
        <v>532</v>
      </c>
      <c r="C822" s="8"/>
      <c r="D822" s="29"/>
      <c r="E822" s="66">
        <v>0</v>
      </c>
      <c r="F822" s="29"/>
      <c r="G822" s="29">
        <v>0</v>
      </c>
      <c r="H822" s="16">
        <v>-279100</v>
      </c>
      <c r="I822" s="29"/>
      <c r="J822" s="150"/>
      <c r="K822" s="151"/>
      <c r="L822" s="61"/>
      <c r="M822" s="29"/>
      <c r="N822" s="29"/>
      <c r="O822" s="29"/>
      <c r="P822" s="29"/>
      <c r="Q822" s="44"/>
      <c r="R822" s="44"/>
      <c r="S822" s="44"/>
      <c r="T822" s="44"/>
      <c r="U822" s="44"/>
      <c r="V822" s="44"/>
      <c r="W822" s="44"/>
      <c r="X822" s="44"/>
      <c r="Y822" s="44"/>
      <c r="Z822" s="44"/>
      <c r="AA822" s="44"/>
      <c r="AB822" s="44"/>
      <c r="AC822" s="44"/>
      <c r="AD822" s="44"/>
      <c r="AE822" s="44"/>
      <c r="AF822" s="44"/>
      <c r="AG822" s="44"/>
      <c r="AH822" s="44"/>
    </row>
    <row r="823" spans="1:37" s="37" customFormat="1" hidden="1">
      <c r="A823" s="8"/>
      <c r="B823" s="54" t="s">
        <v>527</v>
      </c>
      <c r="C823" s="8"/>
      <c r="D823" s="29"/>
      <c r="E823" s="66">
        <v>0</v>
      </c>
      <c r="F823" s="29"/>
      <c r="G823" s="29"/>
      <c r="H823" s="29"/>
      <c r="I823" s="29"/>
      <c r="J823" s="8"/>
      <c r="K823" s="151"/>
      <c r="L823" s="61"/>
      <c r="M823" s="29"/>
      <c r="N823" s="29"/>
      <c r="O823" s="29"/>
      <c r="P823" s="29"/>
      <c r="Q823" s="44"/>
      <c r="R823" s="44"/>
      <c r="S823" s="44"/>
      <c r="T823" s="44"/>
      <c r="U823" s="44"/>
      <c r="V823" s="44"/>
      <c r="W823" s="44"/>
      <c r="X823" s="44"/>
      <c r="Y823" s="44"/>
      <c r="Z823" s="44"/>
      <c r="AA823" s="44"/>
      <c r="AB823" s="44"/>
      <c r="AC823" s="44"/>
      <c r="AD823" s="44"/>
      <c r="AE823" s="44"/>
      <c r="AF823" s="44"/>
      <c r="AG823" s="44"/>
      <c r="AH823" s="44"/>
    </row>
    <row r="824" spans="1:37" s="37" customFormat="1" ht="13.5" collapsed="1" thickBot="1">
      <c r="A824" s="8"/>
      <c r="B824" s="54"/>
      <c r="C824" s="8"/>
      <c r="D824" s="275" t="s">
        <v>78</v>
      </c>
      <c r="E824" s="70">
        <f>+E809+E812+E820+E818</f>
        <v>13381990</v>
      </c>
      <c r="F824" s="70">
        <f>+F809+F812+F820</f>
        <v>5038105.33</v>
      </c>
      <c r="G824" s="70">
        <f>SUM(G807:G823)</f>
        <v>10870461</v>
      </c>
      <c r="H824" s="70">
        <f>+H809+H812+H813+H814+H819+H820</f>
        <v>53118802.329999998</v>
      </c>
      <c r="I824" s="70">
        <f>SUM(I807:I823)</f>
        <v>45154942</v>
      </c>
      <c r="J824" s="70">
        <f>SUM(J807:J823)</f>
        <v>7963860.3299999982</v>
      </c>
      <c r="K824" s="153">
        <f>+J824/I824</f>
        <v>0.17636741356018126</v>
      </c>
      <c r="L824" s="66"/>
      <c r="M824" s="61"/>
      <c r="N824" s="61"/>
      <c r="O824" s="29"/>
      <c r="P824" s="29"/>
      <c r="Q824" s="44"/>
      <c r="R824" s="44"/>
      <c r="S824" s="44"/>
      <c r="T824" s="44"/>
      <c r="U824" s="44"/>
      <c r="V824" s="44"/>
      <c r="W824" s="44"/>
      <c r="X824" s="44"/>
      <c r="Y824" s="44"/>
      <c r="Z824" s="44"/>
      <c r="AA824" s="44"/>
      <c r="AB824" s="44"/>
      <c r="AC824" s="44"/>
      <c r="AD824" s="44"/>
      <c r="AE824" s="44"/>
      <c r="AF824" s="44"/>
      <c r="AG824" s="44"/>
      <c r="AH824" s="44"/>
    </row>
    <row r="825" spans="1:37" ht="13.5" thickTop="1">
      <c r="A825" s="5"/>
      <c r="D825" s="16"/>
      <c r="E825" s="16"/>
      <c r="F825" s="16"/>
      <c r="G825" s="16"/>
      <c r="H825" s="16">
        <v>23676669</v>
      </c>
      <c r="I825" s="16"/>
      <c r="J825" s="16"/>
      <c r="K825" s="33"/>
      <c r="L825" s="16"/>
      <c r="M825" s="16"/>
      <c r="N825" s="16"/>
      <c r="O825" s="16"/>
      <c r="P825" s="16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</row>
    <row r="826" spans="1:37">
      <c r="A826" s="5"/>
      <c r="D826" s="16"/>
      <c r="E826" s="16"/>
      <c r="F826" s="16"/>
      <c r="G826" s="16"/>
      <c r="H826" s="29"/>
      <c r="I826" s="29"/>
      <c r="J826" s="16"/>
      <c r="K826" s="33"/>
      <c r="L826" s="16"/>
      <c r="M826" s="16"/>
      <c r="N826" s="16"/>
      <c r="O826" s="61"/>
      <c r="P826" s="16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</row>
    <row r="827" spans="1:37">
      <c r="A827" s="5"/>
      <c r="D827" s="16"/>
      <c r="E827" s="20" t="str">
        <f>E55</f>
        <v>30 April 2017</v>
      </c>
      <c r="F827" s="20" t="str">
        <f>F55</f>
        <v>31 Maret 2017</v>
      </c>
      <c r="G827" s="20" t="str">
        <f>G55</f>
        <v>30 April 2016</v>
      </c>
      <c r="H827" s="21" t="str">
        <f>H55</f>
        <v>s/d  30 April 2017</v>
      </c>
      <c r="I827" s="21" t="str">
        <f>I55</f>
        <v>s/d  30 April 2016</v>
      </c>
      <c r="J827" s="19" t="s">
        <v>56</v>
      </c>
      <c r="K827" s="19" t="s">
        <v>9</v>
      </c>
      <c r="L827" s="16"/>
      <c r="M827" s="16"/>
      <c r="N827" s="16"/>
      <c r="O827" s="61"/>
      <c r="P827" s="16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</row>
    <row r="828" spans="1:37">
      <c r="A828" s="94"/>
      <c r="B828" s="94"/>
      <c r="C828" s="94"/>
      <c r="D828" s="72" t="s">
        <v>535</v>
      </c>
      <c r="E828" s="72"/>
      <c r="F828" s="72"/>
      <c r="G828" s="16"/>
      <c r="H828" s="29"/>
      <c r="I828" s="29"/>
      <c r="J828" s="16"/>
      <c r="K828" s="33"/>
      <c r="L828" s="16"/>
      <c r="M828" s="16"/>
      <c r="N828" s="16"/>
      <c r="O828" s="61"/>
      <c r="P828" s="16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</row>
    <row r="829" spans="1:37">
      <c r="A829" s="5"/>
      <c r="D829" s="16" t="s">
        <v>536</v>
      </c>
      <c r="F829" s="16">
        <v>0</v>
      </c>
      <c r="G829" s="16">
        <v>0</v>
      </c>
      <c r="H829" s="29">
        <v>0</v>
      </c>
      <c r="I829" s="29">
        <v>0</v>
      </c>
      <c r="J829" s="43">
        <f t="shared" ref="J829:J834" si="33">+H829-I829</f>
        <v>0</v>
      </c>
      <c r="K829" s="98">
        <v>0</v>
      </c>
      <c r="L829" s="16"/>
      <c r="M829" s="16"/>
      <c r="N829" s="16"/>
      <c r="O829" s="61"/>
      <c r="P829" s="16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</row>
    <row r="830" spans="1:37">
      <c r="A830" s="5"/>
      <c r="B830" s="265" t="s">
        <v>537</v>
      </c>
      <c r="D830" s="16" t="s">
        <v>538</v>
      </c>
      <c r="E830" s="66">
        <v>29651541</v>
      </c>
      <c r="F830" s="16">
        <v>0</v>
      </c>
      <c r="G830" s="16">
        <v>0</v>
      </c>
      <c r="H830" s="16">
        <v>29651541</v>
      </c>
      <c r="I830" s="29">
        <v>0</v>
      </c>
      <c r="J830" s="43">
        <f t="shared" si="33"/>
        <v>29651541</v>
      </c>
      <c r="K830" s="98">
        <v>1</v>
      </c>
      <c r="L830" s="16"/>
      <c r="M830" s="16"/>
      <c r="N830" s="16"/>
      <c r="O830" s="61"/>
      <c r="P830" s="16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</row>
    <row r="831" spans="1:37">
      <c r="A831" s="5"/>
      <c r="B831" s="54" t="s">
        <v>539</v>
      </c>
      <c r="D831" s="16" t="s">
        <v>540</v>
      </c>
      <c r="E831" s="66">
        <v>3092784</v>
      </c>
      <c r="F831" s="16">
        <v>9748533</v>
      </c>
      <c r="G831" s="16">
        <v>6185568</v>
      </c>
      <c r="H831" s="16">
        <v>22119669</v>
      </c>
      <c r="I831" s="111">
        <v>31871134</v>
      </c>
      <c r="J831" s="43">
        <f t="shared" si="33"/>
        <v>-9751465</v>
      </c>
      <c r="K831" s="98">
        <f>+J831/I831</f>
        <v>-0.30596542313179065</v>
      </c>
      <c r="L831" s="61"/>
      <c r="M831" s="16"/>
      <c r="N831" s="16"/>
      <c r="O831" s="61"/>
      <c r="P831" s="16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</row>
    <row r="832" spans="1:37" ht="16.5" customHeight="1">
      <c r="A832" s="5"/>
      <c r="B832" s="54" t="s">
        <v>541</v>
      </c>
      <c r="D832" s="16" t="s">
        <v>542</v>
      </c>
      <c r="E832" s="66">
        <v>557665824</v>
      </c>
      <c r="F832" s="16">
        <v>57000000</v>
      </c>
      <c r="G832" s="16">
        <v>75571973</v>
      </c>
      <c r="H832" s="16">
        <v>671665824</v>
      </c>
      <c r="I832" s="111">
        <v>302287892</v>
      </c>
      <c r="J832" s="43">
        <f t="shared" si="33"/>
        <v>369377932</v>
      </c>
      <c r="K832" s="98">
        <v>1</v>
      </c>
      <c r="L832" s="61"/>
      <c r="M832" s="16"/>
      <c r="N832" s="16"/>
      <c r="O832" s="61"/>
      <c r="P832" s="16"/>
      <c r="Q832" s="16"/>
      <c r="R832" s="16"/>
      <c r="S832" s="16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</row>
    <row r="833" spans="1:37">
      <c r="A833" s="5"/>
      <c r="D833" s="16" t="s">
        <v>543</v>
      </c>
      <c r="F833" s="16">
        <v>0</v>
      </c>
      <c r="G833" s="16">
        <v>0</v>
      </c>
      <c r="H833" s="29">
        <v>0</v>
      </c>
      <c r="I833" s="29">
        <v>0</v>
      </c>
      <c r="J833" s="43">
        <f t="shared" si="33"/>
        <v>0</v>
      </c>
      <c r="K833" s="98">
        <v>0</v>
      </c>
      <c r="L833" s="16"/>
      <c r="M833" s="16"/>
      <c r="N833" s="16"/>
      <c r="O833" s="16"/>
      <c r="P833" s="16"/>
      <c r="Q833" s="16"/>
      <c r="R833" s="16"/>
      <c r="S833" s="16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</row>
    <row r="834" spans="1:37">
      <c r="A834" s="5"/>
      <c r="B834" s="270" t="s">
        <v>544</v>
      </c>
      <c r="D834" s="16" t="s">
        <v>545</v>
      </c>
      <c r="E834" s="66">
        <v>679967</v>
      </c>
      <c r="F834" s="16">
        <v>0</v>
      </c>
      <c r="G834" s="16">
        <v>0</v>
      </c>
      <c r="H834" s="16">
        <v>85679967</v>
      </c>
      <c r="I834" s="29">
        <v>0</v>
      </c>
      <c r="J834" s="43">
        <f t="shared" si="33"/>
        <v>85679967</v>
      </c>
      <c r="K834" s="98">
        <v>0</v>
      </c>
      <c r="L834" s="16"/>
      <c r="M834" s="16"/>
      <c r="N834" s="16"/>
      <c r="O834" s="16"/>
      <c r="P834" s="16"/>
      <c r="Q834" s="16"/>
      <c r="R834" s="16"/>
      <c r="S834" s="16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</row>
    <row r="835" spans="1:37" ht="13.5" thickBot="1">
      <c r="A835" s="5"/>
      <c r="D835" s="262" t="s">
        <v>545</v>
      </c>
      <c r="E835" s="69">
        <f t="shared" ref="E835:J835" si="34">SUM(E829:E834)</f>
        <v>591090116</v>
      </c>
      <c r="F835" s="69">
        <f t="shared" si="34"/>
        <v>66748533</v>
      </c>
      <c r="G835" s="69">
        <f t="shared" si="34"/>
        <v>81757541</v>
      </c>
      <c r="H835" s="70">
        <f t="shared" si="34"/>
        <v>809117001</v>
      </c>
      <c r="I835" s="70">
        <f t="shared" si="34"/>
        <v>334159026</v>
      </c>
      <c r="J835" s="69">
        <f t="shared" si="34"/>
        <v>474957975</v>
      </c>
      <c r="K835" s="116">
        <f>+J835/I835</f>
        <v>1.4213531224501474</v>
      </c>
      <c r="L835" s="16"/>
      <c r="M835" s="16"/>
      <c r="N835" s="16"/>
      <c r="O835" s="16"/>
      <c r="P835" s="16"/>
      <c r="Q835" s="16"/>
      <c r="R835" s="16"/>
      <c r="S835" s="16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</row>
    <row r="836" spans="1:37" ht="13.5" thickTop="1">
      <c r="A836" s="5"/>
      <c r="D836" s="16"/>
      <c r="E836" s="16"/>
      <c r="F836" s="16"/>
      <c r="G836" s="16"/>
      <c r="H836" s="29"/>
      <c r="I836" s="29"/>
      <c r="J836" s="16"/>
      <c r="K836" s="33"/>
      <c r="L836" s="16"/>
      <c r="M836" s="16"/>
      <c r="N836" s="16"/>
      <c r="O836" s="16"/>
      <c r="P836" s="16"/>
      <c r="Q836" s="16"/>
      <c r="R836" s="16"/>
      <c r="S836" s="16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</row>
    <row r="837" spans="1:37">
      <c r="A837" s="5"/>
      <c r="D837" s="16"/>
      <c r="E837" s="16"/>
      <c r="F837" s="16"/>
      <c r="G837" s="16"/>
      <c r="H837" s="29"/>
      <c r="I837" s="29"/>
      <c r="J837" s="16"/>
      <c r="K837" s="33"/>
      <c r="L837" s="16"/>
      <c r="M837" s="16"/>
      <c r="N837" s="16"/>
      <c r="O837" s="16"/>
      <c r="P837" s="16"/>
      <c r="Q837" s="16"/>
      <c r="R837" s="16"/>
      <c r="S837" s="16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</row>
    <row r="838" spans="1:37" ht="14">
      <c r="A838" s="5" t="s">
        <v>427</v>
      </c>
      <c r="D838" s="148" t="s">
        <v>82</v>
      </c>
      <c r="E838" s="16"/>
      <c r="F838" s="16"/>
      <c r="G838" s="16"/>
      <c r="H838" s="29"/>
      <c r="I838" s="29"/>
      <c r="J838" s="16"/>
      <c r="K838" s="33"/>
      <c r="L838" s="16"/>
      <c r="M838" s="16"/>
      <c r="N838" s="16"/>
      <c r="O838" s="16"/>
      <c r="P838" s="16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</row>
    <row r="839" spans="1:37">
      <c r="A839" s="5"/>
      <c r="D839" s="16"/>
      <c r="E839" s="20" t="str">
        <f>E55</f>
        <v>30 April 2017</v>
      </c>
      <c r="F839" s="20" t="str">
        <f>F55</f>
        <v>31 Maret 2017</v>
      </c>
      <c r="G839" s="20" t="str">
        <f>G55</f>
        <v>30 April 2016</v>
      </c>
      <c r="H839" s="21" t="str">
        <f>H55</f>
        <v>s/d  30 April 2017</v>
      </c>
      <c r="I839" s="21" t="str">
        <f>I55</f>
        <v>s/d  30 April 2016</v>
      </c>
      <c r="J839" s="19" t="s">
        <v>56</v>
      </c>
      <c r="K839" s="19" t="s">
        <v>9</v>
      </c>
      <c r="L839" s="16"/>
      <c r="M839" s="16"/>
      <c r="N839" s="16"/>
      <c r="O839" s="16"/>
      <c r="P839" s="16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</row>
    <row r="840" spans="1:37">
      <c r="A840" s="5"/>
      <c r="D840" s="72" t="s">
        <v>546</v>
      </c>
      <c r="E840" s="16"/>
      <c r="F840" s="16"/>
      <c r="G840" s="16"/>
      <c r="H840" s="29"/>
      <c r="I840" s="29"/>
      <c r="J840" s="5"/>
      <c r="K840" s="98"/>
      <c r="L840" s="16"/>
      <c r="M840" s="16"/>
      <c r="N840" s="16"/>
      <c r="O840" s="16"/>
      <c r="P840" s="16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</row>
    <row r="841" spans="1:37">
      <c r="A841" s="5"/>
      <c r="B841" s="54" t="s">
        <v>547</v>
      </c>
      <c r="D841" s="16" t="s">
        <v>548</v>
      </c>
      <c r="E841" s="66">
        <v>7058657.7599999998</v>
      </c>
      <c r="F841" s="16">
        <v>4904589</v>
      </c>
      <c r="G841" s="16">
        <v>14048829</v>
      </c>
      <c r="H841" s="16">
        <v>27466452.759999998</v>
      </c>
      <c r="I841" s="111">
        <v>47800254</v>
      </c>
      <c r="J841" s="43">
        <f>+H841-I841</f>
        <v>-20333801.240000002</v>
      </c>
      <c r="K841" s="98">
        <f>+J841/I841</f>
        <v>-0.42539107093447664</v>
      </c>
      <c r="L841" s="61" t="s">
        <v>547</v>
      </c>
      <c r="M841" s="16"/>
      <c r="N841" s="16"/>
      <c r="O841" s="16"/>
      <c r="P841" s="16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</row>
    <row r="842" spans="1:37">
      <c r="A842" s="5"/>
      <c r="B842" s="54" t="s">
        <v>549</v>
      </c>
      <c r="D842" s="16" t="s">
        <v>550</v>
      </c>
      <c r="E842" s="66">
        <v>1908259.66</v>
      </c>
      <c r="F842" s="16">
        <v>2052213.22</v>
      </c>
      <c r="G842" s="16">
        <v>2133581</v>
      </c>
      <c r="H842" s="16">
        <v>9989326.879999999</v>
      </c>
      <c r="I842" s="111">
        <v>6809675</v>
      </c>
      <c r="J842" s="43">
        <f>+H842-I842</f>
        <v>3179651.879999999</v>
      </c>
      <c r="K842" s="98">
        <f>+J842/I842</f>
        <v>0.46693151728973836</v>
      </c>
      <c r="L842" s="61" t="s">
        <v>549</v>
      </c>
      <c r="M842" s="16"/>
      <c r="N842" s="16"/>
      <c r="O842" s="16"/>
      <c r="P842" s="16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</row>
    <row r="843" spans="1:37">
      <c r="A843" s="5"/>
      <c r="D843" s="16" t="s">
        <v>551</v>
      </c>
      <c r="E843" s="16">
        <v>0</v>
      </c>
      <c r="F843" s="16">
        <v>0</v>
      </c>
      <c r="G843" s="16">
        <v>0</v>
      </c>
      <c r="H843" s="29">
        <v>0</v>
      </c>
      <c r="I843" s="29">
        <v>0</v>
      </c>
      <c r="J843" s="43">
        <f>+H843-I843</f>
        <v>0</v>
      </c>
      <c r="K843" s="98">
        <v>0</v>
      </c>
      <c r="L843" s="16"/>
      <c r="M843" s="16"/>
      <c r="N843" s="16"/>
      <c r="O843" s="16"/>
      <c r="P843" s="16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</row>
    <row r="844" spans="1:37">
      <c r="A844" s="5"/>
      <c r="D844" s="16"/>
      <c r="E844" s="16"/>
      <c r="F844" s="16"/>
      <c r="G844" s="16"/>
      <c r="H844" s="29">
        <v>0</v>
      </c>
      <c r="I844" s="29">
        <v>0</v>
      </c>
      <c r="J844" s="5"/>
      <c r="K844" s="98"/>
      <c r="L844" s="16"/>
      <c r="M844" s="16"/>
      <c r="N844" s="16"/>
      <c r="O844" s="16"/>
      <c r="P844" s="16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</row>
    <row r="845" spans="1:37" ht="13.5" thickBot="1">
      <c r="A845" s="5"/>
      <c r="D845" s="72" t="s">
        <v>552</v>
      </c>
      <c r="E845" s="69">
        <f>SUM(E841:E844)</f>
        <v>8966917.4199999999</v>
      </c>
      <c r="F845" s="69">
        <f>SUM(F841:F844)</f>
        <v>6956802.2199999997</v>
      </c>
      <c r="G845" s="69">
        <f>SUM(G841:G844)</f>
        <v>16182410</v>
      </c>
      <c r="H845" s="70">
        <f>SUM(H841:H844)</f>
        <v>37455779.640000001</v>
      </c>
      <c r="I845" s="70">
        <f>SUM(I841:I844)</f>
        <v>54609929</v>
      </c>
      <c r="J845" s="261">
        <f>+H845-I845</f>
        <v>-17154149.359999999</v>
      </c>
      <c r="K845" s="116">
        <f>+J845/I845</f>
        <v>-0.3141214367812124</v>
      </c>
      <c r="L845" s="16"/>
      <c r="M845" s="16"/>
      <c r="N845" s="16"/>
      <c r="O845" s="16"/>
      <c r="P845" s="16"/>
      <c r="Q845" s="16"/>
      <c r="R845" s="16"/>
      <c r="S845" s="16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</row>
    <row r="846" spans="1:37" ht="13.5" thickTop="1">
      <c r="A846" s="5"/>
      <c r="D846" s="72"/>
      <c r="E846" s="72"/>
      <c r="F846" s="72"/>
      <c r="G846" s="16"/>
      <c r="H846" s="16"/>
      <c r="I846" s="16"/>
      <c r="J846" s="16"/>
      <c r="K846" s="33"/>
      <c r="L846" s="16"/>
      <c r="M846" s="16"/>
      <c r="N846" s="16"/>
      <c r="O846" s="16"/>
      <c r="P846" s="16"/>
      <c r="Q846" s="16"/>
      <c r="R846" s="16"/>
      <c r="S846" s="16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</row>
    <row r="847" spans="1:37">
      <c r="A847" s="5"/>
      <c r="D847" s="72"/>
      <c r="E847" s="72"/>
      <c r="F847" s="72"/>
      <c r="G847" s="16"/>
      <c r="H847" s="29"/>
      <c r="I847" s="29"/>
      <c r="J847" s="16"/>
      <c r="K847" s="33"/>
      <c r="L847" s="16"/>
      <c r="M847" s="16"/>
      <c r="N847" s="16"/>
      <c r="O847" s="16"/>
      <c r="P847" s="16"/>
      <c r="Q847" s="16"/>
      <c r="R847" s="16"/>
      <c r="S847" s="16"/>
      <c r="T847" s="17"/>
      <c r="U847" s="17"/>
      <c r="V847" s="17"/>
    </row>
    <row r="848" spans="1:37">
      <c r="A848" s="5"/>
      <c r="D848" s="72" t="s">
        <v>553</v>
      </c>
      <c r="E848" s="20" t="str">
        <f>E55</f>
        <v>30 April 2017</v>
      </c>
      <c r="F848" s="20" t="str">
        <f>F55</f>
        <v>31 Maret 2017</v>
      </c>
      <c r="G848" s="20" t="str">
        <f>G55</f>
        <v>30 April 2016</v>
      </c>
      <c r="H848" s="21" t="str">
        <f>H55</f>
        <v>s/d  30 April 2017</v>
      </c>
      <c r="I848" s="21" t="str">
        <f>I55</f>
        <v>s/d  30 April 2016</v>
      </c>
      <c r="J848" s="19" t="s">
        <v>56</v>
      </c>
      <c r="K848" s="19" t="s">
        <v>9</v>
      </c>
      <c r="L848" s="16"/>
      <c r="M848" s="16"/>
      <c r="N848" s="16"/>
      <c r="O848" s="16"/>
      <c r="P848" s="16"/>
      <c r="Q848" s="16"/>
      <c r="R848" s="16"/>
      <c r="S848" s="16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</row>
    <row r="849" spans="1:37">
      <c r="A849" s="5"/>
      <c r="D849" s="16"/>
      <c r="E849" s="16"/>
      <c r="F849" s="16"/>
      <c r="G849" s="16"/>
      <c r="H849" s="29"/>
      <c r="I849" s="29"/>
      <c r="J849" s="16"/>
      <c r="K849" s="33"/>
      <c r="L849" s="16"/>
      <c r="M849" s="16"/>
      <c r="N849" s="16"/>
      <c r="O849" s="16"/>
      <c r="P849" s="16"/>
      <c r="Q849" s="16"/>
      <c r="R849" s="16"/>
      <c r="S849" s="16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</row>
    <row r="850" spans="1:37">
      <c r="A850" s="5"/>
      <c r="B850" s="54" t="s">
        <v>554</v>
      </c>
      <c r="D850" s="16" t="s">
        <v>555</v>
      </c>
      <c r="E850" s="66">
        <v>-1083269.8</v>
      </c>
      <c r="F850" s="16">
        <v>-1302457.56</v>
      </c>
      <c r="G850" s="111">
        <v>729408</v>
      </c>
      <c r="H850" s="16">
        <v>-4297352.3600000003</v>
      </c>
      <c r="I850" s="111">
        <v>3131482</v>
      </c>
      <c r="J850" s="43">
        <f>+H850-I850</f>
        <v>-7428834.3600000003</v>
      </c>
      <c r="K850" s="98">
        <f>+J850/I850</f>
        <v>-2.3723062626577449</v>
      </c>
      <c r="L850" s="61"/>
      <c r="M850" s="16"/>
      <c r="N850" s="16"/>
      <c r="O850" s="16"/>
      <c r="P850" s="16"/>
      <c r="Q850" s="16"/>
      <c r="R850" s="16"/>
      <c r="S850" s="16"/>
      <c r="T850" s="17"/>
      <c r="U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</row>
    <row r="851" spans="1:37">
      <c r="A851" s="5"/>
      <c r="B851" s="54" t="s">
        <v>556</v>
      </c>
      <c r="D851" s="16" t="s">
        <v>557</v>
      </c>
      <c r="E851" s="66">
        <v>-8928399</v>
      </c>
      <c r="F851" s="16">
        <v>-9245236</v>
      </c>
      <c r="G851" s="111">
        <v>4861357</v>
      </c>
      <c r="H851" s="16">
        <v>-37598551</v>
      </c>
      <c r="I851" s="111">
        <v>20172103</v>
      </c>
      <c r="J851" s="43">
        <f>+H851-I851</f>
        <v>-57770654</v>
      </c>
      <c r="K851" s="98">
        <f>+J851/I851</f>
        <v>-2.8638885097899807</v>
      </c>
      <c r="L851" s="61"/>
      <c r="M851" s="16"/>
      <c r="N851" s="16"/>
      <c r="O851" s="16"/>
      <c r="P851" s="16"/>
      <c r="Q851" s="16"/>
      <c r="R851" s="16"/>
      <c r="S851" s="16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</row>
    <row r="852" spans="1:37">
      <c r="A852" s="5"/>
      <c r="D852" s="16" t="s">
        <v>558</v>
      </c>
      <c r="E852" s="276">
        <v>0</v>
      </c>
      <c r="F852" s="16">
        <v>0</v>
      </c>
      <c r="G852" s="111">
        <v>0</v>
      </c>
      <c r="H852" s="29">
        <v>0</v>
      </c>
      <c r="I852" s="29">
        <v>0</v>
      </c>
      <c r="J852" s="43">
        <f>+H852-I852</f>
        <v>0</v>
      </c>
      <c r="K852" s="98">
        <v>0</v>
      </c>
      <c r="L852" s="16"/>
      <c r="M852" s="16"/>
      <c r="N852" s="16"/>
      <c r="O852" s="16"/>
      <c r="P852" s="16"/>
      <c r="Q852" s="16"/>
      <c r="R852" s="16"/>
      <c r="S852" s="16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</row>
    <row r="853" spans="1:37">
      <c r="A853" s="5"/>
      <c r="D853" s="16"/>
      <c r="E853" s="16"/>
      <c r="F853" s="277"/>
      <c r="G853" s="16"/>
      <c r="H853" s="29"/>
      <c r="I853" s="29"/>
      <c r="J853" s="5"/>
      <c r="K853" s="98"/>
      <c r="L853" s="16"/>
      <c r="M853" s="16"/>
      <c r="N853" s="16"/>
      <c r="O853" s="16"/>
      <c r="P853" s="16"/>
      <c r="Q853" s="16"/>
      <c r="R853" s="16"/>
      <c r="S853" s="16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</row>
    <row r="854" spans="1:37" ht="13.5" thickBot="1">
      <c r="A854" s="5"/>
      <c r="D854" s="72" t="s">
        <v>559</v>
      </c>
      <c r="E854" s="69">
        <f>SUM(E850:E853)</f>
        <v>-10011668.800000001</v>
      </c>
      <c r="F854" s="278">
        <f>SUM(F850:F853)</f>
        <v>-10547693.560000001</v>
      </c>
      <c r="G854" s="69">
        <f>SUM(G850:G853)</f>
        <v>5590765</v>
      </c>
      <c r="H854" s="70">
        <f>SUM(H850:H853)</f>
        <v>-41895903.359999999</v>
      </c>
      <c r="I854" s="70">
        <f>SUM(I850:I853)</f>
        <v>23303585</v>
      </c>
      <c r="J854" s="261">
        <f>+H854-I854</f>
        <v>-65199488.359999999</v>
      </c>
      <c r="K854" s="116">
        <f>+J854/I854</f>
        <v>-2.7978308213092533</v>
      </c>
      <c r="L854" s="16"/>
      <c r="M854" s="16"/>
      <c r="N854" s="16"/>
      <c r="O854" s="16"/>
      <c r="P854" s="16"/>
      <c r="Q854" s="16"/>
      <c r="R854" s="16"/>
      <c r="S854" s="16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</row>
    <row r="855" spans="1:37" ht="13.5" thickTop="1">
      <c r="A855" s="5"/>
      <c r="D855" s="72"/>
      <c r="E855" s="72"/>
      <c r="F855" s="72"/>
      <c r="G855" s="16"/>
      <c r="H855" s="29"/>
      <c r="I855" s="29"/>
      <c r="J855" s="16"/>
      <c r="K855" s="33"/>
      <c r="L855" s="16"/>
      <c r="M855" s="16"/>
      <c r="N855" s="16"/>
      <c r="O855" s="16"/>
      <c r="P855" s="16"/>
      <c r="Q855" s="16"/>
      <c r="R855" s="16"/>
      <c r="S855" s="16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</row>
    <row r="856" spans="1:37">
      <c r="A856" s="5"/>
      <c r="D856" s="72"/>
      <c r="E856" s="72"/>
      <c r="F856" s="72"/>
      <c r="G856" s="16"/>
      <c r="H856" s="29"/>
      <c r="I856" s="29"/>
      <c r="J856" s="16"/>
      <c r="K856" s="33"/>
      <c r="L856" s="16"/>
      <c r="M856" s="16"/>
      <c r="N856" s="16"/>
      <c r="O856" s="16"/>
      <c r="P856" s="16"/>
      <c r="Q856" s="16"/>
      <c r="R856" s="16"/>
      <c r="S856" s="16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</row>
    <row r="857" spans="1:37">
      <c r="A857" s="5"/>
      <c r="D857" s="72" t="s">
        <v>560</v>
      </c>
      <c r="E857" s="20" t="str">
        <f>E55</f>
        <v>30 April 2017</v>
      </c>
      <c r="F857" s="20" t="str">
        <f>F55</f>
        <v>31 Maret 2017</v>
      </c>
      <c r="G857" s="20" t="str">
        <f>G55</f>
        <v>30 April 2016</v>
      </c>
      <c r="H857" s="21" t="str">
        <f>H55</f>
        <v>s/d  30 April 2017</v>
      </c>
      <c r="I857" s="21" t="str">
        <f>I55</f>
        <v>s/d  30 April 2016</v>
      </c>
      <c r="J857" s="19" t="s">
        <v>56</v>
      </c>
      <c r="K857" s="19" t="s">
        <v>9</v>
      </c>
      <c r="L857" s="16"/>
      <c r="M857" s="16"/>
      <c r="N857" s="16"/>
      <c r="O857" s="16"/>
      <c r="P857" s="16"/>
      <c r="Q857" s="16"/>
      <c r="R857" s="16"/>
      <c r="S857" s="16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</row>
    <row r="858" spans="1:37">
      <c r="A858" s="5"/>
      <c r="D858" s="16"/>
      <c r="E858" s="16"/>
      <c r="F858" s="16"/>
      <c r="G858" s="16"/>
      <c r="H858" s="29"/>
      <c r="I858" s="29"/>
      <c r="J858" s="16"/>
      <c r="K858" s="33"/>
      <c r="L858" s="16"/>
      <c r="M858" s="16"/>
      <c r="N858" s="16"/>
      <c r="O858" s="16"/>
      <c r="P858" s="16"/>
      <c r="Q858" s="16"/>
      <c r="R858" s="16"/>
      <c r="S858" s="16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</row>
    <row r="859" spans="1:37">
      <c r="A859" s="5"/>
      <c r="B859" s="54" t="s">
        <v>561</v>
      </c>
      <c r="D859" s="16" t="s">
        <v>562</v>
      </c>
      <c r="E859" s="66">
        <v>-14576662</v>
      </c>
      <c r="F859" s="16">
        <v>-147684514</v>
      </c>
      <c r="G859" s="16">
        <v>-100562587</v>
      </c>
      <c r="H859" s="16">
        <v>-204285081</v>
      </c>
      <c r="I859" s="111">
        <v>975718691</v>
      </c>
      <c r="J859" s="43">
        <f>+H859-I859</f>
        <v>-1180003772</v>
      </c>
      <c r="K859" s="98">
        <f>+J859/I859</f>
        <v>-1.209368830262574</v>
      </c>
      <c r="L859" s="61"/>
      <c r="M859" s="16"/>
      <c r="N859" s="16"/>
      <c r="O859" s="16"/>
      <c r="P859" s="16"/>
      <c r="Q859" s="16"/>
      <c r="R859" s="16"/>
      <c r="S859" s="16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</row>
    <row r="860" spans="1:37">
      <c r="A860" s="5"/>
      <c r="B860" s="54" t="s">
        <v>563</v>
      </c>
      <c r="D860" s="16" t="s">
        <v>564</v>
      </c>
      <c r="E860" s="66">
        <v>946144059.85000038</v>
      </c>
      <c r="F860" s="16">
        <v>0</v>
      </c>
      <c r="G860" s="16">
        <v>1200378050</v>
      </c>
      <c r="H860" s="16">
        <v>3234658188.8500004</v>
      </c>
      <c r="I860" s="111">
        <v>2357724690</v>
      </c>
      <c r="J860" s="43">
        <f>+H860-I860</f>
        <v>876933498.85000038</v>
      </c>
      <c r="K860" s="98">
        <v>0</v>
      </c>
      <c r="L860" s="61"/>
      <c r="M860" s="16"/>
      <c r="N860" s="16"/>
      <c r="O860" s="16"/>
      <c r="P860" s="16"/>
      <c r="Q860" s="16"/>
      <c r="R860" s="16"/>
      <c r="S860" s="16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</row>
    <row r="861" spans="1:37">
      <c r="A861" s="5"/>
      <c r="B861" s="54" t="s">
        <v>565</v>
      </c>
      <c r="D861" s="16" t="s">
        <v>566</v>
      </c>
      <c r="E861" s="66">
        <v>25573169</v>
      </c>
      <c r="F861" s="16">
        <v>30438369</v>
      </c>
      <c r="G861" s="16">
        <v>23688934</v>
      </c>
      <c r="H861" s="16">
        <v>224230190</v>
      </c>
      <c r="I861" s="111">
        <v>123799993</v>
      </c>
      <c r="J861" s="43">
        <f>+H861-I861</f>
        <v>100430197</v>
      </c>
      <c r="K861" s="98">
        <f>+J861/I861</f>
        <v>0.81122942389827113</v>
      </c>
      <c r="L861" s="61"/>
      <c r="M861" s="16"/>
      <c r="N861" s="16"/>
      <c r="O861" s="16"/>
      <c r="P861" s="16"/>
      <c r="Q861" s="16"/>
      <c r="R861" s="16"/>
      <c r="S861" s="16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</row>
    <row r="862" spans="1:37">
      <c r="A862" s="5"/>
      <c r="B862" s="54" t="s">
        <v>567</v>
      </c>
      <c r="D862" s="16" t="s">
        <v>568</v>
      </c>
      <c r="E862" s="66">
        <v>0</v>
      </c>
      <c r="F862" s="16">
        <v>506551</v>
      </c>
      <c r="G862" s="16">
        <v>0</v>
      </c>
      <c r="H862" s="16">
        <v>506551</v>
      </c>
      <c r="I862" s="111">
        <v>344228259</v>
      </c>
      <c r="J862" s="43">
        <f>+H862-I862</f>
        <v>-343721708</v>
      </c>
      <c r="K862" s="98">
        <v>0</v>
      </c>
      <c r="L862" s="61"/>
      <c r="M862" s="16"/>
      <c r="N862" s="16"/>
      <c r="O862" s="16"/>
      <c r="P862" s="16"/>
      <c r="Q862" s="16"/>
      <c r="R862" s="16"/>
      <c r="S862" s="16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</row>
    <row r="863" spans="1:37">
      <c r="A863" s="5"/>
      <c r="D863" s="16"/>
      <c r="E863" s="16"/>
      <c r="F863" s="16"/>
      <c r="G863" s="16"/>
      <c r="H863" s="29">
        <v>0</v>
      </c>
      <c r="I863" s="29">
        <v>0</v>
      </c>
      <c r="J863" s="5"/>
      <c r="K863" s="98"/>
      <c r="L863" s="16"/>
      <c r="M863" s="16"/>
      <c r="N863" s="16"/>
      <c r="O863" s="16"/>
      <c r="P863" s="16"/>
      <c r="Q863" s="16"/>
      <c r="R863" s="16"/>
      <c r="S863" s="16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</row>
    <row r="864" spans="1:37" ht="13.5" thickBot="1">
      <c r="A864" s="5"/>
      <c r="D864" s="72" t="s">
        <v>569</v>
      </c>
      <c r="E864" s="69">
        <f>SUM(E859:E863)</f>
        <v>957140566.85000038</v>
      </c>
      <c r="F864" s="69">
        <f>SUM(F859:F863)</f>
        <v>-116739594</v>
      </c>
      <c r="G864" s="69">
        <f>SUM(G859:G863)</f>
        <v>1123504397</v>
      </c>
      <c r="H864" s="70">
        <f>SUM(H859:H863)</f>
        <v>3255109848.8500004</v>
      </c>
      <c r="I864" s="70">
        <f>SUM(I859:I863)</f>
        <v>3801471633</v>
      </c>
      <c r="J864" s="261">
        <f>+H864-I864</f>
        <v>-546361784.14999962</v>
      </c>
      <c r="K864" s="116">
        <f>+J864/I864</f>
        <v>-0.14372375671756055</v>
      </c>
      <c r="L864" s="16"/>
      <c r="M864" s="16"/>
      <c r="N864" s="16"/>
      <c r="O864" s="16"/>
      <c r="P864" s="16"/>
      <c r="Q864" s="16"/>
      <c r="R864" s="16"/>
      <c r="S864" s="16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</row>
    <row r="865" spans="1:37" ht="13.5" thickTop="1">
      <c r="A865" s="5"/>
      <c r="D865" s="16"/>
      <c r="E865" s="16"/>
      <c r="F865" s="16"/>
      <c r="G865" s="16"/>
      <c r="H865" s="16"/>
      <c r="I865" s="16"/>
      <c r="J865" s="16"/>
      <c r="K865" s="33"/>
      <c r="L865" s="16"/>
      <c r="M865" s="16"/>
      <c r="N865" s="16"/>
      <c r="O865" s="16"/>
      <c r="P865" s="16"/>
      <c r="Q865" s="16"/>
      <c r="R865" s="16"/>
      <c r="S865" s="16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</row>
    <row r="866" spans="1:37">
      <c r="A866" s="5"/>
      <c r="D866" s="16"/>
      <c r="E866" s="16"/>
      <c r="F866" s="16"/>
      <c r="G866" s="16"/>
      <c r="H866" s="29"/>
      <c r="I866" s="29"/>
      <c r="J866" s="16"/>
      <c r="K866" s="33"/>
      <c r="L866" s="16"/>
      <c r="M866" s="16"/>
      <c r="N866" s="16"/>
      <c r="O866" s="16"/>
      <c r="P866" s="16"/>
      <c r="Q866" s="16"/>
      <c r="R866" s="16"/>
      <c r="S866" s="16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</row>
    <row r="867" spans="1:37">
      <c r="A867" s="5"/>
      <c r="D867" s="94" t="s">
        <v>570</v>
      </c>
      <c r="E867" s="20" t="str">
        <f>E55</f>
        <v>30 April 2017</v>
      </c>
      <c r="F867" s="20" t="str">
        <f>F55</f>
        <v>31 Maret 2017</v>
      </c>
      <c r="G867" s="20" t="str">
        <f>G55</f>
        <v>30 April 2016</v>
      </c>
      <c r="H867" s="21" t="str">
        <f>H55</f>
        <v>s/d  30 April 2017</v>
      </c>
      <c r="I867" s="21" t="str">
        <f>I55</f>
        <v>s/d  30 April 2016</v>
      </c>
      <c r="J867" s="19" t="s">
        <v>56</v>
      </c>
      <c r="K867" s="19" t="s">
        <v>9</v>
      </c>
      <c r="L867" s="16"/>
      <c r="M867" s="16"/>
      <c r="N867" s="16"/>
      <c r="O867" s="16"/>
      <c r="P867" s="16"/>
      <c r="Q867" s="16"/>
      <c r="R867" s="16"/>
      <c r="S867" s="16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</row>
    <row r="868" spans="1:37">
      <c r="A868" s="5"/>
      <c r="D868" s="16"/>
      <c r="E868" s="16"/>
      <c r="F868" s="16"/>
      <c r="G868" s="16"/>
      <c r="H868" s="29"/>
      <c r="I868" s="29"/>
      <c r="J868" s="16"/>
      <c r="K868" s="33"/>
      <c r="L868" s="16"/>
      <c r="M868" s="16"/>
      <c r="N868" s="16"/>
      <c r="O868" s="16"/>
      <c r="P868" s="16"/>
      <c r="Q868" s="16"/>
      <c r="R868" s="16"/>
      <c r="S868" s="16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</row>
    <row r="869" spans="1:37">
      <c r="A869" s="5"/>
      <c r="D869" s="16" t="s">
        <v>108</v>
      </c>
      <c r="E869" s="16">
        <v>0</v>
      </c>
      <c r="F869" s="16">
        <v>0</v>
      </c>
      <c r="G869" s="16">
        <v>0</v>
      </c>
      <c r="H869" s="29">
        <f>E869</f>
        <v>0</v>
      </c>
      <c r="I869" s="29">
        <f>G869</f>
        <v>0</v>
      </c>
      <c r="J869" s="43">
        <f>+H869-I869</f>
        <v>0</v>
      </c>
      <c r="K869" s="98">
        <v>0</v>
      </c>
      <c r="L869" s="16"/>
      <c r="M869" s="16"/>
      <c r="N869" s="16"/>
      <c r="O869" s="16"/>
      <c r="P869" s="16"/>
      <c r="Q869" s="16"/>
      <c r="R869" s="16"/>
      <c r="S869" s="16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</row>
    <row r="870" spans="1:37">
      <c r="A870" s="5"/>
      <c r="D870" s="16" t="s">
        <v>551</v>
      </c>
      <c r="E870" s="16">
        <v>0</v>
      </c>
      <c r="F870" s="16">
        <v>0</v>
      </c>
      <c r="G870" s="16">
        <v>0</v>
      </c>
      <c r="H870" s="29">
        <f>E870</f>
        <v>0</v>
      </c>
      <c r="I870" s="29">
        <f>G870</f>
        <v>0</v>
      </c>
      <c r="J870" s="43">
        <f>+H870-I870</f>
        <v>0</v>
      </c>
      <c r="K870" s="98">
        <v>0</v>
      </c>
      <c r="L870" s="16"/>
      <c r="M870" s="16"/>
      <c r="N870" s="16"/>
      <c r="O870" s="16"/>
      <c r="P870" s="16"/>
      <c r="Q870" s="16"/>
      <c r="R870" s="16"/>
      <c r="S870" s="16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</row>
    <row r="871" spans="1:37">
      <c r="A871" s="5"/>
      <c r="D871" s="16"/>
      <c r="E871" s="16"/>
      <c r="F871" s="16"/>
      <c r="G871" s="16"/>
      <c r="H871" s="29"/>
      <c r="I871" s="29"/>
      <c r="J871" s="16"/>
      <c r="K871" s="33"/>
      <c r="L871" s="16"/>
      <c r="M871" s="16"/>
      <c r="N871" s="16"/>
      <c r="O871" s="16"/>
      <c r="P871" s="16"/>
      <c r="Q871" s="16"/>
      <c r="R871" s="16"/>
      <c r="S871" s="16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</row>
    <row r="872" spans="1:37" ht="13.5" thickBot="1">
      <c r="A872" s="5"/>
      <c r="D872" s="117" t="s">
        <v>570</v>
      </c>
      <c r="E872" s="69">
        <f>SUM(E868:E871)</f>
        <v>0</v>
      </c>
      <c r="F872" s="69">
        <f>SUM(F868:F871)</f>
        <v>0</v>
      </c>
      <c r="G872" s="69">
        <f>SUM(G868:G871)</f>
        <v>0</v>
      </c>
      <c r="H872" s="70">
        <f>SUM(H868:H871)</f>
        <v>0</v>
      </c>
      <c r="I872" s="70">
        <f>SUM(I868:I871)</f>
        <v>0</v>
      </c>
      <c r="J872" s="261">
        <f>+H872-I872</f>
        <v>0</v>
      </c>
      <c r="K872" s="116">
        <v>0</v>
      </c>
      <c r="L872" s="16"/>
      <c r="M872" s="16"/>
      <c r="N872" s="16"/>
      <c r="O872" s="16"/>
      <c r="P872" s="16"/>
      <c r="Q872" s="16"/>
      <c r="R872" s="16"/>
      <c r="S872" s="16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</row>
    <row r="873" spans="1:37" ht="13.5" thickTop="1">
      <c r="A873" s="5"/>
      <c r="D873" s="16"/>
      <c r="E873" s="16"/>
      <c r="F873" s="16"/>
      <c r="G873" s="16"/>
      <c r="H873" s="29"/>
      <c r="I873" s="29"/>
      <c r="J873" s="16"/>
      <c r="K873" s="33"/>
      <c r="L873" s="16"/>
      <c r="M873" s="16"/>
      <c r="N873" s="16"/>
      <c r="O873" s="16"/>
      <c r="P873" s="16"/>
      <c r="Q873" s="16"/>
      <c r="R873" s="16"/>
      <c r="S873" s="16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</row>
    <row r="874" spans="1:37">
      <c r="A874" s="5"/>
      <c r="D874" s="16"/>
      <c r="E874" s="16"/>
      <c r="F874" s="16"/>
      <c r="G874" s="16"/>
      <c r="H874" s="29"/>
      <c r="I874" s="29"/>
      <c r="J874" s="16"/>
      <c r="K874" s="33"/>
      <c r="L874" s="16"/>
      <c r="M874" s="16"/>
      <c r="N874" s="16"/>
      <c r="O874" s="16"/>
      <c r="P874" s="16"/>
      <c r="Q874" s="16"/>
      <c r="R874" s="16"/>
      <c r="S874" s="16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</row>
    <row r="875" spans="1:37">
      <c r="A875" s="5"/>
      <c r="D875" s="72" t="s">
        <v>571</v>
      </c>
      <c r="E875" s="20" t="str">
        <f>E55</f>
        <v>30 April 2017</v>
      </c>
      <c r="F875" s="20" t="str">
        <f>F55</f>
        <v>31 Maret 2017</v>
      </c>
      <c r="G875" s="20" t="str">
        <f>G55</f>
        <v>30 April 2016</v>
      </c>
      <c r="H875" s="21" t="str">
        <f>H55</f>
        <v>s/d  30 April 2017</v>
      </c>
      <c r="I875" s="21" t="str">
        <f>I55</f>
        <v>s/d  30 April 2016</v>
      </c>
      <c r="J875" s="19" t="s">
        <v>56</v>
      </c>
      <c r="K875" s="19" t="s">
        <v>9</v>
      </c>
      <c r="L875" s="16"/>
      <c r="M875" s="16"/>
      <c r="N875" s="16"/>
      <c r="O875" s="16"/>
      <c r="P875" s="16"/>
      <c r="Q875" s="16"/>
      <c r="R875" s="16"/>
      <c r="S875" s="16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</row>
    <row r="876" spans="1:37">
      <c r="A876" s="5"/>
      <c r="E876" s="34"/>
      <c r="F876" s="34"/>
      <c r="J876" s="5"/>
      <c r="K876" s="33"/>
      <c r="L876" s="16"/>
      <c r="M876" s="16"/>
      <c r="N876" s="16"/>
      <c r="O876" s="16"/>
      <c r="P876" s="16"/>
      <c r="Q876" s="16"/>
      <c r="R876" s="16"/>
      <c r="S876" s="16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</row>
    <row r="877" spans="1:37">
      <c r="A877" s="5"/>
      <c r="B877" s="54" t="s">
        <v>572</v>
      </c>
      <c r="D877" s="16" t="s">
        <v>573</v>
      </c>
      <c r="E877" s="66">
        <v>4362375</v>
      </c>
      <c r="F877" s="16">
        <v>13667465</v>
      </c>
      <c r="G877" s="16">
        <v>0</v>
      </c>
      <c r="H877" s="16">
        <v>18029840</v>
      </c>
      <c r="I877" s="111">
        <v>0</v>
      </c>
      <c r="J877" s="43">
        <f t="shared" ref="J877:J883" si="35">+H877-I877</f>
        <v>18029840</v>
      </c>
      <c r="K877" s="98">
        <v>0</v>
      </c>
      <c r="L877" s="61"/>
      <c r="M877" s="16"/>
      <c r="N877" s="16"/>
      <c r="O877" s="16"/>
      <c r="P877" s="16"/>
      <c r="Q877" s="16"/>
      <c r="R877" s="16"/>
      <c r="S877" s="16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</row>
    <row r="878" spans="1:37">
      <c r="A878" s="5"/>
      <c r="D878" s="16" t="s">
        <v>574</v>
      </c>
      <c r="F878" s="16">
        <v>0</v>
      </c>
      <c r="G878" s="16">
        <v>0</v>
      </c>
      <c r="H878" s="29">
        <f t="shared" ref="H878:I880" si="36">F878</f>
        <v>0</v>
      </c>
      <c r="I878" s="29">
        <f t="shared" si="36"/>
        <v>0</v>
      </c>
      <c r="J878" s="43">
        <f t="shared" si="35"/>
        <v>0</v>
      </c>
      <c r="K878" s="98">
        <v>0</v>
      </c>
      <c r="L878" s="16"/>
      <c r="M878" s="16"/>
      <c r="N878" s="16"/>
      <c r="O878" s="16"/>
      <c r="P878" s="16"/>
      <c r="Q878" s="16"/>
      <c r="R878" s="16"/>
      <c r="S878" s="16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</row>
    <row r="879" spans="1:37">
      <c r="A879" s="5"/>
      <c r="D879" s="16" t="s">
        <v>575</v>
      </c>
      <c r="F879" s="16">
        <v>0</v>
      </c>
      <c r="G879" s="16">
        <v>0</v>
      </c>
      <c r="H879" s="29">
        <f t="shared" si="36"/>
        <v>0</v>
      </c>
      <c r="I879" s="29">
        <f t="shared" si="36"/>
        <v>0</v>
      </c>
      <c r="J879" s="43">
        <f t="shared" si="35"/>
        <v>0</v>
      </c>
      <c r="K879" s="98">
        <v>0</v>
      </c>
      <c r="L879" s="16"/>
      <c r="M879" s="16"/>
      <c r="N879" s="16"/>
      <c r="O879" s="16"/>
      <c r="P879" s="16"/>
      <c r="Q879" s="16"/>
      <c r="R879" s="16"/>
      <c r="S879" s="16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</row>
    <row r="880" spans="1:37" ht="12.75" customHeight="1">
      <c r="A880" s="5"/>
      <c r="D880" s="16" t="s">
        <v>576</v>
      </c>
      <c r="F880" s="16">
        <v>0</v>
      </c>
      <c r="G880" s="16">
        <v>0</v>
      </c>
      <c r="H880" s="29">
        <f t="shared" si="36"/>
        <v>0</v>
      </c>
      <c r="I880" s="29">
        <f t="shared" si="36"/>
        <v>0</v>
      </c>
      <c r="J880" s="43">
        <f t="shared" si="35"/>
        <v>0</v>
      </c>
      <c r="K880" s="98">
        <v>0</v>
      </c>
      <c r="L880" s="16"/>
      <c r="M880" s="16"/>
      <c r="N880" s="16"/>
      <c r="O880" s="16"/>
      <c r="P880" s="16"/>
      <c r="Q880" s="16"/>
      <c r="R880" s="16"/>
      <c r="S880" s="16"/>
      <c r="T880" s="17"/>
      <c r="U880" s="17"/>
      <c r="V880" s="17"/>
    </row>
    <row r="882" spans="1:37">
      <c r="A882" s="5"/>
      <c r="B882" s="61" t="s">
        <v>577</v>
      </c>
      <c r="D882" s="16" t="s">
        <v>578</v>
      </c>
      <c r="E882" s="66">
        <v>11717808</v>
      </c>
      <c r="F882" s="16">
        <v>2315069</v>
      </c>
      <c r="G882" s="16">
        <v>0</v>
      </c>
      <c r="H882" s="16">
        <v>28809481</v>
      </c>
      <c r="I882" s="29">
        <v>0</v>
      </c>
      <c r="J882" s="43">
        <f t="shared" si="35"/>
        <v>28809481</v>
      </c>
      <c r="K882" s="98">
        <v>0</v>
      </c>
      <c r="L882" s="16"/>
      <c r="M882" s="16"/>
      <c r="N882" s="16"/>
      <c r="O882" s="16"/>
      <c r="P882" s="16"/>
      <c r="Q882" s="16"/>
      <c r="R882" s="16"/>
      <c r="S882" s="16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</row>
    <row r="883" spans="1:37">
      <c r="A883" s="5"/>
      <c r="D883" s="16" t="s">
        <v>579</v>
      </c>
      <c r="F883" s="16">
        <v>0</v>
      </c>
      <c r="G883" s="16">
        <v>0</v>
      </c>
      <c r="H883" s="29">
        <v>0</v>
      </c>
      <c r="I883" s="29">
        <v>0</v>
      </c>
      <c r="J883" s="43">
        <f t="shared" si="35"/>
        <v>0</v>
      </c>
      <c r="K883" s="98">
        <v>0</v>
      </c>
      <c r="L883" s="16"/>
      <c r="M883" s="16"/>
      <c r="N883" s="16"/>
      <c r="O883" s="16"/>
      <c r="P883" s="16"/>
      <c r="Q883" s="16"/>
      <c r="R883" s="16"/>
      <c r="S883" s="16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</row>
    <row r="885" spans="1:37">
      <c r="A885" s="5"/>
      <c r="D885" s="16"/>
      <c r="E885" s="16"/>
      <c r="F885" s="16">
        <v>0</v>
      </c>
      <c r="G885" s="16"/>
      <c r="H885" s="29"/>
      <c r="I885" s="29"/>
      <c r="J885" s="5"/>
      <c r="K885" s="98"/>
      <c r="L885" s="16"/>
      <c r="M885" s="16"/>
      <c r="N885" s="16"/>
      <c r="O885" s="16"/>
      <c r="P885" s="16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</row>
    <row r="886" spans="1:37" ht="13.5" thickBot="1">
      <c r="A886" s="94"/>
      <c r="B886" s="94"/>
      <c r="C886" s="94"/>
      <c r="D886" s="72" t="s">
        <v>580</v>
      </c>
      <c r="E886" s="69">
        <f>SUM(E876:E885)</f>
        <v>16080183</v>
      </c>
      <c r="F886" s="69">
        <f>SUM(F876:F885)</f>
        <v>15982534</v>
      </c>
      <c r="G886" s="69">
        <f>SUM(G876:G885)</f>
        <v>0</v>
      </c>
      <c r="H886" s="70">
        <f>SUM(H876:H885)</f>
        <v>46839321</v>
      </c>
      <c r="I886" s="70">
        <f>SUM(I876:I885)</f>
        <v>0</v>
      </c>
      <c r="J886" s="261">
        <f>+H886-I886</f>
        <v>46839321</v>
      </c>
      <c r="K886" s="116">
        <v>0</v>
      </c>
      <c r="L886" s="16"/>
      <c r="M886" s="16"/>
      <c r="N886" s="16"/>
      <c r="O886" s="16"/>
      <c r="P886" s="16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</row>
    <row r="887" spans="1:37" ht="13.5" thickTop="1">
      <c r="A887" s="5"/>
      <c r="D887" s="16"/>
      <c r="E887" s="16"/>
      <c r="F887" s="16"/>
      <c r="G887" s="16"/>
      <c r="H887" s="29">
        <f>H886-H90</f>
        <v>0</v>
      </c>
      <c r="I887" s="29"/>
      <c r="J887" s="16"/>
      <c r="K887" s="16"/>
      <c r="L887" s="16"/>
      <c r="M887" s="16"/>
      <c r="N887" s="16"/>
      <c r="O887" s="16"/>
      <c r="P887" s="16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</row>
    <row r="888" spans="1:37">
      <c r="A888" s="94"/>
      <c r="B888" s="94"/>
      <c r="C888" s="94"/>
      <c r="D888" s="72" t="s">
        <v>581</v>
      </c>
      <c r="E888" s="20" t="str">
        <f>E55</f>
        <v>30 April 2017</v>
      </c>
      <c r="F888" s="20" t="str">
        <f>F55</f>
        <v>31 Maret 2017</v>
      </c>
      <c r="G888" s="20" t="str">
        <f>G55</f>
        <v>30 April 2016</v>
      </c>
      <c r="H888" s="21" t="str">
        <f>H55</f>
        <v>s/d  30 April 2017</v>
      </c>
      <c r="I888" s="21" t="str">
        <f>I55</f>
        <v>s/d  30 April 2016</v>
      </c>
      <c r="J888" s="19" t="s">
        <v>56</v>
      </c>
      <c r="K888" s="19" t="s">
        <v>9</v>
      </c>
      <c r="L888" s="16"/>
      <c r="M888" s="16"/>
      <c r="N888" s="16"/>
      <c r="O888" s="16"/>
      <c r="P888" s="16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</row>
    <row r="889" spans="1:37">
      <c r="A889" s="5"/>
      <c r="D889" s="16"/>
      <c r="E889" s="16"/>
      <c r="F889" s="16"/>
      <c r="G889" s="16"/>
      <c r="H889" s="29"/>
      <c r="I889" s="29"/>
      <c r="J889" s="16"/>
      <c r="K889" s="16"/>
      <c r="L889" s="16"/>
      <c r="M889" s="16"/>
      <c r="N889" s="16"/>
      <c r="O889" s="16"/>
      <c r="P889" s="16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</row>
    <row r="890" spans="1:37">
      <c r="A890" s="5"/>
      <c r="B890" s="54" t="s">
        <v>582</v>
      </c>
      <c r="D890" s="16" t="s">
        <v>583</v>
      </c>
      <c r="E890" s="66">
        <v>-135266.59999999998</v>
      </c>
      <c r="F890" s="16">
        <v>-1914734.13</v>
      </c>
      <c r="G890" s="16">
        <v>0</v>
      </c>
      <c r="H890" s="16">
        <v>-14859994.530000001</v>
      </c>
      <c r="I890" s="111">
        <v>1099518684</v>
      </c>
      <c r="J890" s="43">
        <f>+H890-I890</f>
        <v>-1114378678.53</v>
      </c>
      <c r="K890" s="98">
        <v>0</v>
      </c>
      <c r="L890" s="61"/>
      <c r="M890" s="16"/>
      <c r="N890" s="16"/>
      <c r="O890" s="16"/>
      <c r="P890" s="16"/>
      <c r="Q890" s="16"/>
      <c r="R890" s="16"/>
      <c r="S890" s="16"/>
      <c r="T890" s="17"/>
      <c r="U890" s="17"/>
      <c r="V890" s="17"/>
    </row>
    <row r="891" spans="1:37">
      <c r="A891" s="5"/>
      <c r="D891" s="16" t="s">
        <v>90</v>
      </c>
      <c r="E891" s="16">
        <v>0</v>
      </c>
      <c r="F891" s="16">
        <v>0</v>
      </c>
      <c r="G891" s="16">
        <v>0</v>
      </c>
      <c r="H891" s="29">
        <f>E891</f>
        <v>0</v>
      </c>
      <c r="I891" s="29">
        <v>0</v>
      </c>
      <c r="J891" s="43">
        <f>+H891-I891</f>
        <v>0</v>
      </c>
      <c r="K891" s="106">
        <v>0</v>
      </c>
      <c r="L891" s="16"/>
      <c r="M891" s="16"/>
      <c r="N891" s="16"/>
      <c r="O891" s="16"/>
      <c r="P891" s="16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</row>
    <row r="892" spans="1:37">
      <c r="A892" s="5"/>
      <c r="D892" s="16"/>
      <c r="E892" s="16"/>
      <c r="F892" s="16"/>
      <c r="G892" s="16"/>
      <c r="H892" s="29"/>
      <c r="I892" s="29"/>
      <c r="J892" s="16"/>
      <c r="K892" s="16"/>
      <c r="L892" s="16"/>
      <c r="M892" s="16"/>
      <c r="N892" s="16"/>
      <c r="O892" s="16"/>
      <c r="P892" s="16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</row>
    <row r="893" spans="1:37" ht="13.5" thickBot="1">
      <c r="A893" s="5"/>
      <c r="D893" s="72" t="s">
        <v>580</v>
      </c>
      <c r="E893" s="69">
        <f>SUM(E887:E892)</f>
        <v>-135266.59999999998</v>
      </c>
      <c r="F893" s="278">
        <f>SUM(F887:F892)</f>
        <v>-1914734.13</v>
      </c>
      <c r="G893" s="69">
        <f>SUM(G887:G892)</f>
        <v>0</v>
      </c>
      <c r="H893" s="70">
        <f>SUM(H887:H892)</f>
        <v>-14859994.530000001</v>
      </c>
      <c r="I893" s="70">
        <f>SUM(I887:I892)</f>
        <v>1099518684</v>
      </c>
      <c r="J893" s="261">
        <f>+H893-I893</f>
        <v>-1114378678.53</v>
      </c>
      <c r="K893" s="106">
        <v>0</v>
      </c>
      <c r="L893" s="16"/>
      <c r="M893" s="16"/>
      <c r="N893" s="16"/>
      <c r="O893" s="16"/>
      <c r="P893" s="16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</row>
    <row r="894" spans="1:37" ht="13.5" thickTop="1">
      <c r="A894" s="5"/>
      <c r="D894" s="16"/>
      <c r="E894" s="16"/>
      <c r="F894" s="16"/>
      <c r="G894" s="16"/>
      <c r="H894" s="29"/>
      <c r="I894" s="29"/>
      <c r="J894" s="16"/>
      <c r="K894" s="16"/>
      <c r="L894" s="16"/>
      <c r="M894" s="16"/>
      <c r="N894" s="16"/>
      <c r="O894" s="16"/>
      <c r="P894" s="16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</row>
    <row r="895" spans="1:37" ht="15.5">
      <c r="A895" s="250" t="s">
        <v>584</v>
      </c>
      <c r="B895" s="94"/>
      <c r="C895" s="94"/>
      <c r="G895" s="16"/>
      <c r="H895" s="29"/>
      <c r="I895" s="29"/>
      <c r="J895" s="16"/>
      <c r="K895" s="16"/>
      <c r="L895" s="16"/>
      <c r="M895" s="16"/>
      <c r="N895" s="16"/>
      <c r="O895" s="16"/>
      <c r="P895" s="16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</row>
    <row r="896" spans="1:37" ht="15.5">
      <c r="A896" s="252"/>
      <c r="B896" s="16"/>
      <c r="C896" s="16"/>
      <c r="F896" s="16"/>
      <c r="G896" s="16"/>
      <c r="H896" s="29"/>
      <c r="I896" s="29"/>
      <c r="J896" s="16"/>
      <c r="K896" s="16"/>
      <c r="L896" s="16"/>
      <c r="M896" s="16"/>
      <c r="N896" s="16"/>
      <c r="O896" s="16"/>
      <c r="P896" s="16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</row>
    <row r="897" spans="1:40" ht="15.5">
      <c r="A897" s="279" t="s">
        <v>349</v>
      </c>
      <c r="B897" s="280"/>
      <c r="C897" s="280"/>
      <c r="F897" s="16"/>
      <c r="G897" s="16"/>
      <c r="H897" s="29"/>
      <c r="I897" s="29"/>
      <c r="J897" s="16"/>
      <c r="K897" s="16"/>
      <c r="L897" s="16"/>
      <c r="M897" s="16"/>
      <c r="N897" s="16"/>
      <c r="O897" s="16"/>
      <c r="P897" s="16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</row>
    <row r="898" spans="1:40" ht="15.5">
      <c r="A898" s="279" t="s">
        <v>585</v>
      </c>
      <c r="B898" s="280"/>
      <c r="C898" s="280"/>
      <c r="G898" s="16"/>
      <c r="H898" s="29"/>
      <c r="I898" s="29"/>
      <c r="J898" s="16"/>
      <c r="K898" s="16"/>
      <c r="L898" s="16"/>
      <c r="M898" s="16"/>
      <c r="N898" s="16"/>
      <c r="O898" s="16"/>
      <c r="P898" s="16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</row>
    <row r="899" spans="1:40" ht="15.5">
      <c r="A899" s="279" t="str">
        <f>D3</f>
        <v>PERIODE 30 APRIL 2017 DAN 2016</v>
      </c>
      <c r="B899" s="280"/>
      <c r="C899" s="280"/>
      <c r="D899" s="281"/>
      <c r="G899" s="16"/>
      <c r="H899" s="29"/>
      <c r="I899" s="29"/>
      <c r="J899" s="16"/>
      <c r="K899" s="16"/>
      <c r="L899" s="16"/>
      <c r="M899" s="16"/>
      <c r="N899" s="16"/>
      <c r="O899" s="16"/>
      <c r="P899" s="16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</row>
    <row r="900" spans="1:40" ht="13.5" thickBot="1">
      <c r="A900" s="282"/>
      <c r="B900" s="282"/>
      <c r="C900" s="282"/>
      <c r="D900" s="81"/>
      <c r="E900" s="81"/>
      <c r="F900" s="81"/>
      <c r="G900" s="81"/>
      <c r="H900" s="82"/>
      <c r="I900" s="82"/>
      <c r="J900" s="16"/>
      <c r="K900" s="16"/>
      <c r="L900" s="16"/>
      <c r="M900" s="16"/>
      <c r="N900" s="16"/>
      <c r="O900" s="16"/>
      <c r="P900" s="16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</row>
    <row r="901" spans="1:40" ht="13.5" thickTop="1">
      <c r="A901" s="5"/>
      <c r="D901" s="16"/>
      <c r="E901" s="16"/>
      <c r="F901" s="16"/>
      <c r="G901" s="16"/>
      <c r="H901" s="133"/>
      <c r="I901" s="133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</row>
    <row r="902" spans="1:40" ht="14">
      <c r="A902" s="258" t="s">
        <v>115</v>
      </c>
      <c r="B902" s="94"/>
      <c r="C902" s="94"/>
      <c r="D902" s="148" t="s">
        <v>11</v>
      </c>
      <c r="E902" s="20" t="str">
        <f>E55</f>
        <v>30 April 2017</v>
      </c>
      <c r="F902" s="20" t="str">
        <f>F55</f>
        <v>31 Maret 2017</v>
      </c>
      <c r="G902" s="20" t="str">
        <f>G55</f>
        <v>30 April 2016</v>
      </c>
      <c r="H902" s="149" t="s">
        <v>56</v>
      </c>
      <c r="I902" s="149" t="s">
        <v>9</v>
      </c>
      <c r="J902" s="24"/>
      <c r="K902" s="16"/>
      <c r="L902" s="16"/>
      <c r="M902" s="16"/>
      <c r="N902" s="16"/>
      <c r="O902" s="16"/>
      <c r="P902" s="16"/>
      <c r="Q902" s="16"/>
      <c r="R902" s="16"/>
      <c r="S902" s="16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</row>
    <row r="903" spans="1:40" ht="14">
      <c r="A903" s="258"/>
      <c r="B903" s="94"/>
      <c r="C903" s="94"/>
      <c r="D903" s="148"/>
      <c r="E903" s="24"/>
      <c r="F903" s="24"/>
      <c r="G903" s="24"/>
      <c r="J903" s="283"/>
      <c r="K903" s="16"/>
      <c r="L903" s="16"/>
      <c r="M903" s="16"/>
      <c r="N903" s="16"/>
      <c r="O903" s="16"/>
      <c r="P903" s="16"/>
      <c r="Q903" s="16"/>
      <c r="R903" s="16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</row>
    <row r="904" spans="1:40">
      <c r="A904" s="5"/>
      <c r="D904" s="172" t="s">
        <v>586</v>
      </c>
      <c r="E904" s="16"/>
      <c r="F904" s="16"/>
      <c r="G904" s="16"/>
      <c r="J904" s="16"/>
      <c r="K904" s="16"/>
      <c r="L904" s="16"/>
      <c r="M904" s="16"/>
      <c r="N904" s="16"/>
      <c r="O904" s="16"/>
      <c r="P904" s="16"/>
      <c r="Q904" s="16"/>
      <c r="R904" s="16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</row>
    <row r="905" spans="1:40">
      <c r="A905" s="5"/>
      <c r="B905" s="54" t="s">
        <v>587</v>
      </c>
      <c r="D905" s="203" t="s">
        <v>588</v>
      </c>
      <c r="E905" s="284">
        <v>1600000</v>
      </c>
      <c r="F905" s="16">
        <v>1600000</v>
      </c>
      <c r="G905" s="16">
        <v>1600000</v>
      </c>
      <c r="H905" s="150">
        <f t="shared" ref="H905:H912" si="37">+F905-G905</f>
        <v>0</v>
      </c>
      <c r="I905" s="151">
        <f t="shared" ref="I905:I910" si="38">+H905/G905</f>
        <v>0</v>
      </c>
      <c r="J905" s="16"/>
      <c r="K905" s="61"/>
      <c r="L905" s="16"/>
      <c r="M905" s="16"/>
      <c r="N905" s="16"/>
      <c r="O905" s="16"/>
      <c r="P905" s="16"/>
      <c r="Q905" s="16"/>
      <c r="R905" s="16"/>
      <c r="S905" s="16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</row>
    <row r="906" spans="1:40">
      <c r="A906" s="5"/>
      <c r="B906" s="54" t="s">
        <v>589</v>
      </c>
      <c r="D906" s="203" t="s">
        <v>590</v>
      </c>
      <c r="E906" s="284">
        <v>2000000</v>
      </c>
      <c r="F906" s="16">
        <v>2000000</v>
      </c>
      <c r="G906" s="16">
        <v>2000000</v>
      </c>
      <c r="H906" s="150">
        <f t="shared" si="37"/>
        <v>0</v>
      </c>
      <c r="I906" s="151">
        <f t="shared" si="38"/>
        <v>0</v>
      </c>
      <c r="J906" s="16"/>
      <c r="K906" s="61"/>
      <c r="L906" s="16"/>
      <c r="M906" s="16"/>
      <c r="N906" s="16"/>
      <c r="O906" s="16"/>
      <c r="P906" s="16"/>
      <c r="Q906" s="16"/>
      <c r="R906" s="16"/>
      <c r="S906" s="16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</row>
    <row r="907" spans="1:40">
      <c r="A907" s="5"/>
      <c r="D907" s="203" t="s">
        <v>591</v>
      </c>
      <c r="E907" s="284">
        <v>0</v>
      </c>
      <c r="F907" s="16">
        <v>0</v>
      </c>
      <c r="G907" s="16">
        <v>3759400</v>
      </c>
      <c r="H907" s="150">
        <f t="shared" si="37"/>
        <v>-3759400</v>
      </c>
      <c r="I907" s="151">
        <f t="shared" si="38"/>
        <v>-1</v>
      </c>
      <c r="J907" s="16"/>
      <c r="L907" s="16"/>
      <c r="M907" s="16"/>
      <c r="N907" s="16"/>
      <c r="O907" s="16"/>
      <c r="P907" s="16"/>
      <c r="Q907" s="16"/>
      <c r="R907" s="16"/>
      <c r="S907" s="16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</row>
    <row r="908" spans="1:40">
      <c r="A908" s="5"/>
      <c r="B908" s="54" t="s">
        <v>592</v>
      </c>
      <c r="D908" s="203" t="s">
        <v>593</v>
      </c>
      <c r="E908" s="284">
        <v>1750000</v>
      </c>
      <c r="F908" s="16">
        <v>1750000</v>
      </c>
      <c r="G908" s="16">
        <v>1750000</v>
      </c>
      <c r="H908" s="150">
        <f t="shared" si="37"/>
        <v>0</v>
      </c>
      <c r="I908" s="151">
        <f t="shared" si="38"/>
        <v>0</v>
      </c>
      <c r="J908" s="16"/>
      <c r="K908" s="61"/>
      <c r="L908" s="16"/>
      <c r="M908" s="16"/>
      <c r="N908" s="16"/>
      <c r="O908" s="16"/>
      <c r="P908" s="16"/>
      <c r="Q908" s="16"/>
      <c r="R908" s="16"/>
      <c r="S908" s="16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</row>
    <row r="909" spans="1:40">
      <c r="A909" s="5"/>
      <c r="D909" s="203" t="s">
        <v>594</v>
      </c>
      <c r="E909" s="284">
        <v>0</v>
      </c>
      <c r="F909" s="16">
        <v>0</v>
      </c>
      <c r="G909" s="16">
        <v>0</v>
      </c>
      <c r="H909" s="150">
        <f t="shared" si="37"/>
        <v>0</v>
      </c>
      <c r="I909" s="151">
        <v>0</v>
      </c>
      <c r="J909" s="16"/>
      <c r="L909" s="16"/>
      <c r="M909" s="16"/>
      <c r="N909" s="16"/>
      <c r="O909" s="16"/>
      <c r="P909" s="16"/>
      <c r="Q909" s="16"/>
      <c r="R909" s="16"/>
      <c r="S909" s="16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</row>
    <row r="910" spans="1:40">
      <c r="A910" s="5"/>
      <c r="B910" s="16"/>
      <c r="D910" s="203" t="s">
        <v>595</v>
      </c>
      <c r="E910" s="284">
        <v>0</v>
      </c>
      <c r="F910" s="16">
        <v>0</v>
      </c>
      <c r="G910" s="16">
        <v>2000000</v>
      </c>
      <c r="H910" s="150">
        <f t="shared" si="37"/>
        <v>-2000000</v>
      </c>
      <c r="I910" s="151">
        <f t="shared" si="38"/>
        <v>-1</v>
      </c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</row>
    <row r="911" spans="1:40">
      <c r="A911" s="5"/>
      <c r="B911" s="16"/>
      <c r="D911" s="203" t="s">
        <v>596</v>
      </c>
      <c r="E911" s="284">
        <v>0</v>
      </c>
      <c r="F911" s="16">
        <v>0</v>
      </c>
      <c r="G911" s="16">
        <v>0</v>
      </c>
      <c r="H911" s="150">
        <f t="shared" si="37"/>
        <v>0</v>
      </c>
      <c r="I911" s="151">
        <v>0</v>
      </c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</row>
    <row r="912" spans="1:40">
      <c r="A912" s="5"/>
      <c r="B912" s="54" t="s">
        <v>597</v>
      </c>
      <c r="D912" s="203" t="s">
        <v>598</v>
      </c>
      <c r="E912" s="284">
        <v>2000000</v>
      </c>
      <c r="F912" s="16">
        <v>2000000</v>
      </c>
      <c r="G912" s="16">
        <v>0</v>
      </c>
      <c r="H912" s="150">
        <f t="shared" si="37"/>
        <v>2000000</v>
      </c>
      <c r="I912" s="151">
        <v>0</v>
      </c>
      <c r="J912" s="16"/>
      <c r="K912" s="61"/>
      <c r="L912" s="16"/>
      <c r="M912" s="16"/>
      <c r="N912" s="16"/>
      <c r="P912" s="16"/>
      <c r="Q912" s="16"/>
      <c r="R912" s="16"/>
      <c r="S912" s="16"/>
      <c r="T912" s="17"/>
      <c r="U912" s="17"/>
      <c r="V912" s="16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</row>
    <row r="913" spans="1:40" hidden="1">
      <c r="A913" s="5"/>
      <c r="D913" s="203"/>
      <c r="E913" s="203"/>
      <c r="F913" s="16">
        <v>0</v>
      </c>
      <c r="G913" s="16"/>
      <c r="H913" s="150"/>
      <c r="I913" s="151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7"/>
      <c r="U913" s="17"/>
      <c r="V913" s="16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</row>
    <row r="914" spans="1:40" hidden="1">
      <c r="A914" s="5"/>
      <c r="D914" s="203"/>
      <c r="E914" s="203"/>
      <c r="F914" s="16">
        <v>0</v>
      </c>
      <c r="G914" s="16"/>
      <c r="H914" s="150"/>
      <c r="I914" s="151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7"/>
      <c r="U914" s="17"/>
      <c r="V914" s="16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</row>
    <row r="915" spans="1:40" hidden="1">
      <c r="A915" s="5"/>
      <c r="D915" s="203"/>
      <c r="E915" s="203"/>
      <c r="F915" s="16">
        <v>0</v>
      </c>
      <c r="G915" s="16"/>
      <c r="H915" s="150"/>
      <c r="I915" s="151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7"/>
      <c r="U915" s="17"/>
      <c r="V915" s="16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</row>
    <row r="916" spans="1:40" hidden="1">
      <c r="A916" s="5"/>
      <c r="D916" s="203"/>
      <c r="E916" s="203"/>
      <c r="F916" s="16">
        <v>0</v>
      </c>
      <c r="G916" s="16"/>
      <c r="H916" s="150"/>
      <c r="I916" s="151"/>
      <c r="J916" s="16"/>
      <c r="K916" s="16"/>
      <c r="L916" s="16"/>
      <c r="M916" s="16"/>
      <c r="N916" s="16"/>
      <c r="O916" s="16"/>
      <c r="P916" s="16"/>
      <c r="Q916" s="16" t="s">
        <v>590</v>
      </c>
      <c r="R916" s="16">
        <v>4000000</v>
      </c>
      <c r="S916" s="16">
        <v>4000000</v>
      </c>
      <c r="T916" s="16"/>
      <c r="U916" s="16"/>
      <c r="V916" s="16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</row>
    <row r="917" spans="1:40" hidden="1">
      <c r="A917" s="5"/>
      <c r="D917" s="203"/>
      <c r="E917" s="203"/>
      <c r="F917" s="16">
        <v>0</v>
      </c>
      <c r="G917" s="16"/>
      <c r="H917" s="150"/>
      <c r="I917" s="151"/>
      <c r="J917" s="16"/>
      <c r="K917" s="16"/>
      <c r="L917" s="16"/>
      <c r="M917" s="16"/>
      <c r="N917" s="16"/>
      <c r="O917" s="16"/>
      <c r="P917" s="16"/>
      <c r="Q917" s="16" t="s">
        <v>593</v>
      </c>
      <c r="R917" s="16">
        <v>1750000</v>
      </c>
      <c r="S917" s="16">
        <v>1750000</v>
      </c>
      <c r="T917" s="16"/>
      <c r="U917" s="16"/>
      <c r="V917" s="16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</row>
    <row r="918" spans="1:40" hidden="1">
      <c r="A918" s="5"/>
      <c r="D918" s="203"/>
      <c r="E918" s="203"/>
      <c r="F918" s="16">
        <v>0</v>
      </c>
      <c r="G918" s="16"/>
      <c r="H918" s="150"/>
      <c r="I918" s="151"/>
      <c r="J918" s="16"/>
      <c r="K918" s="16"/>
      <c r="L918" s="16"/>
      <c r="M918" s="16"/>
      <c r="N918" s="16"/>
      <c r="O918" s="16"/>
      <c r="P918" s="16"/>
      <c r="Q918" s="16"/>
      <c r="R918" s="16">
        <v>1600000</v>
      </c>
      <c r="S918" s="16">
        <v>1600000</v>
      </c>
      <c r="T918" s="16"/>
      <c r="U918" s="16"/>
      <c r="V918" s="16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</row>
    <row r="919" spans="1:40" hidden="1">
      <c r="A919" s="5"/>
      <c r="D919" s="203"/>
      <c r="E919" s="203"/>
      <c r="F919" s="16">
        <v>0</v>
      </c>
      <c r="G919" s="16"/>
      <c r="H919" s="150">
        <f>+E919-G919</f>
        <v>0</v>
      </c>
      <c r="I919" s="151" t="e">
        <f>+H919/G919</f>
        <v>#DIV/0!</v>
      </c>
      <c r="J919" s="16"/>
      <c r="K919" s="16"/>
      <c r="L919" s="16"/>
      <c r="M919" s="16"/>
      <c r="N919" s="16"/>
      <c r="O919" s="16"/>
      <c r="P919" s="16"/>
      <c r="Q919" s="16" t="s">
        <v>591</v>
      </c>
      <c r="R919" s="16">
        <v>3759400</v>
      </c>
      <c r="S919" s="16">
        <v>6500000</v>
      </c>
      <c r="T919" s="16"/>
      <c r="U919" s="16"/>
      <c r="V919" s="16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</row>
    <row r="920" spans="1:40" hidden="1">
      <c r="A920" s="5"/>
      <c r="D920" s="203"/>
      <c r="E920" s="203"/>
      <c r="F920" s="16"/>
      <c r="G920" s="16"/>
      <c r="H920" s="8"/>
      <c r="I920" s="151"/>
      <c r="J920" s="16"/>
      <c r="K920" s="16"/>
      <c r="L920" s="16"/>
      <c r="M920" s="16"/>
      <c r="N920" s="16"/>
      <c r="O920" s="16"/>
      <c r="P920" s="16"/>
      <c r="Q920" s="16" t="s">
        <v>594</v>
      </c>
      <c r="R920" s="16">
        <v>2000000</v>
      </c>
      <c r="S920" s="16">
        <v>0</v>
      </c>
      <c r="T920" s="16"/>
      <c r="U920" s="16"/>
      <c r="V920" s="16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</row>
    <row r="921" spans="1:40" ht="13.5" thickBot="1">
      <c r="A921" s="5"/>
      <c r="D921" s="209" t="s">
        <v>599</v>
      </c>
      <c r="E921" s="213">
        <f>SUM(E905:E920)</f>
        <v>7350000</v>
      </c>
      <c r="F921" s="69">
        <f>SUM(F905:F920)</f>
        <v>7350000</v>
      </c>
      <c r="G921" s="69">
        <f>SUM(G905:G920)</f>
        <v>11109400</v>
      </c>
      <c r="H921" s="152">
        <f>+E921-G921</f>
        <v>-3759400</v>
      </c>
      <c r="I921" s="153">
        <f>+H921/G921</f>
        <v>-0.33839811330944963</v>
      </c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</row>
    <row r="922" spans="1:40" ht="13.5" thickTop="1">
      <c r="A922" s="5"/>
      <c r="D922" s="27"/>
      <c r="E922" s="27"/>
      <c r="F922" s="27"/>
      <c r="G922" s="72"/>
      <c r="H922" s="181"/>
      <c r="I922" s="220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</row>
    <row r="923" spans="1:40">
      <c r="A923" s="5"/>
      <c r="D923" s="172" t="s">
        <v>600</v>
      </c>
      <c r="E923" s="172"/>
      <c r="F923" s="172"/>
      <c r="G923" s="16"/>
      <c r="H923" s="29"/>
      <c r="I923" s="2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</row>
    <row r="924" spans="1:40">
      <c r="A924" s="5"/>
      <c r="B924" s="54" t="s">
        <v>601</v>
      </c>
      <c r="D924" s="16" t="s">
        <v>602</v>
      </c>
      <c r="E924" s="66">
        <v>629690223.57999992</v>
      </c>
      <c r="F924" s="16">
        <v>326916778.39999998</v>
      </c>
      <c r="G924" s="111">
        <v>387156041.81999999</v>
      </c>
      <c r="H924" s="150">
        <f t="shared" ref="H924:H929" si="39">+F924-G924</f>
        <v>-60239263.420000017</v>
      </c>
      <c r="I924" s="151">
        <f t="shared" ref="I924:I929" si="40">+H924/G924</f>
        <v>-0.15559427443471743</v>
      </c>
      <c r="J924" s="16"/>
      <c r="K924" s="61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</row>
    <row r="925" spans="1:40">
      <c r="A925" s="5"/>
      <c r="D925" s="16" t="s">
        <v>603</v>
      </c>
      <c r="F925" s="16">
        <v>0</v>
      </c>
      <c r="G925" s="111">
        <v>0</v>
      </c>
      <c r="H925" s="150">
        <f t="shared" si="39"/>
        <v>0</v>
      </c>
      <c r="I925" s="151">
        <v>0</v>
      </c>
      <c r="J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</row>
    <row r="926" spans="1:40">
      <c r="A926" s="5"/>
      <c r="B926" s="54" t="s">
        <v>604</v>
      </c>
      <c r="D926" s="16" t="s">
        <v>605</v>
      </c>
      <c r="E926" s="66">
        <v>43870182.070000052</v>
      </c>
      <c r="F926" s="16">
        <v>16058255.07</v>
      </c>
      <c r="G926" s="111">
        <v>8223526.8600000003</v>
      </c>
      <c r="H926" s="150">
        <f t="shared" si="39"/>
        <v>7834728.21</v>
      </c>
      <c r="I926" s="151">
        <f t="shared" si="40"/>
        <v>0.95272117953537028</v>
      </c>
      <c r="J926" s="16"/>
      <c r="K926" s="61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</row>
    <row r="927" spans="1:40">
      <c r="A927" s="5"/>
      <c r="B927" s="54" t="s">
        <v>606</v>
      </c>
      <c r="D927" s="16" t="s">
        <v>607</v>
      </c>
      <c r="E927" s="66">
        <v>8334799.4700000286</v>
      </c>
      <c r="F927" s="16">
        <v>73653398.569999993</v>
      </c>
      <c r="G927" s="111">
        <v>11843705.960000001</v>
      </c>
      <c r="H927" s="150">
        <f t="shared" si="39"/>
        <v>61809692.609999992</v>
      </c>
      <c r="I927" s="151">
        <f t="shared" si="40"/>
        <v>5.2187797315089703</v>
      </c>
      <c r="J927" s="16"/>
      <c r="K927" s="61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</row>
    <row r="928" spans="1:40">
      <c r="A928" s="5"/>
      <c r="B928" s="54" t="s">
        <v>608</v>
      </c>
      <c r="D928" s="16" t="s">
        <v>609</v>
      </c>
      <c r="E928" s="66">
        <v>15788801.399999976</v>
      </c>
      <c r="F928" s="16">
        <v>22925042.879999999</v>
      </c>
      <c r="G928" s="111">
        <v>47273770.060000002</v>
      </c>
      <c r="H928" s="150">
        <f t="shared" si="39"/>
        <v>-24348727.180000003</v>
      </c>
      <c r="I928" s="151">
        <f t="shared" si="40"/>
        <v>-0.51505786716601043</v>
      </c>
      <c r="J928" s="16"/>
      <c r="K928" s="61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</row>
    <row r="929" spans="1:37">
      <c r="A929" s="5"/>
      <c r="B929" s="54" t="s">
        <v>610</v>
      </c>
      <c r="D929" s="16" t="s">
        <v>611</v>
      </c>
      <c r="E929" s="66">
        <v>691847353.95000029</v>
      </c>
      <c r="F929" s="16">
        <v>18360095.59</v>
      </c>
      <c r="G929" s="111">
        <v>132976885.42</v>
      </c>
      <c r="H929" s="150">
        <f t="shared" si="39"/>
        <v>-114616789.83</v>
      </c>
      <c r="I929" s="151">
        <f t="shared" si="40"/>
        <v>-0.86193017281153284</v>
      </c>
      <c r="J929" s="16"/>
      <c r="K929" s="61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</row>
    <row r="930" spans="1:37">
      <c r="A930" s="5"/>
      <c r="D930" s="16"/>
      <c r="E930" s="222"/>
      <c r="F930" s="222"/>
      <c r="G930" s="76">
        <v>0</v>
      </c>
      <c r="H930" s="150"/>
      <c r="I930" s="151"/>
      <c r="J930" s="16"/>
      <c r="L930" s="16"/>
      <c r="M930" s="16"/>
      <c r="N930" s="16"/>
      <c r="O930" s="16"/>
      <c r="P930" s="16"/>
      <c r="Q930" s="16" t="s">
        <v>612</v>
      </c>
      <c r="R930" s="16">
        <v>0</v>
      </c>
      <c r="S930" s="16">
        <v>0</v>
      </c>
      <c r="T930" s="16"/>
      <c r="U930" s="16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</row>
    <row r="931" spans="1:37" hidden="1">
      <c r="A931" s="5"/>
      <c r="D931" s="16"/>
      <c r="E931" s="222">
        <v>0</v>
      </c>
      <c r="F931" s="222"/>
      <c r="G931" s="16"/>
      <c r="H931" s="150"/>
      <c r="I931" s="151"/>
      <c r="J931" s="16"/>
      <c r="K931" s="61"/>
      <c r="L931" s="16"/>
      <c r="M931" s="16"/>
      <c r="N931" s="16"/>
      <c r="O931" s="16"/>
      <c r="P931" s="16"/>
      <c r="Q931" s="16"/>
      <c r="R931" s="16"/>
      <c r="S931" s="16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</row>
    <row r="932" spans="1:37" hidden="1">
      <c r="A932" s="5"/>
      <c r="D932" s="16"/>
      <c r="E932" s="222">
        <v>0</v>
      </c>
      <c r="F932" s="222"/>
      <c r="G932" s="16"/>
      <c r="H932" s="150"/>
      <c r="I932" s="151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</row>
    <row r="933" spans="1:37" hidden="1">
      <c r="A933" s="5"/>
      <c r="D933" s="16"/>
      <c r="E933" s="222">
        <v>0</v>
      </c>
      <c r="F933" s="222"/>
      <c r="G933" s="16">
        <v>0</v>
      </c>
      <c r="H933" s="150">
        <f>+E933-G933</f>
        <v>0</v>
      </c>
      <c r="I933" s="151" t="e">
        <f>+H933/G933</f>
        <v>#DIV/0!</v>
      </c>
      <c r="J933" s="16"/>
      <c r="K933" s="16"/>
      <c r="L933" s="16"/>
      <c r="M933" s="16"/>
      <c r="N933" s="16"/>
      <c r="O933" s="16"/>
      <c r="P933" s="16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</row>
    <row r="934" spans="1:37" hidden="1">
      <c r="A934" s="5"/>
      <c r="D934" s="16"/>
      <c r="E934" s="222">
        <v>0</v>
      </c>
      <c r="F934" s="222"/>
      <c r="G934" s="16">
        <v>0</v>
      </c>
      <c r="H934" s="150">
        <f>+E934-G934</f>
        <v>0</v>
      </c>
      <c r="I934" s="151">
        <v>1</v>
      </c>
      <c r="J934" s="16"/>
      <c r="K934" s="16"/>
      <c r="L934" s="16"/>
      <c r="M934" s="16"/>
      <c r="N934" s="16"/>
      <c r="O934" s="16"/>
      <c r="P934" s="16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</row>
    <row r="935" spans="1:37" hidden="1">
      <c r="A935" s="5"/>
      <c r="D935" s="16"/>
      <c r="E935" s="277"/>
      <c r="F935" s="277"/>
      <c r="G935" s="16"/>
      <c r="H935" s="8"/>
      <c r="I935" s="151"/>
      <c r="J935" s="16"/>
      <c r="K935" s="16"/>
      <c r="L935" s="16"/>
      <c r="M935" s="16"/>
      <c r="N935" s="16"/>
      <c r="O935" s="16"/>
      <c r="P935" s="16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</row>
    <row r="936" spans="1:37" ht="13.5" thickBot="1">
      <c r="A936" s="5"/>
      <c r="D936" s="27" t="s">
        <v>613</v>
      </c>
      <c r="E936" s="285">
        <f>SUM(E924:E935)</f>
        <v>1389531360.4700003</v>
      </c>
      <c r="F936" s="285">
        <f>SUM(F924:F935)</f>
        <v>457913570.50999993</v>
      </c>
      <c r="G936" s="69">
        <f>SUM(G924:G935)</f>
        <v>587473930.12</v>
      </c>
      <c r="H936" s="152">
        <f>+E936-G936</f>
        <v>802057430.35000026</v>
      </c>
      <c r="I936" s="153">
        <f>+H936/G936</f>
        <v>1.3652647193828134</v>
      </c>
      <c r="J936" s="16"/>
      <c r="K936" s="16"/>
      <c r="L936" s="16"/>
      <c r="M936" s="16"/>
      <c r="N936" s="16"/>
      <c r="O936" s="16"/>
      <c r="P936" s="16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</row>
    <row r="937" spans="1:37" ht="13.5" thickTop="1">
      <c r="A937" s="5"/>
      <c r="D937" s="16"/>
      <c r="E937" s="277"/>
      <c r="F937" s="277"/>
      <c r="G937" s="16"/>
      <c r="H937" s="29"/>
      <c r="I937" s="216"/>
      <c r="J937" s="16"/>
      <c r="K937" s="16"/>
      <c r="L937" s="16"/>
      <c r="M937" s="16"/>
      <c r="N937" s="16"/>
      <c r="O937" s="16"/>
      <c r="P937" s="16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</row>
    <row r="938" spans="1:37">
      <c r="A938" s="5"/>
      <c r="D938" s="172" t="s">
        <v>614</v>
      </c>
      <c r="E938" s="286"/>
      <c r="F938" s="286"/>
      <c r="G938" s="16"/>
      <c r="H938" s="29"/>
      <c r="I938" s="216"/>
      <c r="J938" s="16"/>
      <c r="K938" s="16"/>
      <c r="L938" s="16"/>
      <c r="M938" s="16"/>
      <c r="N938" s="16"/>
      <c r="O938" s="16"/>
      <c r="P938" s="16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</row>
    <row r="939" spans="1:37">
      <c r="A939" s="5"/>
      <c r="D939" s="16" t="s">
        <v>615</v>
      </c>
      <c r="F939" s="16">
        <v>0</v>
      </c>
      <c r="G939" s="16">
        <v>0</v>
      </c>
      <c r="H939" s="150">
        <f>+F939-G939</f>
        <v>0</v>
      </c>
      <c r="I939" s="151">
        <v>0</v>
      </c>
      <c r="J939" s="16"/>
      <c r="K939" s="16"/>
      <c r="L939" s="16"/>
      <c r="M939" s="16"/>
      <c r="N939" s="16"/>
      <c r="O939" s="16"/>
      <c r="P939" s="16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</row>
    <row r="940" spans="1:37">
      <c r="A940" s="5"/>
      <c r="B940" s="54" t="s">
        <v>616</v>
      </c>
      <c r="D940" s="16" t="s">
        <v>617</v>
      </c>
      <c r="E940" s="66">
        <v>327495432.40999997</v>
      </c>
      <c r="F940" s="16">
        <v>249854788.19999999</v>
      </c>
      <c r="G940" s="16">
        <v>375740154</v>
      </c>
      <c r="H940" s="150">
        <f>+F940-G940</f>
        <v>-125885365.80000001</v>
      </c>
      <c r="I940" s="151">
        <f>+H940/G940</f>
        <v>-0.33503303934878359</v>
      </c>
      <c r="J940" s="16"/>
      <c r="K940" s="61"/>
      <c r="L940" s="16"/>
      <c r="M940" s="16"/>
      <c r="N940" s="16"/>
      <c r="O940" s="16"/>
      <c r="P940" s="16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</row>
    <row r="941" spans="1:37">
      <c r="A941" s="5"/>
      <c r="B941" s="54" t="s">
        <v>618</v>
      </c>
      <c r="D941" s="16" t="s">
        <v>619</v>
      </c>
      <c r="E941" s="66">
        <v>171974273.39999998</v>
      </c>
      <c r="F941" s="16">
        <v>158431848.28999999</v>
      </c>
      <c r="G941" s="16">
        <v>111321604</v>
      </c>
      <c r="H941" s="150">
        <f>+F941-G941</f>
        <v>47110244.289999992</v>
      </c>
      <c r="I941" s="151">
        <v>1</v>
      </c>
      <c r="J941" s="16"/>
      <c r="K941" s="61"/>
      <c r="L941" s="16"/>
      <c r="M941" s="16"/>
      <c r="N941" s="16"/>
      <c r="O941" s="16"/>
      <c r="P941" s="16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</row>
    <row r="942" spans="1:37" hidden="1">
      <c r="A942" s="5"/>
      <c r="D942" s="16"/>
      <c r="E942" s="222">
        <v>0</v>
      </c>
      <c r="F942" s="222"/>
      <c r="G942" s="111">
        <v>0</v>
      </c>
      <c r="H942" s="150"/>
      <c r="I942" s="151"/>
      <c r="J942" s="16"/>
      <c r="K942" s="16"/>
      <c r="L942" s="16"/>
      <c r="M942" s="16"/>
      <c r="N942" s="16"/>
      <c r="O942" s="16"/>
      <c r="P942" s="16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</row>
    <row r="943" spans="1:37" hidden="1">
      <c r="A943" s="5"/>
      <c r="D943" s="16"/>
      <c r="E943" s="222">
        <v>0</v>
      </c>
      <c r="F943" s="222"/>
      <c r="G943" s="111">
        <v>0</v>
      </c>
      <c r="H943" s="150"/>
      <c r="I943" s="151"/>
      <c r="J943" s="16"/>
      <c r="K943" s="16"/>
      <c r="L943" s="16"/>
      <c r="M943" s="16"/>
      <c r="N943" s="16"/>
      <c r="O943" s="16"/>
      <c r="P943" s="16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</row>
    <row r="944" spans="1:37">
      <c r="A944" s="5"/>
      <c r="D944" s="16"/>
      <c r="E944" s="277"/>
      <c r="F944" s="277"/>
      <c r="G944" s="16"/>
      <c r="H944" s="8"/>
      <c r="I944" s="151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</row>
    <row r="945" spans="1:37" ht="13.5" thickBot="1">
      <c r="A945" s="5"/>
      <c r="D945" s="27" t="s">
        <v>613</v>
      </c>
      <c r="E945" s="285">
        <f>SUM(E939:E944)</f>
        <v>499469705.80999994</v>
      </c>
      <c r="F945" s="285">
        <f>SUM(F939:F944)</f>
        <v>408286636.49000001</v>
      </c>
      <c r="G945" s="69">
        <f>SUM(G939:G944)</f>
        <v>487061758</v>
      </c>
      <c r="H945" s="152">
        <f>+E945-G945</f>
        <v>12407947.809999943</v>
      </c>
      <c r="I945" s="153">
        <f>+H945/G945</f>
        <v>2.5475101681047895E-2</v>
      </c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</row>
    <row r="946" spans="1:37" ht="13.5" thickTop="1">
      <c r="A946" s="5"/>
      <c r="D946" s="27"/>
      <c r="E946" s="287"/>
      <c r="F946" s="287"/>
      <c r="G946" s="72"/>
      <c r="H946" s="181"/>
      <c r="I946" s="220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</row>
    <row r="947" spans="1:37">
      <c r="A947" s="5"/>
      <c r="D947" s="27"/>
      <c r="E947" s="27"/>
      <c r="F947" s="27"/>
      <c r="G947" s="72"/>
      <c r="H947" s="181"/>
      <c r="I947" s="220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</row>
    <row r="948" spans="1:37" ht="14">
      <c r="A948" s="146" t="s">
        <v>131</v>
      </c>
      <c r="B948" s="147"/>
      <c r="C948" s="147"/>
      <c r="D948" s="148" t="s">
        <v>15</v>
      </c>
      <c r="E948" s="20" t="str">
        <f>E55</f>
        <v>30 April 2017</v>
      </c>
      <c r="F948" s="20" t="str">
        <f>F55</f>
        <v>31 Maret 2017</v>
      </c>
      <c r="G948" s="20" t="str">
        <f>G55</f>
        <v>30 April 2016</v>
      </c>
      <c r="H948" s="149" t="s">
        <v>56</v>
      </c>
      <c r="I948" s="149" t="s">
        <v>9</v>
      </c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</row>
    <row r="949" spans="1:37" ht="14">
      <c r="A949" s="146"/>
      <c r="B949" s="147"/>
      <c r="C949" s="147"/>
      <c r="D949" s="148"/>
      <c r="E949" s="148"/>
      <c r="F949" s="148"/>
      <c r="G949" s="16"/>
      <c r="H949" s="133"/>
      <c r="I949" s="288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</row>
    <row r="950" spans="1:37">
      <c r="A950" s="5"/>
      <c r="D950" s="203" t="s">
        <v>620</v>
      </c>
      <c r="E950" s="203"/>
      <c r="F950" s="16"/>
      <c r="G950" s="16"/>
      <c r="H950" s="133"/>
      <c r="I950" s="288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</row>
    <row r="951" spans="1:37">
      <c r="A951" s="5"/>
      <c r="D951" s="203" t="s">
        <v>133</v>
      </c>
      <c r="E951" s="289"/>
      <c r="F951" s="16">
        <v>0</v>
      </c>
      <c r="G951" s="16">
        <v>1088451966</v>
      </c>
      <c r="H951" s="150">
        <f t="shared" ref="H951:H981" si="41">+F951-G951</f>
        <v>-1088451966</v>
      </c>
      <c r="I951" s="151">
        <f t="shared" ref="I951:I969" si="42">+H951/G951</f>
        <v>-1</v>
      </c>
      <c r="J951" s="16"/>
      <c r="L951" s="16"/>
      <c r="M951" s="16"/>
      <c r="N951" s="16"/>
      <c r="O951" s="16"/>
      <c r="P951" s="16"/>
      <c r="Q951" s="16"/>
      <c r="R951" s="16"/>
      <c r="S951" s="16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</row>
    <row r="952" spans="1:37">
      <c r="A952" s="5"/>
      <c r="B952" s="54" t="s">
        <v>621</v>
      </c>
      <c r="D952" s="203" t="s">
        <v>622</v>
      </c>
      <c r="E952" s="284">
        <v>320419594.44</v>
      </c>
      <c r="F952" s="16">
        <v>351813641.25999999</v>
      </c>
      <c r="G952" s="16">
        <v>155528436.09</v>
      </c>
      <c r="H952" s="150">
        <f t="shared" si="41"/>
        <v>196285205.16999999</v>
      </c>
      <c r="I952" s="151">
        <f t="shared" si="42"/>
        <v>1.2620534874819622</v>
      </c>
      <c r="J952" s="290"/>
      <c r="K952" s="61"/>
      <c r="L952" s="16"/>
      <c r="M952" s="16"/>
      <c r="N952" s="16"/>
      <c r="O952" s="16"/>
      <c r="P952" s="16"/>
      <c r="Q952" s="16"/>
      <c r="R952" s="16"/>
      <c r="S952" s="16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</row>
    <row r="953" spans="1:37">
      <c r="A953" s="5"/>
      <c r="B953" s="54" t="s">
        <v>623</v>
      </c>
      <c r="D953" s="203" t="s">
        <v>624</v>
      </c>
      <c r="E953" s="284">
        <v>85566136.25</v>
      </c>
      <c r="F953" s="16">
        <v>68682155.079999998</v>
      </c>
      <c r="G953" s="16">
        <v>46815225</v>
      </c>
      <c r="H953" s="150">
        <f t="shared" si="41"/>
        <v>21866930.079999998</v>
      </c>
      <c r="I953" s="151">
        <f t="shared" si="42"/>
        <v>0.46709014172205726</v>
      </c>
      <c r="J953" s="290"/>
      <c r="K953" s="61"/>
      <c r="L953" s="16"/>
      <c r="M953" s="16"/>
      <c r="N953" s="16"/>
      <c r="O953" s="16"/>
      <c r="P953" s="16"/>
      <c r="Q953" s="16"/>
      <c r="R953" s="16"/>
      <c r="S953" s="16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</row>
    <row r="954" spans="1:37">
      <c r="A954" s="5"/>
      <c r="B954" s="54" t="s">
        <v>625</v>
      </c>
      <c r="D954" s="203" t="s">
        <v>626</v>
      </c>
      <c r="E954" s="284">
        <v>190852356.44</v>
      </c>
      <c r="F954" s="16">
        <v>205261104.02000001</v>
      </c>
      <c r="G954" s="16">
        <v>137504040</v>
      </c>
      <c r="H954" s="150">
        <f t="shared" si="41"/>
        <v>67757064.020000011</v>
      </c>
      <c r="I954" s="151">
        <f t="shared" si="42"/>
        <v>0.49276416911095855</v>
      </c>
      <c r="J954" s="290"/>
      <c r="K954" s="61"/>
      <c r="L954" s="16"/>
      <c r="M954" s="16"/>
      <c r="N954" s="16"/>
      <c r="O954" s="16"/>
      <c r="P954" s="16"/>
      <c r="Q954" s="16"/>
      <c r="R954" s="16"/>
      <c r="S954" s="16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</row>
    <row r="955" spans="1:37">
      <c r="A955" s="5"/>
      <c r="B955" s="54" t="s">
        <v>627</v>
      </c>
      <c r="D955" s="203" t="s">
        <v>628</v>
      </c>
      <c r="E955" s="284">
        <v>532656953.08000004</v>
      </c>
      <c r="F955" s="16">
        <v>524585858.10000002</v>
      </c>
      <c r="G955" s="16">
        <v>1007873325</v>
      </c>
      <c r="H955" s="150">
        <f t="shared" si="41"/>
        <v>-483287466.89999998</v>
      </c>
      <c r="I955" s="151">
        <f t="shared" si="42"/>
        <v>-0.47951211219921908</v>
      </c>
      <c r="J955" s="291"/>
      <c r="K955" s="61"/>
      <c r="L955" s="16"/>
      <c r="M955" s="16"/>
      <c r="N955" s="16"/>
      <c r="O955" s="16"/>
      <c r="P955" s="16"/>
      <c r="Q955" s="16"/>
      <c r="R955" s="16"/>
      <c r="S955" s="16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</row>
    <row r="956" spans="1:37">
      <c r="A956" s="5"/>
      <c r="B956" s="54" t="s">
        <v>629</v>
      </c>
      <c r="D956" s="203" t="s">
        <v>630</v>
      </c>
      <c r="E956" s="284">
        <v>202505042.94</v>
      </c>
      <c r="F956" s="16">
        <v>277109306.88999999</v>
      </c>
      <c r="G956" s="16">
        <v>182000770</v>
      </c>
      <c r="H956" s="150">
        <f t="shared" si="41"/>
        <v>95108536.889999986</v>
      </c>
      <c r="I956" s="151">
        <f t="shared" si="42"/>
        <v>0.52257216763423575</v>
      </c>
      <c r="J956" s="290"/>
      <c r="K956" s="61"/>
      <c r="L956" s="16"/>
      <c r="M956" s="16"/>
      <c r="N956" s="16"/>
      <c r="O956" s="16"/>
      <c r="P956" s="16"/>
      <c r="Q956" s="16"/>
      <c r="R956" s="16"/>
      <c r="S956" s="16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</row>
    <row r="957" spans="1:37">
      <c r="A957" s="5"/>
      <c r="B957" s="54" t="s">
        <v>631</v>
      </c>
      <c r="D957" s="203" t="s">
        <v>632</v>
      </c>
      <c r="E957" s="284">
        <v>71096308.769999996</v>
      </c>
      <c r="F957" s="16">
        <v>78261834.620000005</v>
      </c>
      <c r="G957" s="16">
        <v>74089023</v>
      </c>
      <c r="H957" s="150">
        <f t="shared" si="41"/>
        <v>4172811.6200000048</v>
      </c>
      <c r="I957" s="151">
        <f t="shared" si="42"/>
        <v>5.6321590581643988E-2</v>
      </c>
      <c r="J957" s="290"/>
      <c r="K957" s="61"/>
      <c r="L957" s="16"/>
      <c r="M957" s="16"/>
      <c r="N957" s="16"/>
      <c r="O957" s="16"/>
      <c r="P957" s="16"/>
      <c r="Q957" s="16"/>
      <c r="R957" s="16"/>
      <c r="S957" s="16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</row>
    <row r="958" spans="1:37">
      <c r="A958" s="5"/>
      <c r="B958" s="54" t="s">
        <v>633</v>
      </c>
      <c r="D958" s="203" t="s">
        <v>634</v>
      </c>
      <c r="E958" s="284">
        <v>49801932.320000008</v>
      </c>
      <c r="F958" s="16">
        <v>53109188.859999999</v>
      </c>
      <c r="G958" s="16">
        <v>71866585</v>
      </c>
      <c r="H958" s="150">
        <f t="shared" si="41"/>
        <v>-18757396.140000001</v>
      </c>
      <c r="I958" s="151">
        <f t="shared" si="42"/>
        <v>-0.26100302581512674</v>
      </c>
      <c r="J958" s="290"/>
      <c r="K958" s="61"/>
      <c r="L958" s="16"/>
      <c r="M958" s="16"/>
      <c r="N958" s="16"/>
      <c r="O958" s="16"/>
      <c r="P958" s="16"/>
      <c r="Q958" s="16"/>
      <c r="R958" s="16"/>
      <c r="S958" s="16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</row>
    <row r="959" spans="1:37">
      <c r="A959" s="5"/>
      <c r="B959" s="54" t="s">
        <v>635</v>
      </c>
      <c r="D959" s="203" t="s">
        <v>636</v>
      </c>
      <c r="E959" s="284">
        <v>10963087.389999999</v>
      </c>
      <c r="F959" s="16">
        <v>11109410.369999999</v>
      </c>
      <c r="G959" s="16">
        <v>11629523</v>
      </c>
      <c r="H959" s="150">
        <f t="shared" si="41"/>
        <v>-520112.63000000082</v>
      </c>
      <c r="I959" s="151">
        <f t="shared" si="42"/>
        <v>-4.4723470601502814E-2</v>
      </c>
      <c r="J959" s="290"/>
      <c r="K959" s="61"/>
      <c r="L959" s="16"/>
      <c r="M959" s="16"/>
      <c r="N959" s="16"/>
      <c r="O959" s="16"/>
      <c r="P959" s="16"/>
      <c r="Q959" s="16"/>
      <c r="R959" s="16"/>
      <c r="S959" s="16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</row>
    <row r="960" spans="1:37">
      <c r="A960" s="5"/>
      <c r="B960" s="54" t="s">
        <v>637</v>
      </c>
      <c r="D960" s="203" t="s">
        <v>638</v>
      </c>
      <c r="E960" s="284">
        <v>14234190.970000001</v>
      </c>
      <c r="F960" s="16">
        <v>14797024.140000001</v>
      </c>
      <c r="G960" s="16">
        <v>25568359</v>
      </c>
      <c r="H960" s="150">
        <f t="shared" si="41"/>
        <v>-10771334.859999999</v>
      </c>
      <c r="I960" s="151">
        <f t="shared" si="42"/>
        <v>-0.42127595517569194</v>
      </c>
      <c r="J960" s="290"/>
      <c r="K960" s="61"/>
      <c r="L960" s="16"/>
      <c r="M960" s="16"/>
      <c r="N960" s="16"/>
      <c r="O960" s="16"/>
      <c r="P960" s="16"/>
      <c r="Q960" s="16"/>
      <c r="R960" s="16"/>
      <c r="S960" s="16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</row>
    <row r="961" spans="1:34">
      <c r="A961" s="5"/>
      <c r="B961" s="54" t="s">
        <v>639</v>
      </c>
      <c r="D961" s="203" t="s">
        <v>640</v>
      </c>
      <c r="E961" s="284">
        <v>6534808.0599999987</v>
      </c>
      <c r="F961" s="16">
        <v>6353593.2300000004</v>
      </c>
      <c r="G961" s="16">
        <v>4944648</v>
      </c>
      <c r="H961" s="150">
        <f t="shared" si="41"/>
        <v>1408945.2300000004</v>
      </c>
      <c r="I961" s="151">
        <f t="shared" si="42"/>
        <v>0.2849434843491388</v>
      </c>
      <c r="J961" s="290"/>
      <c r="K961" s="61"/>
      <c r="L961" s="16"/>
      <c r="M961" s="16"/>
      <c r="N961" s="16"/>
      <c r="O961" s="16"/>
      <c r="P961" s="16"/>
      <c r="Q961" s="16"/>
      <c r="R961" s="16"/>
      <c r="S961" s="16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</row>
    <row r="962" spans="1:34">
      <c r="A962" s="5"/>
      <c r="D962" s="203" t="s">
        <v>641</v>
      </c>
      <c r="E962" s="284"/>
      <c r="F962" s="16"/>
      <c r="G962" s="16">
        <v>7324380</v>
      </c>
      <c r="H962" s="150">
        <f t="shared" si="41"/>
        <v>-7324380</v>
      </c>
      <c r="I962" s="151">
        <f t="shared" si="42"/>
        <v>-1</v>
      </c>
      <c r="J962" s="290"/>
      <c r="L962" s="16"/>
      <c r="M962" s="16"/>
      <c r="N962" s="16"/>
      <c r="O962" s="16"/>
      <c r="P962" s="16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</row>
    <row r="963" spans="1:34">
      <c r="A963" s="5"/>
      <c r="D963" s="203" t="s">
        <v>642</v>
      </c>
      <c r="E963" s="284"/>
      <c r="F963" s="16"/>
      <c r="G963" s="16">
        <v>6000089</v>
      </c>
      <c r="H963" s="150">
        <f t="shared" si="41"/>
        <v>-6000089</v>
      </c>
      <c r="I963" s="151">
        <f t="shared" si="42"/>
        <v>-1</v>
      </c>
      <c r="J963" s="290"/>
      <c r="L963" s="16"/>
      <c r="M963" s="16"/>
      <c r="N963" s="16"/>
      <c r="O963" s="16"/>
      <c r="P963" s="16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</row>
    <row r="964" spans="1:34">
      <c r="A964" s="5"/>
      <c r="D964" s="203" t="s">
        <v>643</v>
      </c>
      <c r="E964" s="284"/>
      <c r="F964" s="16"/>
      <c r="G964" s="16">
        <v>0</v>
      </c>
      <c r="H964" s="150">
        <f t="shared" si="41"/>
        <v>0</v>
      </c>
      <c r="I964" s="151">
        <v>0</v>
      </c>
      <c r="J964" s="290"/>
      <c r="L964" s="16"/>
      <c r="M964" s="16"/>
      <c r="N964" s="16"/>
      <c r="O964" s="16"/>
      <c r="P964" s="16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</row>
    <row r="965" spans="1:34">
      <c r="A965" s="5"/>
      <c r="B965" s="54" t="s">
        <v>644</v>
      </c>
      <c r="D965" s="203" t="s">
        <v>645</v>
      </c>
      <c r="E965" s="284">
        <v>13188594.939999998</v>
      </c>
      <c r="F965" s="16">
        <v>15290475.15</v>
      </c>
      <c r="G965" s="16">
        <v>13778850</v>
      </c>
      <c r="H965" s="150">
        <f t="shared" si="41"/>
        <v>1511625.1500000004</v>
      </c>
      <c r="I965" s="151">
        <f t="shared" si="42"/>
        <v>0.10970619101013512</v>
      </c>
      <c r="J965" s="290"/>
      <c r="K965" s="61"/>
      <c r="L965" s="16"/>
      <c r="M965" s="16"/>
      <c r="N965" s="16"/>
      <c r="O965" s="16"/>
      <c r="P965" s="16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</row>
    <row r="966" spans="1:34">
      <c r="A966" s="5"/>
      <c r="B966" s="54" t="s">
        <v>646</v>
      </c>
      <c r="D966" s="203" t="s">
        <v>647</v>
      </c>
      <c r="E966" s="284">
        <v>41130953.659999996</v>
      </c>
      <c r="F966" s="16">
        <v>55438904.700000003</v>
      </c>
      <c r="G966" s="16">
        <v>59356985</v>
      </c>
      <c r="H966" s="150">
        <f t="shared" si="41"/>
        <v>-3918080.299999997</v>
      </c>
      <c r="I966" s="151">
        <f t="shared" si="42"/>
        <v>-6.600874859125673E-2</v>
      </c>
      <c r="J966" s="290"/>
      <c r="K966" s="61"/>
      <c r="L966" s="16"/>
      <c r="M966" s="16"/>
      <c r="N966" s="16"/>
      <c r="O966" s="16"/>
      <c r="P966" s="16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</row>
    <row r="967" spans="1:34">
      <c r="A967" s="5"/>
      <c r="B967" s="54" t="s">
        <v>648</v>
      </c>
      <c r="D967" s="203" t="s">
        <v>649</v>
      </c>
      <c r="E967" s="284">
        <v>1.2399999999906868</v>
      </c>
      <c r="F967" s="16">
        <v>564419.24</v>
      </c>
      <c r="G967" s="16">
        <v>16232128</v>
      </c>
      <c r="H967" s="150">
        <f t="shared" si="41"/>
        <v>-15667708.76</v>
      </c>
      <c r="I967" s="151">
        <f t="shared" si="42"/>
        <v>-0.96522826581949084</v>
      </c>
      <c r="J967" s="290"/>
      <c r="K967" s="61"/>
      <c r="L967" s="16"/>
      <c r="M967" s="16"/>
      <c r="N967" s="16"/>
      <c r="O967" s="16"/>
      <c r="P967" s="16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</row>
    <row r="968" spans="1:34">
      <c r="A968" s="5"/>
      <c r="B968" s="54" t="s">
        <v>650</v>
      </c>
      <c r="D968" s="203" t="s">
        <v>651</v>
      </c>
      <c r="E968" s="284">
        <v>4251788.9400000013</v>
      </c>
      <c r="F968" s="16">
        <v>4276644.74</v>
      </c>
      <c r="G968" s="16">
        <v>12617304</v>
      </c>
      <c r="H968" s="150">
        <f t="shared" si="41"/>
        <v>-8340659.2599999998</v>
      </c>
      <c r="I968" s="151">
        <f t="shared" si="42"/>
        <v>-0.66104924316636893</v>
      </c>
      <c r="J968" s="290"/>
      <c r="K968" s="61"/>
      <c r="L968" s="16"/>
      <c r="M968" s="16"/>
      <c r="N968" s="16"/>
      <c r="O968" s="16"/>
      <c r="P968" s="16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</row>
    <row r="969" spans="1:34">
      <c r="A969" s="5"/>
      <c r="B969" s="54" t="s">
        <v>652</v>
      </c>
      <c r="D969" s="16" t="s">
        <v>653</v>
      </c>
      <c r="E969" s="66">
        <v>7165469.7400000002</v>
      </c>
      <c r="F969" s="16">
        <v>7897780.8799999999</v>
      </c>
      <c r="G969" s="16">
        <v>7308600</v>
      </c>
      <c r="H969" s="150">
        <f t="shared" si="41"/>
        <v>589180.87999999989</v>
      </c>
      <c r="I969" s="151">
        <f t="shared" si="42"/>
        <v>8.0614738800864713E-2</v>
      </c>
      <c r="J969" s="290"/>
      <c r="K969" s="61"/>
      <c r="L969" s="16"/>
      <c r="M969" s="16"/>
      <c r="N969" s="16"/>
      <c r="O969" s="16"/>
      <c r="P969" s="16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</row>
    <row r="970" spans="1:34">
      <c r="A970" s="5"/>
      <c r="B970" s="54" t="s">
        <v>654</v>
      </c>
      <c r="D970" s="16" t="s">
        <v>655</v>
      </c>
      <c r="E970" s="66">
        <v>18556096.859999996</v>
      </c>
      <c r="F970" s="16">
        <v>20156789.27</v>
      </c>
      <c r="G970" s="16">
        <v>15628998</v>
      </c>
      <c r="H970" s="150">
        <f t="shared" si="41"/>
        <v>4527791.2699999996</v>
      </c>
      <c r="I970" s="151">
        <v>0</v>
      </c>
      <c r="J970" s="290"/>
      <c r="K970" s="61"/>
      <c r="L970" s="16"/>
      <c r="M970" s="16"/>
      <c r="N970" s="16"/>
      <c r="O970" s="16"/>
      <c r="P970" s="16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</row>
    <row r="971" spans="1:34">
      <c r="A971" s="5"/>
      <c r="B971" s="54" t="s">
        <v>656</v>
      </c>
      <c r="D971" s="16" t="s">
        <v>657</v>
      </c>
      <c r="E971" s="66">
        <v>40722152.320000008</v>
      </c>
      <c r="F971" s="16">
        <v>42406187.170000002</v>
      </c>
      <c r="G971" s="16">
        <v>2984307</v>
      </c>
      <c r="H971" s="150">
        <f t="shared" si="41"/>
        <v>39421880.170000002</v>
      </c>
      <c r="I971" s="151">
        <v>0</v>
      </c>
      <c r="J971" s="290"/>
      <c r="K971" s="61"/>
      <c r="L971" s="16"/>
      <c r="M971" s="16"/>
      <c r="N971" s="16"/>
      <c r="O971" s="16"/>
      <c r="P971" s="16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</row>
    <row r="972" spans="1:34">
      <c r="A972" s="5"/>
      <c r="B972" s="54" t="s">
        <v>658</v>
      </c>
      <c r="D972" s="16" t="s">
        <v>659</v>
      </c>
      <c r="E972" s="66">
        <v>28128138.959999993</v>
      </c>
      <c r="F972" s="16">
        <v>24952033.399999999</v>
      </c>
      <c r="G972" s="16">
        <v>0</v>
      </c>
      <c r="H972" s="150">
        <f t="shared" si="41"/>
        <v>24952033.399999999</v>
      </c>
      <c r="I972" s="151">
        <v>0</v>
      </c>
      <c r="J972" s="290"/>
      <c r="K972" s="61"/>
      <c r="L972" s="16"/>
      <c r="M972" s="16"/>
      <c r="N972" s="16"/>
      <c r="O972" s="16"/>
      <c r="P972" s="16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</row>
    <row r="973" spans="1:34">
      <c r="A973" s="5"/>
      <c r="B973" s="54" t="s">
        <v>660</v>
      </c>
      <c r="D973" s="16" t="s">
        <v>661</v>
      </c>
      <c r="E973" s="66">
        <v>57762621.26000002</v>
      </c>
      <c r="F973" s="16">
        <v>67869539.230000004</v>
      </c>
      <c r="G973" s="16">
        <v>9400451</v>
      </c>
      <c r="H973" s="150">
        <f t="shared" si="41"/>
        <v>58469088.230000004</v>
      </c>
      <c r="I973" s="151">
        <v>0</v>
      </c>
      <c r="J973" s="290"/>
      <c r="K973" s="61"/>
      <c r="L973" s="16"/>
      <c r="M973" s="16"/>
      <c r="N973" s="16"/>
      <c r="O973" s="16"/>
      <c r="P973" s="16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</row>
    <row r="974" spans="1:34">
      <c r="A974" s="5"/>
      <c r="B974" s="54" t="s">
        <v>662</v>
      </c>
      <c r="D974" s="16" t="s">
        <v>663</v>
      </c>
      <c r="E974" s="66">
        <v>95024175.11999999</v>
      </c>
      <c r="F974" s="16">
        <v>97360291.280000001</v>
      </c>
      <c r="G974" s="16">
        <v>80556620</v>
      </c>
      <c r="H974" s="150">
        <f t="shared" si="41"/>
        <v>16803671.280000001</v>
      </c>
      <c r="I974" s="151">
        <v>0</v>
      </c>
      <c r="J974" s="290"/>
      <c r="K974" s="61"/>
      <c r="L974" s="16"/>
      <c r="M974" s="16"/>
      <c r="N974" s="16"/>
      <c r="O974" s="16"/>
      <c r="P974" s="16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</row>
    <row r="975" spans="1:34">
      <c r="A975" s="5"/>
      <c r="B975" s="54" t="s">
        <v>664</v>
      </c>
      <c r="D975" s="16" t="s">
        <v>665</v>
      </c>
      <c r="E975" s="66">
        <v>29250179.82</v>
      </c>
      <c r="F975" s="16">
        <v>32077431.559999999</v>
      </c>
      <c r="G975" s="16"/>
      <c r="H975" s="150">
        <f t="shared" si="41"/>
        <v>32077431.559999999</v>
      </c>
      <c r="I975" s="151">
        <v>0</v>
      </c>
      <c r="J975" s="290"/>
      <c r="K975" s="61"/>
      <c r="L975" s="16"/>
      <c r="M975" s="16"/>
      <c r="N975" s="16"/>
      <c r="O975" s="16"/>
      <c r="P975" s="16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</row>
    <row r="976" spans="1:34">
      <c r="A976" s="5"/>
      <c r="B976" s="54" t="s">
        <v>666</v>
      </c>
      <c r="D976" s="16" t="s">
        <v>667</v>
      </c>
      <c r="E976" s="66">
        <v>14823046.4</v>
      </c>
      <c r="F976" s="16">
        <v>16361256.380000001</v>
      </c>
      <c r="G976" s="16"/>
      <c r="H976" s="150">
        <f t="shared" si="41"/>
        <v>16361256.380000001</v>
      </c>
      <c r="I976" s="151">
        <v>0</v>
      </c>
      <c r="J976" s="290"/>
      <c r="K976" s="61"/>
      <c r="L976" s="16"/>
      <c r="M976" s="16"/>
      <c r="N976" s="16"/>
      <c r="O976" s="16"/>
      <c r="P976" s="16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</row>
    <row r="977" spans="1:37">
      <c r="A977" s="5"/>
      <c r="B977" s="54" t="s">
        <v>668</v>
      </c>
      <c r="D977" s="16" t="s">
        <v>669</v>
      </c>
      <c r="E977" s="66">
        <v>27192830.32</v>
      </c>
      <c r="F977" s="16">
        <v>30224758.93</v>
      </c>
      <c r="G977" s="16"/>
      <c r="H977" s="150">
        <f t="shared" si="41"/>
        <v>30224758.93</v>
      </c>
      <c r="I977" s="151">
        <v>0</v>
      </c>
      <c r="J977" s="290"/>
      <c r="K977" s="61"/>
      <c r="L977" s="16"/>
      <c r="M977" s="16"/>
      <c r="N977" s="16"/>
      <c r="O977" s="16"/>
      <c r="P977" s="16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</row>
    <row r="978" spans="1:37">
      <c r="A978" s="5"/>
      <c r="B978" s="54" t="s">
        <v>670</v>
      </c>
      <c r="D978" s="16" t="s">
        <v>671</v>
      </c>
      <c r="E978" s="66">
        <v>9542860.0700000003</v>
      </c>
      <c r="F978" s="16">
        <v>9990125.3000000007</v>
      </c>
      <c r="G978" s="16"/>
      <c r="H978" s="150">
        <f t="shared" si="41"/>
        <v>9990125.3000000007</v>
      </c>
      <c r="I978" s="151">
        <v>0</v>
      </c>
      <c r="J978" s="290"/>
      <c r="K978" s="61"/>
      <c r="L978" s="16"/>
      <c r="M978" s="16"/>
      <c r="N978" s="16"/>
      <c r="O978" s="16"/>
      <c r="P978" s="16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</row>
    <row r="979" spans="1:37">
      <c r="A979" s="5"/>
      <c r="B979" s="54" t="s">
        <v>672</v>
      </c>
      <c r="D979" s="16" t="s">
        <v>673</v>
      </c>
      <c r="E979" s="66">
        <v>370507295.94000006</v>
      </c>
      <c r="F979" s="16">
        <v>373361863.24000001</v>
      </c>
      <c r="G979" s="16"/>
      <c r="H979" s="150">
        <f t="shared" si="41"/>
        <v>373361863.24000001</v>
      </c>
      <c r="I979" s="151">
        <v>0</v>
      </c>
      <c r="J979" s="290"/>
      <c r="K979" s="61"/>
      <c r="L979" s="16"/>
      <c r="M979" s="16"/>
      <c r="N979" s="16"/>
      <c r="O979" s="16"/>
      <c r="P979" s="16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</row>
    <row r="980" spans="1:37">
      <c r="A980" s="5"/>
      <c r="B980" s="54" t="s">
        <v>674</v>
      </c>
      <c r="D980" s="16" t="s">
        <v>675</v>
      </c>
      <c r="E980" s="66">
        <v>3589332.83</v>
      </c>
      <c r="F980" s="16">
        <v>3991447.13</v>
      </c>
      <c r="G980" s="16"/>
      <c r="H980" s="150">
        <f t="shared" si="41"/>
        <v>3991447.13</v>
      </c>
      <c r="I980" s="151">
        <v>0</v>
      </c>
      <c r="J980" s="290"/>
      <c r="K980" s="61"/>
      <c r="L980" s="16"/>
      <c r="M980" s="16"/>
      <c r="N980" s="16"/>
      <c r="O980" s="16"/>
      <c r="P980" s="16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</row>
    <row r="981" spans="1:37">
      <c r="A981" s="5"/>
      <c r="B981" s="54" t="s">
        <v>676</v>
      </c>
      <c r="D981" s="16" t="s">
        <v>677</v>
      </c>
      <c r="E981" s="66">
        <v>20870029.109999999</v>
      </c>
      <c r="F981" s="16">
        <v>23255183.699999999</v>
      </c>
      <c r="G981" s="16"/>
      <c r="H981" s="150">
        <f t="shared" si="41"/>
        <v>23255183.699999999</v>
      </c>
      <c r="I981" s="151">
        <v>0</v>
      </c>
      <c r="J981" s="290"/>
      <c r="K981" s="61"/>
      <c r="L981" s="16"/>
      <c r="M981" s="16"/>
      <c r="N981" s="16"/>
      <c r="O981" s="16"/>
      <c r="P981" s="16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</row>
    <row r="982" spans="1:37">
      <c r="A982" s="5"/>
      <c r="B982" s="54" t="s">
        <v>678</v>
      </c>
      <c r="D982" s="16" t="s">
        <v>679</v>
      </c>
      <c r="E982" s="66">
        <v>45149501.759999998</v>
      </c>
      <c r="F982" s="16">
        <v>49810875.229999997</v>
      </c>
      <c r="G982" s="16"/>
      <c r="H982" s="150"/>
      <c r="I982" s="151"/>
      <c r="J982" s="290"/>
      <c r="K982" s="61"/>
      <c r="L982" s="16"/>
      <c r="M982" s="16"/>
      <c r="N982" s="16"/>
      <c r="O982" s="16"/>
      <c r="P982" s="16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</row>
    <row r="983" spans="1:37">
      <c r="A983" s="5"/>
      <c r="B983" s="54" t="s">
        <v>680</v>
      </c>
      <c r="D983" s="16" t="s">
        <v>681</v>
      </c>
      <c r="E983" s="66">
        <v>3227400.5900000003</v>
      </c>
      <c r="F983" s="16">
        <v>2650725.31</v>
      </c>
      <c r="G983" s="16"/>
      <c r="H983" s="150"/>
      <c r="I983" s="151"/>
      <c r="J983" s="290"/>
      <c r="K983" s="61"/>
      <c r="L983" s="16"/>
      <c r="M983" s="16"/>
      <c r="N983" s="16"/>
      <c r="O983" s="16"/>
      <c r="P983" s="16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</row>
    <row r="984" spans="1:37" s="296" customFormat="1">
      <c r="A984" s="61"/>
      <c r="B984" s="61" t="s">
        <v>682</v>
      </c>
      <c r="C984" s="292"/>
      <c r="D984" s="16" t="s">
        <v>683</v>
      </c>
      <c r="E984" s="66">
        <v>0</v>
      </c>
      <c r="F984" s="16">
        <v>109217637</v>
      </c>
      <c r="G984" s="293"/>
      <c r="H984" s="294"/>
      <c r="I984" s="293"/>
      <c r="J984" s="295"/>
      <c r="L984" s="297"/>
    </row>
    <row r="985" spans="1:37" ht="13.5" thickBot="1">
      <c r="A985" s="5"/>
      <c r="D985" s="27" t="s">
        <v>174</v>
      </c>
      <c r="E985" s="69">
        <f>SUM(E951:E984)</f>
        <v>2314712880.5400004</v>
      </c>
      <c r="F985" s="69">
        <f>SUM(F951:F984)</f>
        <v>2578237485.4099998</v>
      </c>
      <c r="G985" s="69">
        <f>SUM(G951:G979)</f>
        <v>3037460612.0900002</v>
      </c>
      <c r="H985" s="70">
        <f>SUM(H951:H981)</f>
        <v>-620902364.22000015</v>
      </c>
      <c r="I985" s="153">
        <f>+H985/G985</f>
        <v>-0.20441495167003099</v>
      </c>
      <c r="J985" s="290"/>
      <c r="K985" s="16"/>
      <c r="L985" s="16"/>
      <c r="M985" s="16"/>
      <c r="N985" s="16"/>
      <c r="O985" s="16"/>
      <c r="P985" s="16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</row>
    <row r="986" spans="1:37" ht="13.5" thickTop="1">
      <c r="E986" s="66"/>
      <c r="F986" s="40"/>
      <c r="G986" s="40"/>
      <c r="H986" s="63"/>
      <c r="I986" s="216"/>
      <c r="J986" s="16" t="s">
        <v>684</v>
      </c>
      <c r="K986" s="16">
        <f>E985-F951</f>
        <v>2314712880.5400004</v>
      </c>
      <c r="L986" s="16"/>
      <c r="M986" s="16"/>
      <c r="N986" s="16"/>
      <c r="O986" s="16"/>
      <c r="P986" s="16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</row>
    <row r="987" spans="1:37">
      <c r="H987" s="8"/>
      <c r="I987" s="151"/>
      <c r="J987" s="16"/>
      <c r="K987" s="16">
        <f>F583</f>
        <v>2382252597.0299997</v>
      </c>
      <c r="L987" s="298">
        <f>K986-K992</f>
        <v>-258119924.25239944</v>
      </c>
      <c r="M987" s="16"/>
      <c r="N987" s="16"/>
      <c r="O987" s="16"/>
      <c r="P987" s="16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</row>
    <row r="988" spans="1:37">
      <c r="H988" s="8"/>
      <c r="I988" s="151"/>
      <c r="J988" s="16"/>
      <c r="K988" s="16"/>
      <c r="L988" s="298"/>
      <c r="M988" s="16"/>
      <c r="N988" s="16"/>
      <c r="O988" s="16"/>
      <c r="P988" s="16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</row>
    <row r="989" spans="1:37" ht="14">
      <c r="A989" s="154" t="s">
        <v>132</v>
      </c>
      <c r="B989" s="155"/>
      <c r="C989" s="155"/>
      <c r="D989" s="148" t="s">
        <v>33</v>
      </c>
      <c r="E989" s="20" t="str">
        <f>E55</f>
        <v>30 April 2017</v>
      </c>
      <c r="F989" s="20" t="str">
        <f>F55</f>
        <v>31 Maret 2017</v>
      </c>
      <c r="G989" s="20" t="str">
        <f>G55</f>
        <v>30 April 2016</v>
      </c>
      <c r="H989" s="149" t="s">
        <v>56</v>
      </c>
      <c r="I989" s="149" t="s">
        <v>9</v>
      </c>
      <c r="J989" s="16"/>
      <c r="K989" s="16"/>
      <c r="L989" s="16"/>
      <c r="M989" s="16"/>
      <c r="N989" s="16"/>
      <c r="O989" s="16"/>
      <c r="P989" s="16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</row>
    <row r="990" spans="1:37">
      <c r="A990" s="5"/>
      <c r="D990" s="16"/>
      <c r="E990" s="16"/>
      <c r="F990" s="16"/>
      <c r="G990" s="16"/>
      <c r="H990" s="8"/>
      <c r="I990" s="151"/>
      <c r="J990" s="16"/>
      <c r="K990" s="16">
        <f>K987*10%</f>
        <v>238225259.70299998</v>
      </c>
      <c r="L990" s="16"/>
      <c r="M990" s="16"/>
      <c r="N990" s="16"/>
      <c r="O990" s="16"/>
      <c r="P990" s="16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</row>
    <row r="991" spans="1:37">
      <c r="A991" s="5"/>
      <c r="D991" s="212" t="s">
        <v>685</v>
      </c>
      <c r="E991" s="203"/>
      <c r="F991" s="203"/>
      <c r="G991" s="203"/>
      <c r="H991" s="8"/>
      <c r="I991" s="151"/>
      <c r="J991" s="16"/>
      <c r="K991" s="16">
        <f>K987*2%</f>
        <v>47645051.940599993</v>
      </c>
      <c r="L991" s="16"/>
      <c r="M991" s="16"/>
      <c r="N991" s="16"/>
      <c r="O991" s="16"/>
      <c r="P991" s="16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</row>
    <row r="992" spans="1:37">
      <c r="A992" s="5"/>
      <c r="D992" s="299" t="s">
        <v>686</v>
      </c>
      <c r="E992" s="203"/>
      <c r="F992" s="203"/>
      <c r="G992" s="203"/>
      <c r="H992" s="8"/>
      <c r="I992" s="151"/>
      <c r="J992" s="16"/>
      <c r="K992" s="16">
        <f>K987+K990-K991</f>
        <v>2572832804.7923999</v>
      </c>
      <c r="L992" s="16"/>
      <c r="M992" s="16"/>
      <c r="N992" s="16"/>
      <c r="O992" s="16"/>
      <c r="P992" s="16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</row>
    <row r="993" spans="1:37">
      <c r="A993" s="5"/>
      <c r="B993" s="54" t="s">
        <v>687</v>
      </c>
      <c r="D993" s="203" t="s">
        <v>688</v>
      </c>
      <c r="E993" s="284">
        <v>6342752256.1999998</v>
      </c>
      <c r="F993" s="203">
        <v>6342752256.1999998</v>
      </c>
      <c r="G993" s="203">
        <v>6320152256.1999998</v>
      </c>
      <c r="H993" s="150">
        <f>+F993-G993</f>
        <v>22600000</v>
      </c>
      <c r="I993" s="151">
        <f>+H993/G993</f>
        <v>3.5758632203567006E-3</v>
      </c>
      <c r="J993" s="16"/>
      <c r="K993" s="61"/>
      <c r="L993" s="16"/>
      <c r="M993" s="16"/>
      <c r="N993" s="16"/>
      <c r="O993" s="16"/>
      <c r="P993" s="16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</row>
    <row r="994" spans="1:37">
      <c r="A994" s="5"/>
      <c r="B994" s="16"/>
      <c r="D994" s="203"/>
      <c r="E994" s="203"/>
      <c r="F994" s="203"/>
      <c r="G994" s="203"/>
      <c r="H994" s="8"/>
      <c r="I994" s="151"/>
      <c r="J994" s="16"/>
      <c r="K994" s="16"/>
      <c r="L994" s="16"/>
      <c r="M994" s="16"/>
      <c r="N994" s="16"/>
      <c r="O994" s="16"/>
      <c r="P994" s="16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</row>
    <row r="995" spans="1:37" ht="13.5" thickBot="1">
      <c r="A995" s="5"/>
      <c r="B995" s="16"/>
      <c r="D995" s="209" t="s">
        <v>183</v>
      </c>
      <c r="E995" s="213">
        <f>E993</f>
        <v>6342752256.1999998</v>
      </c>
      <c r="F995" s="213">
        <f>F993</f>
        <v>6342752256.1999998</v>
      </c>
      <c r="G995" s="213">
        <f>+G993</f>
        <v>6320152256.1999998</v>
      </c>
      <c r="H995" s="152">
        <f>+E995-G995</f>
        <v>22600000</v>
      </c>
      <c r="I995" s="153">
        <f>+H995/G995</f>
        <v>3.5758632203567006E-3</v>
      </c>
      <c r="J995" s="16"/>
      <c r="K995" s="16"/>
      <c r="L995" s="16"/>
      <c r="M995" s="16"/>
      <c r="N995" s="16"/>
      <c r="O995" s="16"/>
      <c r="P995" s="16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</row>
    <row r="996" spans="1:37" ht="13.5" thickTop="1">
      <c r="A996" s="5"/>
      <c r="B996" s="16"/>
      <c r="D996" s="299" t="s">
        <v>689</v>
      </c>
      <c r="E996" s="203"/>
      <c r="F996" s="203"/>
      <c r="G996" s="203"/>
      <c r="H996" s="8"/>
      <c r="I996" s="151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</row>
    <row r="997" spans="1:37">
      <c r="A997" s="5"/>
      <c r="B997" s="54" t="s">
        <v>690</v>
      </c>
      <c r="D997" s="203" t="s">
        <v>691</v>
      </c>
      <c r="E997" s="284">
        <v>3093150000</v>
      </c>
      <c r="F997" s="203">
        <v>3093150000</v>
      </c>
      <c r="G997" s="203">
        <v>3093150000</v>
      </c>
      <c r="H997" s="150">
        <f>+F997-G997</f>
        <v>0</v>
      </c>
      <c r="I997" s="151">
        <f>+H997/G997</f>
        <v>0</v>
      </c>
      <c r="J997" s="16"/>
      <c r="K997" s="61"/>
      <c r="L997" s="16"/>
      <c r="M997" s="16"/>
      <c r="N997" s="16"/>
      <c r="O997" s="16"/>
      <c r="P997" s="16"/>
      <c r="Q997" s="16"/>
      <c r="R997" s="16"/>
      <c r="S997" s="16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</row>
    <row r="998" spans="1:37">
      <c r="A998" s="5"/>
      <c r="B998" s="54" t="s">
        <v>692</v>
      </c>
      <c r="D998" s="203" t="s">
        <v>693</v>
      </c>
      <c r="E998" s="284">
        <v>13950000</v>
      </c>
      <c r="F998" s="203">
        <v>13950000</v>
      </c>
      <c r="G998" s="203">
        <v>13950000</v>
      </c>
      <c r="H998" s="150">
        <f>+F998-G998</f>
        <v>0</v>
      </c>
      <c r="I998" s="151">
        <f>+H998/G998</f>
        <v>0</v>
      </c>
      <c r="J998" s="16"/>
      <c r="K998" s="61"/>
      <c r="L998" s="16"/>
      <c r="M998" s="16"/>
      <c r="N998" s="16"/>
      <c r="O998" s="16"/>
      <c r="P998" s="16"/>
      <c r="Q998" s="16"/>
      <c r="R998" s="16"/>
      <c r="S998" s="16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</row>
    <row r="999" spans="1:37">
      <c r="A999" s="5"/>
      <c r="B999" s="16"/>
      <c r="D999" s="203"/>
      <c r="E999" s="203"/>
      <c r="F999" s="203"/>
      <c r="G999" s="203"/>
      <c r="H999" s="8"/>
      <c r="I999" s="151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</row>
    <row r="1000" spans="1:37" ht="13.5" thickBot="1">
      <c r="A1000" s="5"/>
      <c r="B1000" s="16"/>
      <c r="D1000" s="209" t="s">
        <v>183</v>
      </c>
      <c r="E1000" s="213">
        <f>E997+E998</f>
        <v>3107100000</v>
      </c>
      <c r="F1000" s="213">
        <f>F997+F998</f>
        <v>3107100000</v>
      </c>
      <c r="G1000" s="213">
        <f>+G998+G997</f>
        <v>3107100000</v>
      </c>
      <c r="H1000" s="152">
        <f>+E1000-G1000</f>
        <v>0</v>
      </c>
      <c r="I1000" s="153">
        <f>+H1000/G1000</f>
        <v>0</v>
      </c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</row>
    <row r="1001" spans="1:37" ht="13.5" thickTop="1">
      <c r="A1001" s="5"/>
      <c r="B1001" s="16"/>
      <c r="D1001" s="299" t="s">
        <v>694</v>
      </c>
      <c r="E1001" s="203"/>
      <c r="F1001" s="203"/>
      <c r="G1001" s="203"/>
      <c r="H1001" s="8"/>
      <c r="I1001" s="151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</row>
    <row r="1002" spans="1:37">
      <c r="A1002" s="5"/>
      <c r="B1002" s="54" t="s">
        <v>695</v>
      </c>
      <c r="D1002" s="203" t="s">
        <v>696</v>
      </c>
      <c r="E1002" s="284">
        <v>2178802990.8000002</v>
      </c>
      <c r="F1002" s="203">
        <v>2178802990.8000002</v>
      </c>
      <c r="G1002" s="203">
        <v>2117810824.8</v>
      </c>
      <c r="H1002" s="150">
        <f t="shared" ref="H1002:H1018" si="43">+F1002-G1002</f>
        <v>60992166.000000238</v>
      </c>
      <c r="I1002" s="151">
        <f t="shared" ref="I1002:I1013" si="44">+H1002/G1002</f>
        <v>2.8799628978079365E-2</v>
      </c>
      <c r="J1002" s="16"/>
      <c r="K1002" s="61"/>
      <c r="L1002" s="16"/>
      <c r="M1002" s="16"/>
      <c r="N1002" s="16"/>
      <c r="O1002" s="16"/>
      <c r="P1002" s="16"/>
      <c r="Q1002" s="16"/>
      <c r="R1002" s="16"/>
      <c r="S1002" s="16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</row>
    <row r="1003" spans="1:37">
      <c r="A1003" s="5"/>
      <c r="B1003" s="54" t="s">
        <v>697</v>
      </c>
      <c r="D1003" s="203" t="s">
        <v>698</v>
      </c>
      <c r="E1003" s="284">
        <v>36338100</v>
      </c>
      <c r="F1003" s="203">
        <v>36338100</v>
      </c>
      <c r="G1003" s="203">
        <v>36338100</v>
      </c>
      <c r="H1003" s="150">
        <f t="shared" si="43"/>
        <v>0</v>
      </c>
      <c r="I1003" s="151">
        <f t="shared" si="44"/>
        <v>0</v>
      </c>
      <c r="J1003" s="16"/>
      <c r="K1003" s="61"/>
      <c r="L1003" s="16"/>
      <c r="M1003" s="16"/>
      <c r="N1003" s="16"/>
      <c r="O1003" s="16"/>
      <c r="P1003" s="16"/>
      <c r="Q1003" s="16"/>
      <c r="R1003" s="16"/>
      <c r="S1003" s="16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</row>
    <row r="1004" spans="1:37">
      <c r="A1004" s="5"/>
      <c r="B1004" s="54" t="s">
        <v>699</v>
      </c>
      <c r="D1004" s="203" t="s">
        <v>700</v>
      </c>
      <c r="E1004" s="284">
        <v>18660880</v>
      </c>
      <c r="F1004" s="203">
        <v>18660880</v>
      </c>
      <c r="G1004" s="203">
        <v>18660880</v>
      </c>
      <c r="H1004" s="150">
        <f t="shared" si="43"/>
        <v>0</v>
      </c>
      <c r="I1004" s="151">
        <f t="shared" si="44"/>
        <v>0</v>
      </c>
      <c r="J1004" s="16"/>
      <c r="K1004" s="61"/>
      <c r="L1004" s="16"/>
      <c r="M1004" s="16"/>
      <c r="N1004" s="16"/>
      <c r="O1004" s="16"/>
      <c r="P1004" s="16"/>
      <c r="Q1004" s="16"/>
      <c r="R1004" s="16"/>
      <c r="S1004" s="16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</row>
    <row r="1005" spans="1:37">
      <c r="A1005" s="5"/>
      <c r="B1005" s="54" t="s">
        <v>701</v>
      </c>
      <c r="D1005" s="203" t="s">
        <v>702</v>
      </c>
      <c r="E1005" s="284">
        <v>35096920</v>
      </c>
      <c r="F1005" s="203">
        <v>35096920</v>
      </c>
      <c r="G1005" s="203">
        <v>35096920</v>
      </c>
      <c r="H1005" s="150">
        <f t="shared" si="43"/>
        <v>0</v>
      </c>
      <c r="I1005" s="151">
        <f t="shared" si="44"/>
        <v>0</v>
      </c>
      <c r="J1005" s="16"/>
      <c r="K1005" s="61"/>
      <c r="L1005" s="16"/>
      <c r="M1005" s="16"/>
      <c r="N1005" s="16"/>
      <c r="O1005" s="16"/>
      <c r="P1005" s="16"/>
      <c r="Q1005" s="16"/>
      <c r="R1005" s="16"/>
      <c r="S1005" s="16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</row>
    <row r="1006" spans="1:37">
      <c r="A1006" s="5"/>
      <c r="B1006" s="54" t="s">
        <v>703</v>
      </c>
      <c r="D1006" s="203" t="s">
        <v>704</v>
      </c>
      <c r="E1006" s="284">
        <v>16642000</v>
      </c>
      <c r="F1006" s="203">
        <v>16642000</v>
      </c>
      <c r="G1006" s="203">
        <v>16642000</v>
      </c>
      <c r="H1006" s="150">
        <f t="shared" si="43"/>
        <v>0</v>
      </c>
      <c r="I1006" s="151">
        <f t="shared" si="44"/>
        <v>0</v>
      </c>
      <c r="J1006" s="16"/>
      <c r="K1006" s="61"/>
      <c r="L1006" s="16"/>
      <c r="M1006" s="16"/>
      <c r="N1006" s="16"/>
      <c r="O1006" s="16"/>
      <c r="P1006" s="16"/>
      <c r="Q1006" s="16"/>
      <c r="R1006" s="16"/>
      <c r="S1006" s="16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</row>
    <row r="1007" spans="1:37">
      <c r="A1007" s="5"/>
      <c r="B1007" s="54" t="s">
        <v>705</v>
      </c>
      <c r="D1007" s="203" t="s">
        <v>706</v>
      </c>
      <c r="E1007" s="284">
        <v>15520000</v>
      </c>
      <c r="F1007" s="203">
        <v>15520000</v>
      </c>
      <c r="G1007" s="203">
        <v>15520000</v>
      </c>
      <c r="H1007" s="150">
        <f t="shared" si="43"/>
        <v>0</v>
      </c>
      <c r="I1007" s="151">
        <f t="shared" si="44"/>
        <v>0</v>
      </c>
      <c r="J1007" s="16"/>
      <c r="K1007" s="61"/>
      <c r="L1007" s="16"/>
      <c r="M1007" s="16"/>
      <c r="N1007" s="16"/>
      <c r="O1007" s="16"/>
      <c r="P1007" s="16"/>
      <c r="Q1007" s="16"/>
      <c r="R1007" s="16"/>
      <c r="S1007" s="16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</row>
    <row r="1008" spans="1:37">
      <c r="A1008" s="5"/>
      <c r="B1008" s="54" t="s">
        <v>707</v>
      </c>
      <c r="D1008" s="203" t="s">
        <v>708</v>
      </c>
      <c r="E1008" s="284">
        <v>2500000</v>
      </c>
      <c r="F1008" s="203">
        <v>2500000</v>
      </c>
      <c r="G1008" s="203">
        <v>2500000</v>
      </c>
      <c r="H1008" s="150">
        <f t="shared" si="43"/>
        <v>0</v>
      </c>
      <c r="I1008" s="151">
        <f t="shared" si="44"/>
        <v>0</v>
      </c>
      <c r="J1008" s="16"/>
      <c r="K1008" s="61"/>
      <c r="L1008" s="16"/>
      <c r="M1008" s="16"/>
      <c r="N1008" s="16"/>
      <c r="O1008" s="16"/>
      <c r="P1008" s="16"/>
      <c r="Q1008" s="16"/>
      <c r="R1008" s="16"/>
      <c r="S1008" s="16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</row>
    <row r="1009" spans="1:34">
      <c r="A1009" s="5"/>
      <c r="B1009" s="54" t="s">
        <v>709</v>
      </c>
      <c r="D1009" s="203" t="s">
        <v>710</v>
      </c>
      <c r="E1009" s="284">
        <v>128777649</v>
      </c>
      <c r="F1009" s="203">
        <v>128777649</v>
      </c>
      <c r="G1009" s="203">
        <v>128777649</v>
      </c>
      <c r="H1009" s="150">
        <f t="shared" si="43"/>
        <v>0</v>
      </c>
      <c r="I1009" s="151">
        <f t="shared" si="44"/>
        <v>0</v>
      </c>
      <c r="J1009" s="16"/>
      <c r="K1009" s="61"/>
      <c r="L1009" s="16"/>
      <c r="M1009" s="16"/>
      <c r="N1009" s="16"/>
      <c r="O1009" s="16"/>
      <c r="P1009" s="16"/>
      <c r="Q1009" s="16"/>
      <c r="R1009" s="16"/>
      <c r="S1009" s="16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</row>
    <row r="1010" spans="1:34">
      <c r="A1010" s="5"/>
      <c r="B1010" s="54" t="s">
        <v>711</v>
      </c>
      <c r="D1010" s="203" t="s">
        <v>712</v>
      </c>
      <c r="E1010" s="284">
        <v>71535000</v>
      </c>
      <c r="F1010" s="203">
        <v>71535000</v>
      </c>
      <c r="G1010" s="203">
        <v>71535000</v>
      </c>
      <c r="H1010" s="150">
        <f t="shared" si="43"/>
        <v>0</v>
      </c>
      <c r="I1010" s="151">
        <f t="shared" si="44"/>
        <v>0</v>
      </c>
      <c r="J1010" s="16"/>
      <c r="K1010" s="61"/>
      <c r="L1010" s="16"/>
      <c r="M1010" s="16"/>
      <c r="N1010" s="16"/>
      <c r="O1010" s="16"/>
      <c r="P1010" s="16"/>
      <c r="Q1010" s="16"/>
      <c r="R1010" s="16"/>
      <c r="S1010" s="16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</row>
    <row r="1011" spans="1:34">
      <c r="A1011" s="5"/>
      <c r="B1011" s="54" t="s">
        <v>713</v>
      </c>
      <c r="D1011" s="203" t="s">
        <v>714</v>
      </c>
      <c r="E1011" s="284">
        <v>168886950</v>
      </c>
      <c r="F1011" s="203">
        <v>168886950</v>
      </c>
      <c r="G1011" s="203">
        <v>168886950</v>
      </c>
      <c r="H1011" s="150">
        <f t="shared" si="43"/>
        <v>0</v>
      </c>
      <c r="I1011" s="151">
        <f t="shared" si="44"/>
        <v>0</v>
      </c>
      <c r="J1011" s="16"/>
      <c r="K1011" s="61"/>
      <c r="L1011" s="16"/>
      <c r="M1011" s="16"/>
      <c r="N1011" s="16"/>
      <c r="O1011" s="16"/>
      <c r="P1011" s="16"/>
      <c r="Q1011" s="16"/>
      <c r="R1011" s="16"/>
      <c r="S1011" s="16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</row>
    <row r="1012" spans="1:34">
      <c r="A1012" s="5"/>
      <c r="B1012" s="54" t="s">
        <v>715</v>
      </c>
      <c r="D1012" s="203" t="s">
        <v>716</v>
      </c>
      <c r="E1012" s="284">
        <v>23978355</v>
      </c>
      <c r="F1012" s="203">
        <v>23978355</v>
      </c>
      <c r="G1012" s="203">
        <v>23978355</v>
      </c>
      <c r="H1012" s="150">
        <f t="shared" si="43"/>
        <v>0</v>
      </c>
      <c r="I1012" s="151">
        <v>0</v>
      </c>
      <c r="J1012" s="16"/>
      <c r="K1012" s="61"/>
      <c r="L1012" s="16"/>
      <c r="M1012" s="16"/>
      <c r="N1012" s="16"/>
      <c r="O1012" s="16"/>
      <c r="P1012" s="16"/>
      <c r="Q1012" s="16"/>
      <c r="R1012" s="16"/>
      <c r="S1012" s="16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</row>
    <row r="1013" spans="1:34" ht="12" customHeight="1">
      <c r="A1013" s="5"/>
      <c r="B1013" s="54" t="s">
        <v>717</v>
      </c>
      <c r="D1013" s="16" t="s">
        <v>718</v>
      </c>
      <c r="E1013" s="66">
        <v>35000000</v>
      </c>
      <c r="F1013" s="16">
        <v>35000000</v>
      </c>
      <c r="G1013" s="16">
        <v>35000000</v>
      </c>
      <c r="H1013" s="150">
        <f t="shared" si="43"/>
        <v>0</v>
      </c>
      <c r="I1013" s="151">
        <f t="shared" si="44"/>
        <v>0</v>
      </c>
      <c r="J1013" s="16"/>
      <c r="K1013" s="61"/>
      <c r="L1013" s="16"/>
      <c r="M1013" s="16"/>
      <c r="N1013" s="16"/>
      <c r="O1013" s="16"/>
      <c r="P1013" s="16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</row>
    <row r="1014" spans="1:34">
      <c r="A1014" s="5"/>
      <c r="B1014" s="16"/>
      <c r="D1014" s="16" t="s">
        <v>719</v>
      </c>
      <c r="E1014" s="66"/>
      <c r="F1014" s="16">
        <v>0</v>
      </c>
      <c r="G1014" s="16">
        <v>0</v>
      </c>
      <c r="H1014" s="150">
        <f t="shared" si="43"/>
        <v>0</v>
      </c>
      <c r="I1014" s="151">
        <v>0</v>
      </c>
      <c r="J1014" s="16"/>
      <c r="K1014" s="16"/>
      <c r="L1014" s="16"/>
      <c r="M1014" s="16"/>
      <c r="N1014" s="16"/>
      <c r="O1014" s="16"/>
      <c r="P1014" s="16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</row>
    <row r="1015" spans="1:34">
      <c r="A1015" s="5"/>
      <c r="B1015" s="16"/>
      <c r="D1015" s="16" t="s">
        <v>720</v>
      </c>
      <c r="E1015" s="66"/>
      <c r="F1015" s="16">
        <v>0</v>
      </c>
      <c r="G1015" s="16">
        <v>0</v>
      </c>
      <c r="H1015" s="150">
        <f t="shared" si="43"/>
        <v>0</v>
      </c>
      <c r="I1015" s="151">
        <v>0</v>
      </c>
      <c r="J1015" s="16"/>
      <c r="K1015" s="16"/>
      <c r="L1015" s="16"/>
      <c r="M1015" s="16"/>
      <c r="N1015" s="16"/>
      <c r="O1015" s="16"/>
      <c r="P1015" s="16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</row>
    <row r="1016" spans="1:34">
      <c r="A1016" s="5"/>
      <c r="B1016" s="54" t="s">
        <v>721</v>
      </c>
      <c r="D1016" s="16" t="s">
        <v>722</v>
      </c>
      <c r="E1016" s="66">
        <v>381842218</v>
      </c>
      <c r="F1016" s="16">
        <v>382999618</v>
      </c>
      <c r="G1016" s="16">
        <v>322320718</v>
      </c>
      <c r="H1016" s="150">
        <f t="shared" si="43"/>
        <v>60678900</v>
      </c>
      <c r="I1016" s="151">
        <v>0</v>
      </c>
      <c r="J1016" s="16"/>
      <c r="K1016" s="61"/>
      <c r="L1016" s="16"/>
      <c r="M1016" s="16"/>
      <c r="N1016" s="16"/>
      <c r="O1016" s="16"/>
      <c r="P1016" s="16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</row>
    <row r="1017" spans="1:34">
      <c r="A1017" s="5"/>
      <c r="B1017" s="16"/>
      <c r="D1017" s="16" t="s">
        <v>723</v>
      </c>
      <c r="E1017" s="66"/>
      <c r="F1017" s="16">
        <v>0</v>
      </c>
      <c r="G1017" s="16">
        <v>0</v>
      </c>
      <c r="H1017" s="150">
        <f t="shared" si="43"/>
        <v>0</v>
      </c>
      <c r="I1017" s="151">
        <v>0</v>
      </c>
      <c r="J1017" s="16"/>
      <c r="K1017" s="16"/>
      <c r="L1017" s="16"/>
      <c r="M1017" s="16"/>
      <c r="N1017" s="16"/>
      <c r="O1017" s="16"/>
      <c r="P1017" s="16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</row>
    <row r="1018" spans="1:34">
      <c r="A1018" s="5"/>
      <c r="B1018" s="16"/>
      <c r="D1018" s="16" t="s">
        <v>724</v>
      </c>
      <c r="E1018" s="66"/>
      <c r="F1018" s="16">
        <v>0</v>
      </c>
      <c r="G1018" s="16">
        <v>0</v>
      </c>
      <c r="H1018" s="150">
        <f t="shared" si="43"/>
        <v>0</v>
      </c>
      <c r="I1018" s="151">
        <v>0</v>
      </c>
      <c r="J1018" s="16"/>
      <c r="K1018" s="16"/>
      <c r="L1018" s="16"/>
      <c r="M1018" s="16"/>
      <c r="N1018" s="16"/>
      <c r="O1018" s="16"/>
      <c r="P1018" s="16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</row>
    <row r="1019" spans="1:34" hidden="1">
      <c r="A1019" s="5"/>
      <c r="B1019" s="16"/>
      <c r="D1019" s="16"/>
      <c r="E1019" s="16">
        <v>0</v>
      </c>
      <c r="F1019" s="16">
        <v>0</v>
      </c>
      <c r="G1019" s="16">
        <v>0</v>
      </c>
      <c r="H1019" s="150"/>
      <c r="I1019" s="151"/>
      <c r="J1019" s="16"/>
      <c r="K1019" s="16"/>
      <c r="L1019" s="16"/>
      <c r="M1019" s="16"/>
      <c r="N1019" s="16"/>
      <c r="O1019" s="16"/>
      <c r="P1019" s="16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</row>
    <row r="1020" spans="1:34" hidden="1">
      <c r="A1020" s="5"/>
      <c r="B1020" s="16"/>
      <c r="D1020" s="16"/>
      <c r="E1020" s="16">
        <v>0</v>
      </c>
      <c r="F1020" s="16">
        <v>0</v>
      </c>
      <c r="G1020" s="16">
        <v>0</v>
      </c>
      <c r="H1020" s="150"/>
      <c r="I1020" s="151"/>
      <c r="J1020" s="16"/>
      <c r="K1020" s="16"/>
      <c r="L1020" s="16"/>
      <c r="M1020" s="16"/>
      <c r="N1020" s="16"/>
      <c r="O1020" s="16"/>
      <c r="P1020" s="16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</row>
    <row r="1021" spans="1:34" hidden="1">
      <c r="A1021" s="5"/>
      <c r="B1021" s="16"/>
      <c r="D1021" s="16"/>
      <c r="E1021" s="16">
        <v>0</v>
      </c>
      <c r="F1021" s="16">
        <v>0</v>
      </c>
      <c r="G1021" s="16">
        <v>0</v>
      </c>
      <c r="H1021" s="150"/>
      <c r="I1021" s="151"/>
      <c r="J1021" s="16"/>
      <c r="K1021" s="16"/>
      <c r="L1021" s="16"/>
      <c r="M1021" s="16"/>
      <c r="N1021" s="16"/>
      <c r="O1021" s="16"/>
      <c r="P1021" s="16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</row>
    <row r="1022" spans="1:34" hidden="1">
      <c r="A1022" s="5"/>
      <c r="B1022" s="16"/>
      <c r="D1022" s="16"/>
      <c r="E1022" s="16">
        <v>0</v>
      </c>
      <c r="F1022" s="16">
        <v>0</v>
      </c>
      <c r="G1022" s="16">
        <v>0</v>
      </c>
      <c r="H1022" s="150"/>
      <c r="I1022" s="151"/>
      <c r="J1022" s="16"/>
      <c r="K1022" s="16"/>
      <c r="L1022" s="16"/>
      <c r="M1022" s="16"/>
      <c r="N1022" s="16"/>
      <c r="O1022" s="16"/>
      <c r="P1022" s="16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</row>
    <row r="1023" spans="1:34" hidden="1">
      <c r="A1023" s="5"/>
      <c r="B1023" s="16"/>
      <c r="D1023" s="16"/>
      <c r="E1023" s="16">
        <v>0</v>
      </c>
      <c r="F1023" s="16">
        <v>0</v>
      </c>
      <c r="G1023" s="16">
        <v>0</v>
      </c>
      <c r="H1023" s="150"/>
      <c r="I1023" s="151"/>
      <c r="J1023" s="16"/>
      <c r="K1023" s="16"/>
      <c r="L1023" s="16"/>
      <c r="M1023" s="16"/>
      <c r="N1023" s="16"/>
      <c r="O1023" s="16"/>
      <c r="P1023" s="16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</row>
    <row r="1024" spans="1:34" hidden="1">
      <c r="A1024" s="5"/>
      <c r="B1024" s="16"/>
      <c r="D1024" s="16"/>
      <c r="E1024" s="16">
        <v>0</v>
      </c>
      <c r="F1024" s="16">
        <v>0</v>
      </c>
      <c r="G1024" s="16">
        <v>0</v>
      </c>
      <c r="H1024" s="150"/>
      <c r="I1024" s="151"/>
      <c r="J1024" s="16"/>
      <c r="K1024" s="16"/>
      <c r="L1024" s="16"/>
      <c r="M1024" s="16"/>
      <c r="N1024" s="16"/>
      <c r="O1024" s="16"/>
      <c r="P1024" s="16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</row>
    <row r="1025" spans="1:37" hidden="1">
      <c r="A1025" s="5"/>
      <c r="B1025" s="16"/>
      <c r="D1025" s="16"/>
      <c r="E1025" s="16">
        <v>0</v>
      </c>
      <c r="F1025" s="16">
        <v>0</v>
      </c>
      <c r="G1025" s="16">
        <v>0</v>
      </c>
      <c r="H1025" s="150"/>
      <c r="I1025" s="151"/>
      <c r="J1025" s="16"/>
      <c r="K1025" s="16"/>
      <c r="L1025" s="16"/>
      <c r="M1025" s="16"/>
      <c r="N1025" s="16"/>
      <c r="O1025" s="16"/>
      <c r="P1025" s="16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</row>
    <row r="1026" spans="1:37" hidden="1">
      <c r="A1026" s="5"/>
      <c r="B1026" s="16"/>
      <c r="D1026" s="16"/>
      <c r="E1026" s="16"/>
      <c r="F1026" s="16"/>
      <c r="G1026" s="16"/>
      <c r="H1026" s="150"/>
      <c r="I1026" s="151"/>
      <c r="J1026" s="16"/>
      <c r="K1026" s="16"/>
      <c r="L1026" s="16"/>
      <c r="M1026" s="16"/>
      <c r="N1026" s="16"/>
      <c r="O1026" s="16"/>
      <c r="P1026" s="16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</row>
    <row r="1027" spans="1:37" ht="13.5" thickBot="1">
      <c r="A1027" s="5"/>
      <c r="D1027" s="27" t="s">
        <v>183</v>
      </c>
      <c r="E1027" s="69">
        <f>SUM(E1002:E1026)</f>
        <v>3113581062.8000002</v>
      </c>
      <c r="F1027" s="69">
        <f>SUM(F1002:F1026)</f>
        <v>3114738462.8000002</v>
      </c>
      <c r="G1027" s="69">
        <f>SUM(G1002:G1026)</f>
        <v>2993067396.8000002</v>
      </c>
      <c r="H1027" s="152">
        <f>+E1027-G1027</f>
        <v>120513666</v>
      </c>
      <c r="I1027" s="153">
        <f>+H1027/G1027</f>
        <v>4.0264267396332487E-2</v>
      </c>
      <c r="J1027" s="16"/>
      <c r="L1027" s="16"/>
      <c r="M1027" s="16"/>
      <c r="N1027" s="16"/>
      <c r="O1027" s="16"/>
      <c r="P1027" s="16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</row>
    <row r="1028" spans="1:37" ht="13.5" thickTop="1">
      <c r="A1028" s="5"/>
      <c r="D1028" s="16"/>
      <c r="E1028" s="16"/>
      <c r="F1028" s="16"/>
      <c r="G1028" s="16"/>
      <c r="H1028" s="8"/>
      <c r="I1028" s="151"/>
      <c r="J1028" s="16"/>
      <c r="L1028" s="16"/>
      <c r="M1028" s="16"/>
      <c r="N1028" s="16"/>
      <c r="O1028" s="16"/>
      <c r="P1028" s="16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</row>
    <row r="1029" spans="1:37">
      <c r="A1029" s="5"/>
      <c r="D1029" s="172" t="s">
        <v>725</v>
      </c>
      <c r="E1029" s="16"/>
      <c r="F1029" s="16"/>
      <c r="G1029" s="16"/>
      <c r="H1029" s="8"/>
      <c r="I1029" s="151"/>
      <c r="J1029" s="16"/>
      <c r="L1029" s="16"/>
      <c r="M1029" s="16"/>
      <c r="N1029" s="16"/>
      <c r="O1029" s="16"/>
      <c r="P1029" s="16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</row>
    <row r="1030" spans="1:37">
      <c r="A1030" s="5"/>
      <c r="B1030" s="54" t="s">
        <v>726</v>
      </c>
      <c r="D1030" s="16" t="s">
        <v>725</v>
      </c>
      <c r="E1030" s="66">
        <v>1516900000</v>
      </c>
      <c r="F1030" s="16">
        <v>1516900000</v>
      </c>
      <c r="G1030" s="16">
        <v>600000000</v>
      </c>
      <c r="H1030" s="150">
        <f>+F1030-+G1030</f>
        <v>916900000</v>
      </c>
      <c r="I1030" s="151">
        <f>+H1030/G1030</f>
        <v>1.5281666666666667</v>
      </c>
      <c r="J1030" s="16"/>
      <c r="K1030" s="61"/>
      <c r="L1030" s="16"/>
      <c r="M1030" s="16"/>
      <c r="N1030" s="16"/>
      <c r="O1030" s="16"/>
      <c r="P1030" s="16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</row>
    <row r="1031" spans="1:37">
      <c r="A1031" s="5"/>
      <c r="D1031" s="16"/>
      <c r="E1031" s="16"/>
      <c r="F1031" s="16"/>
      <c r="G1031" s="16"/>
      <c r="H1031" s="8"/>
      <c r="I1031" s="151"/>
      <c r="J1031" s="16"/>
      <c r="L1031" s="16"/>
      <c r="M1031" s="16"/>
      <c r="N1031" s="16"/>
      <c r="O1031" s="16"/>
      <c r="P1031" s="16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</row>
    <row r="1032" spans="1:37" ht="13.5" thickBot="1">
      <c r="A1032" s="5"/>
      <c r="D1032" s="27" t="s">
        <v>183</v>
      </c>
      <c r="E1032" s="69">
        <f>SUM(E1030:E1031)</f>
        <v>1516900000</v>
      </c>
      <c r="F1032" s="69">
        <f>SUM(F1030:F1031)</f>
        <v>1516900000</v>
      </c>
      <c r="G1032" s="69">
        <f>SUM(G1030:G1031)</f>
        <v>600000000</v>
      </c>
      <c r="H1032" s="70">
        <f>SUM(H1030:H1031)</f>
        <v>916900000</v>
      </c>
      <c r="I1032" s="153">
        <f>+H1032/G1032</f>
        <v>1.5281666666666667</v>
      </c>
      <c r="J1032" s="16"/>
      <c r="L1032" s="16"/>
      <c r="M1032" s="16"/>
      <c r="N1032" s="16"/>
      <c r="O1032" s="16"/>
      <c r="P1032" s="16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</row>
    <row r="1033" spans="1:37" ht="13.5" thickTop="1">
      <c r="A1033" s="5"/>
      <c r="D1033" s="16"/>
      <c r="I1033" s="151"/>
      <c r="J1033" s="16"/>
      <c r="L1033" s="16"/>
      <c r="M1033" s="16"/>
      <c r="N1033" s="16"/>
      <c r="O1033" s="16"/>
      <c r="P1033" s="16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</row>
    <row r="1034" spans="1:37">
      <c r="A1034" s="5"/>
      <c r="D1034" s="16"/>
      <c r="I1034" s="151"/>
      <c r="J1034" s="16"/>
      <c r="L1034" s="16"/>
      <c r="M1034" s="16"/>
      <c r="N1034" s="16"/>
      <c r="O1034" s="16"/>
      <c r="P1034" s="16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</row>
    <row r="1035" spans="1:37" ht="14">
      <c r="A1035" s="154" t="s">
        <v>132</v>
      </c>
      <c r="B1035" s="155"/>
      <c r="C1035" s="155"/>
      <c r="D1035" s="148" t="s">
        <v>727</v>
      </c>
      <c r="E1035" s="20" t="str">
        <f>E55</f>
        <v>30 April 2017</v>
      </c>
      <c r="F1035" s="20" t="str">
        <f>F55</f>
        <v>31 Maret 2017</v>
      </c>
      <c r="G1035" s="20" t="str">
        <f>G55</f>
        <v>30 April 2016</v>
      </c>
      <c r="H1035" s="149" t="s">
        <v>56</v>
      </c>
      <c r="I1035" s="149" t="s">
        <v>9</v>
      </c>
      <c r="J1035" s="16"/>
      <c r="L1035" s="16"/>
      <c r="M1035" s="16"/>
      <c r="N1035" s="16"/>
      <c r="O1035" s="16"/>
      <c r="P1035" s="16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</row>
    <row r="1036" spans="1:37">
      <c r="A1036" s="5"/>
      <c r="D1036" s="16"/>
      <c r="I1036" s="151"/>
      <c r="J1036" s="16"/>
      <c r="L1036" s="16"/>
      <c r="M1036" s="16"/>
      <c r="N1036" s="16"/>
      <c r="O1036" s="16"/>
      <c r="P1036" s="16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</row>
    <row r="1037" spans="1:37">
      <c r="A1037" s="5"/>
      <c r="D1037" s="72"/>
      <c r="E1037" s="300"/>
      <c r="F1037" s="156"/>
      <c r="G1037" s="156"/>
      <c r="H1037" s="8"/>
      <c r="I1037" s="151"/>
      <c r="J1037" s="16"/>
      <c r="L1037" s="16"/>
      <c r="M1037" s="16"/>
      <c r="N1037" s="16"/>
      <c r="O1037" s="16"/>
      <c r="P1037" s="16"/>
      <c r="Q1037" s="16"/>
      <c r="R1037" s="16"/>
      <c r="S1037" s="16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</row>
    <row r="1038" spans="1:37">
      <c r="A1038" s="5"/>
      <c r="D1038" s="172" t="s">
        <v>686</v>
      </c>
      <c r="E1038" s="16"/>
      <c r="F1038" s="16"/>
      <c r="G1038" s="16"/>
      <c r="H1038" s="8"/>
      <c r="I1038" s="151"/>
      <c r="J1038" s="16"/>
      <c r="L1038" s="16"/>
      <c r="M1038" s="16"/>
      <c r="N1038" s="16"/>
      <c r="O1038" s="16"/>
      <c r="P1038" s="16"/>
      <c r="Q1038" s="16"/>
      <c r="R1038" s="16"/>
      <c r="S1038" s="16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</row>
    <row r="1039" spans="1:37">
      <c r="A1039" s="5"/>
      <c r="B1039" s="54" t="s">
        <v>728</v>
      </c>
      <c r="D1039" s="16" t="s">
        <v>688</v>
      </c>
      <c r="E1039" s="66">
        <v>3771767101.4499998</v>
      </c>
      <c r="F1039" s="16">
        <v>3683162716.4499998</v>
      </c>
      <c r="G1039" s="277">
        <v>2686964231.4499998</v>
      </c>
      <c r="H1039" s="150">
        <f>+F1039-G1039</f>
        <v>996198485</v>
      </c>
      <c r="I1039" s="151">
        <f>+H1039/G1039</f>
        <v>0.37075241766892036</v>
      </c>
      <c r="J1039" s="16"/>
      <c r="K1039" s="61"/>
      <c r="L1039" s="16"/>
      <c r="M1039" s="16"/>
      <c r="N1039" s="16"/>
      <c r="O1039" s="16"/>
      <c r="P1039" s="16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</row>
    <row r="1040" spans="1:37">
      <c r="A1040" s="5"/>
      <c r="D1040" s="203"/>
      <c r="E1040" s="301"/>
      <c r="F1040" s="301"/>
      <c r="G1040" s="16"/>
      <c r="H1040" s="8"/>
      <c r="I1040" s="151"/>
      <c r="J1040" s="16"/>
      <c r="L1040" s="16"/>
      <c r="M1040" s="16"/>
      <c r="N1040" s="16"/>
      <c r="O1040" s="16"/>
      <c r="P1040" s="16"/>
      <c r="Q1040" s="16"/>
      <c r="R1040" s="16"/>
      <c r="S1040" s="16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</row>
    <row r="1041" spans="1:37" ht="13.5" thickBot="1">
      <c r="A1041" s="5"/>
      <c r="D1041" s="209" t="s">
        <v>183</v>
      </c>
      <c r="E1041" s="213">
        <f>E1039</f>
        <v>3771767101.4499998</v>
      </c>
      <c r="F1041" s="302">
        <f>F1039</f>
        <v>3683162716.4499998</v>
      </c>
      <c r="G1041" s="69">
        <f>+G1039</f>
        <v>2686964231.4499998</v>
      </c>
      <c r="H1041" s="152">
        <f>+E1041-G1041</f>
        <v>1084802870</v>
      </c>
      <c r="I1041" s="153">
        <f>+H1041/G1041</f>
        <v>0.40372806504186115</v>
      </c>
      <c r="J1041" s="16"/>
      <c r="L1041" s="16"/>
      <c r="M1041" s="16"/>
      <c r="N1041" s="16"/>
      <c r="O1041" s="16"/>
      <c r="P1041" s="16"/>
      <c r="Q1041" s="16"/>
      <c r="R1041" s="16"/>
      <c r="S1041" s="16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</row>
    <row r="1042" spans="1:37" ht="13.5" thickTop="1">
      <c r="A1042" s="5"/>
      <c r="D1042" s="299" t="s">
        <v>689</v>
      </c>
      <c r="E1042" s="301"/>
      <c r="F1042" s="301"/>
      <c r="G1042" s="16"/>
      <c r="H1042" s="8"/>
      <c r="I1042" s="151"/>
      <c r="J1042" s="16"/>
      <c r="L1042" s="16"/>
      <c r="M1042" s="16"/>
      <c r="N1042" s="16"/>
      <c r="O1042" s="16"/>
      <c r="P1042" s="16"/>
      <c r="Q1042" s="16"/>
      <c r="R1042" s="16"/>
      <c r="S1042" s="16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</row>
    <row r="1043" spans="1:37">
      <c r="A1043" s="5"/>
      <c r="B1043" s="54" t="s">
        <v>729</v>
      </c>
      <c r="D1043" s="203" t="s">
        <v>691</v>
      </c>
      <c r="E1043" s="284">
        <v>2558846664.9299998</v>
      </c>
      <c r="F1043" s="203">
        <v>2518686664.9299998</v>
      </c>
      <c r="G1043" s="277">
        <v>2072058330.9300001</v>
      </c>
      <c r="H1043" s="150">
        <f>+F1043-G1043</f>
        <v>446628333.99999976</v>
      </c>
      <c r="I1043" s="151">
        <f>+H1043/G1043</f>
        <v>0.21554814714098322</v>
      </c>
      <c r="J1043" s="16"/>
      <c r="K1043" s="61"/>
      <c r="L1043" s="16"/>
      <c r="M1043" s="16"/>
      <c r="N1043" s="16"/>
      <c r="O1043" s="16"/>
      <c r="P1043" s="16"/>
      <c r="Q1043" s="16"/>
      <c r="R1043" s="16"/>
      <c r="S1043" s="16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</row>
    <row r="1044" spans="1:37">
      <c r="A1044" s="5"/>
      <c r="B1044" s="54" t="s">
        <v>730</v>
      </c>
      <c r="D1044" s="203" t="s">
        <v>693</v>
      </c>
      <c r="E1044" s="284">
        <v>13950000</v>
      </c>
      <c r="F1044" s="203">
        <v>13950000</v>
      </c>
      <c r="G1044" s="277">
        <v>12322500</v>
      </c>
      <c r="H1044" s="150">
        <f>+F1044-G1044</f>
        <v>1627500</v>
      </c>
      <c r="I1044" s="151">
        <f>+H1044/G1044</f>
        <v>0.13207547169811321</v>
      </c>
      <c r="J1044" s="16"/>
      <c r="K1044" s="61"/>
      <c r="L1044" s="16"/>
      <c r="M1044" s="16"/>
      <c r="N1044" s="16"/>
      <c r="O1044" s="16"/>
      <c r="P1044" s="16"/>
      <c r="Q1044" s="16"/>
      <c r="R1044" s="16"/>
      <c r="S1044" s="16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</row>
    <row r="1045" spans="1:37">
      <c r="A1045" s="5"/>
      <c r="D1045" s="203"/>
      <c r="E1045" s="301"/>
      <c r="F1045" s="301"/>
      <c r="G1045" s="16"/>
      <c r="H1045" s="8"/>
      <c r="I1045" s="151"/>
      <c r="J1045" s="16"/>
      <c r="L1045" s="16"/>
      <c r="M1045" s="16"/>
      <c r="N1045" s="16"/>
      <c r="O1045" s="16"/>
      <c r="P1045" s="16"/>
      <c r="Q1045" s="16"/>
      <c r="R1045" s="16"/>
      <c r="S1045" s="16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</row>
    <row r="1046" spans="1:37" ht="13.5" thickBot="1">
      <c r="A1046" s="5"/>
      <c r="D1046" s="209" t="s">
        <v>183</v>
      </c>
      <c r="E1046" s="213">
        <f>SUM(E1043:E1045)</f>
        <v>2572796664.9299998</v>
      </c>
      <c r="F1046" s="302">
        <f>SUM(F1043:F1045)</f>
        <v>2532636664.9299998</v>
      </c>
      <c r="G1046" s="69">
        <f>SUM(G1043:G1045)</f>
        <v>2084380830.9300001</v>
      </c>
      <c r="H1046" s="152">
        <f>+E1046-G1046</f>
        <v>488415833.99999976</v>
      </c>
      <c r="I1046" s="153">
        <f>+H1046/G1046</f>
        <v>0.23432178359752065</v>
      </c>
      <c r="J1046" s="16"/>
      <c r="L1046" s="16"/>
      <c r="M1046" s="16"/>
      <c r="N1046" s="16"/>
      <c r="O1046" s="16"/>
      <c r="P1046" s="16"/>
      <c r="Q1046" s="16"/>
      <c r="R1046" s="16"/>
      <c r="S1046" s="16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</row>
    <row r="1047" spans="1:37" ht="13.5" thickTop="1">
      <c r="A1047" s="5"/>
      <c r="D1047" s="299" t="s">
        <v>694</v>
      </c>
      <c r="E1047" s="301"/>
      <c r="F1047" s="301"/>
      <c r="G1047" s="16"/>
      <c r="H1047" s="8"/>
      <c r="I1047" s="151"/>
      <c r="J1047" s="16"/>
      <c r="L1047" s="16"/>
      <c r="M1047" s="16"/>
      <c r="N1047" s="16"/>
      <c r="O1047" s="16"/>
      <c r="P1047" s="16"/>
      <c r="Q1047" s="16"/>
      <c r="R1047" s="16"/>
      <c r="S1047" s="16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</row>
    <row r="1048" spans="1:37">
      <c r="A1048" s="5"/>
      <c r="B1048" s="54" t="s">
        <v>731</v>
      </c>
      <c r="D1048" s="203" t="s">
        <v>696</v>
      </c>
      <c r="E1048" s="284">
        <v>1727700098.6800001</v>
      </c>
      <c r="F1048" s="203">
        <v>1726657331.6800001</v>
      </c>
      <c r="G1048" s="111">
        <v>1510815539.6800001</v>
      </c>
      <c r="H1048" s="150">
        <f t="shared" ref="H1048:H1065" si="45">+F1048-G1048</f>
        <v>215841792</v>
      </c>
      <c r="I1048" s="151">
        <f t="shared" ref="I1048:I1063" si="46">+H1048/G1048</f>
        <v>0.14286442410151315</v>
      </c>
      <c r="J1048" s="16"/>
      <c r="K1048" s="61"/>
      <c r="L1048" s="16"/>
      <c r="M1048" s="16"/>
      <c r="N1048" s="16"/>
      <c r="O1048" s="16"/>
      <c r="P1048" s="16"/>
      <c r="Q1048" s="16"/>
      <c r="R1048" s="16"/>
      <c r="S1048" s="16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</row>
    <row r="1049" spans="1:37">
      <c r="A1049" s="5"/>
      <c r="B1049" s="54" t="s">
        <v>732</v>
      </c>
      <c r="D1049" s="203" t="s">
        <v>698</v>
      </c>
      <c r="E1049" s="284">
        <v>34510005.990000002</v>
      </c>
      <c r="F1049" s="203">
        <v>34160020.990000002</v>
      </c>
      <c r="G1049" s="111">
        <v>30310185.989999998</v>
      </c>
      <c r="H1049" s="150">
        <f t="shared" si="45"/>
        <v>3849835.0000000037</v>
      </c>
      <c r="I1049" s="151">
        <f t="shared" si="46"/>
        <v>0.12701456207725514</v>
      </c>
      <c r="J1049" s="16"/>
      <c r="K1049" s="61"/>
      <c r="L1049" s="16"/>
      <c r="M1049" s="16"/>
      <c r="N1049" s="16"/>
      <c r="O1049" s="16"/>
      <c r="P1049" s="16"/>
      <c r="Q1049" s="16"/>
      <c r="R1049" s="16"/>
      <c r="S1049" s="16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</row>
    <row r="1050" spans="1:37">
      <c r="A1050" s="5"/>
      <c r="B1050" s="54" t="s">
        <v>733</v>
      </c>
      <c r="D1050" s="203" t="s">
        <v>700</v>
      </c>
      <c r="E1050" s="284">
        <v>18660880</v>
      </c>
      <c r="F1050" s="203">
        <v>18660880</v>
      </c>
      <c r="G1050" s="111">
        <v>18660880</v>
      </c>
      <c r="H1050" s="150">
        <f t="shared" si="45"/>
        <v>0</v>
      </c>
      <c r="I1050" s="151">
        <f t="shared" si="46"/>
        <v>0</v>
      </c>
      <c r="J1050" s="16"/>
      <c r="K1050" s="61"/>
      <c r="L1050" s="16"/>
      <c r="M1050" s="16"/>
      <c r="N1050" s="16"/>
      <c r="O1050" s="16"/>
      <c r="P1050" s="16"/>
      <c r="Q1050" s="16"/>
      <c r="R1050" s="16"/>
      <c r="S1050" s="16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</row>
    <row r="1051" spans="1:37">
      <c r="A1051" s="5"/>
      <c r="B1051" s="54" t="s">
        <v>734</v>
      </c>
      <c r="D1051" s="203" t="s">
        <v>702</v>
      </c>
      <c r="E1051" s="284">
        <v>34104196.159999996</v>
      </c>
      <c r="F1051" s="203">
        <v>34030739.159999996</v>
      </c>
      <c r="G1051" s="111">
        <v>32391343.16</v>
      </c>
      <c r="H1051" s="150">
        <f t="shared" si="45"/>
        <v>1639395.9999999963</v>
      </c>
      <c r="I1051" s="151">
        <f t="shared" si="46"/>
        <v>5.0612164858433006E-2</v>
      </c>
      <c r="J1051" s="16"/>
      <c r="K1051" s="61"/>
      <c r="L1051" s="16"/>
      <c r="M1051" s="16"/>
      <c r="N1051" s="16"/>
      <c r="O1051" s="16"/>
      <c r="P1051" s="16"/>
      <c r="Q1051" s="16"/>
      <c r="R1051" s="16"/>
      <c r="S1051" s="16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</row>
    <row r="1052" spans="1:37">
      <c r="A1052" s="5"/>
      <c r="B1052" s="54" t="s">
        <v>735</v>
      </c>
      <c r="D1052" s="203" t="s">
        <v>704</v>
      </c>
      <c r="E1052" s="284">
        <v>16642000.060000001</v>
      </c>
      <c r="F1052" s="203">
        <v>16642000.060000001</v>
      </c>
      <c r="G1052" s="111">
        <v>16642000.060000001</v>
      </c>
      <c r="H1052" s="150">
        <f t="shared" si="45"/>
        <v>0</v>
      </c>
      <c r="I1052" s="151">
        <f t="shared" si="46"/>
        <v>0</v>
      </c>
      <c r="J1052" s="16"/>
      <c r="K1052" s="61"/>
      <c r="L1052" s="16"/>
      <c r="M1052" s="16"/>
      <c r="N1052" s="16"/>
      <c r="O1052" s="16"/>
      <c r="P1052" s="16"/>
      <c r="Q1052" s="16"/>
      <c r="R1052" s="16"/>
      <c r="S1052" s="16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</row>
    <row r="1053" spans="1:37">
      <c r="A1053" s="5"/>
      <c r="B1053" s="54" t="s">
        <v>736</v>
      </c>
      <c r="D1053" s="203" t="s">
        <v>706</v>
      </c>
      <c r="E1053" s="284">
        <v>15520000.210000001</v>
      </c>
      <c r="F1053" s="203">
        <v>15520000.210000001</v>
      </c>
      <c r="G1053" s="111">
        <v>15520000.210000001</v>
      </c>
      <c r="H1053" s="150">
        <f t="shared" si="45"/>
        <v>0</v>
      </c>
      <c r="I1053" s="151">
        <f t="shared" si="46"/>
        <v>0</v>
      </c>
      <c r="J1053" s="16"/>
      <c r="K1053" s="61"/>
      <c r="L1053" s="16"/>
      <c r="M1053" s="16"/>
      <c r="N1053" s="16"/>
      <c r="O1053" s="16"/>
      <c r="P1053" s="16"/>
      <c r="Q1053" s="16"/>
      <c r="R1053" s="16"/>
      <c r="S1053" s="16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</row>
    <row r="1054" spans="1:37">
      <c r="A1054" s="5"/>
      <c r="B1054" s="54" t="s">
        <v>737</v>
      </c>
      <c r="D1054" s="203" t="s">
        <v>708</v>
      </c>
      <c r="E1054" s="284">
        <v>2500000.2000000002</v>
      </c>
      <c r="F1054" s="203">
        <v>2500000.2000000002</v>
      </c>
      <c r="G1054" s="111">
        <v>2500000.2000000002</v>
      </c>
      <c r="H1054" s="150">
        <f t="shared" si="45"/>
        <v>0</v>
      </c>
      <c r="I1054" s="151">
        <f t="shared" si="46"/>
        <v>0</v>
      </c>
      <c r="J1054" s="16"/>
      <c r="K1054" s="61"/>
      <c r="L1054" s="16"/>
      <c r="M1054" s="16"/>
      <c r="N1054" s="16"/>
      <c r="O1054" s="16"/>
      <c r="P1054" s="16"/>
      <c r="Q1054" s="16"/>
      <c r="R1054" s="16"/>
      <c r="S1054" s="16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</row>
    <row r="1055" spans="1:37">
      <c r="A1055" s="5"/>
      <c r="B1055" s="54" t="s">
        <v>738</v>
      </c>
      <c r="D1055" s="203" t="s">
        <v>710</v>
      </c>
      <c r="E1055" s="284">
        <v>128777649</v>
      </c>
      <c r="F1055" s="203">
        <v>128777649</v>
      </c>
      <c r="G1055" s="111">
        <v>128777649</v>
      </c>
      <c r="H1055" s="150">
        <f t="shared" si="45"/>
        <v>0</v>
      </c>
      <c r="I1055" s="151">
        <f t="shared" si="46"/>
        <v>0</v>
      </c>
      <c r="J1055" s="16"/>
      <c r="K1055" s="61"/>
      <c r="L1055" s="16"/>
      <c r="M1055" s="16"/>
      <c r="N1055" s="16"/>
      <c r="O1055" s="16"/>
      <c r="P1055" s="16"/>
      <c r="Q1055" s="16"/>
      <c r="R1055" s="16"/>
      <c r="S1055" s="16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</row>
    <row r="1056" spans="1:37">
      <c r="A1056" s="5"/>
      <c r="B1056" s="54" t="s">
        <v>739</v>
      </c>
      <c r="D1056" s="203" t="s">
        <v>712</v>
      </c>
      <c r="E1056" s="284">
        <v>71535000</v>
      </c>
      <c r="F1056" s="203">
        <v>71535000</v>
      </c>
      <c r="G1056" s="111">
        <v>71535000</v>
      </c>
      <c r="H1056" s="150">
        <f t="shared" si="45"/>
        <v>0</v>
      </c>
      <c r="I1056" s="151">
        <f t="shared" si="46"/>
        <v>0</v>
      </c>
      <c r="J1056" s="16"/>
      <c r="K1056" s="61"/>
      <c r="L1056" s="16"/>
      <c r="M1056" s="16"/>
      <c r="N1056" s="16"/>
      <c r="O1056" s="16"/>
      <c r="P1056" s="16"/>
      <c r="Q1056" s="16"/>
      <c r="R1056" s="16"/>
      <c r="S1056" s="16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</row>
    <row r="1057" spans="1:37">
      <c r="A1057" s="5"/>
      <c r="B1057" s="54" t="s">
        <v>740</v>
      </c>
      <c r="D1057" s="203" t="s">
        <v>714</v>
      </c>
      <c r="E1057" s="284">
        <v>166454942.59</v>
      </c>
      <c r="F1057" s="203">
        <v>166140609.59</v>
      </c>
      <c r="G1057" s="111">
        <v>162682946.59</v>
      </c>
      <c r="H1057" s="150">
        <f t="shared" si="45"/>
        <v>3457663</v>
      </c>
      <c r="I1057" s="151">
        <f t="shared" si="46"/>
        <v>2.1253997868099471E-2</v>
      </c>
      <c r="J1057" s="16"/>
      <c r="K1057" s="61"/>
      <c r="L1057" s="16"/>
      <c r="M1057" s="16"/>
      <c r="N1057" s="16"/>
      <c r="O1057" s="16"/>
      <c r="P1057" s="16"/>
      <c r="Q1057" s="16"/>
      <c r="R1057" s="16"/>
      <c r="S1057" s="16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</row>
    <row r="1058" spans="1:37">
      <c r="A1058" s="5"/>
      <c r="D1058" s="203" t="s">
        <v>724</v>
      </c>
      <c r="E1058" s="284"/>
      <c r="F1058" s="203">
        <v>0</v>
      </c>
      <c r="G1058" s="111">
        <v>0</v>
      </c>
      <c r="H1058" s="150">
        <f t="shared" si="45"/>
        <v>0</v>
      </c>
      <c r="I1058" s="151">
        <v>0</v>
      </c>
      <c r="J1058" s="16"/>
      <c r="L1058" s="16"/>
      <c r="M1058" s="16"/>
      <c r="N1058" s="16"/>
      <c r="O1058" s="16"/>
      <c r="P1058" s="16"/>
      <c r="Q1058" s="16"/>
      <c r="R1058" s="16"/>
      <c r="S1058" s="16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</row>
    <row r="1059" spans="1:37">
      <c r="A1059" s="5"/>
      <c r="B1059" s="54" t="s">
        <v>741</v>
      </c>
      <c r="D1059" s="203" t="s">
        <v>716</v>
      </c>
      <c r="E1059" s="284">
        <v>14586851.25</v>
      </c>
      <c r="F1059" s="203">
        <v>14273375.25</v>
      </c>
      <c r="G1059" s="111">
        <v>10049672</v>
      </c>
      <c r="H1059" s="150">
        <f t="shared" si="45"/>
        <v>4223703.25</v>
      </c>
      <c r="I1059" s="151">
        <f t="shared" si="46"/>
        <v>0.4202826967885121</v>
      </c>
      <c r="J1059" s="16"/>
      <c r="K1059" s="61"/>
      <c r="L1059" s="16"/>
      <c r="M1059" s="16"/>
      <c r="N1059" s="16"/>
      <c r="O1059" s="16"/>
      <c r="P1059" s="16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</row>
    <row r="1060" spans="1:37">
      <c r="A1060" s="5"/>
      <c r="B1060" s="54" t="s">
        <v>742</v>
      </c>
      <c r="D1060" s="203" t="s">
        <v>718</v>
      </c>
      <c r="E1060" s="284">
        <v>30124986.66</v>
      </c>
      <c r="F1060" s="203">
        <v>29541653.66</v>
      </c>
      <c r="G1060" s="111">
        <v>23124990.66</v>
      </c>
      <c r="H1060" s="150">
        <f t="shared" si="45"/>
        <v>6416663</v>
      </c>
      <c r="I1060" s="151">
        <f t="shared" si="46"/>
        <v>0.27747743098980349</v>
      </c>
      <c r="J1060" s="16"/>
      <c r="K1060" s="61"/>
      <c r="L1060" s="16"/>
      <c r="M1060" s="16"/>
      <c r="N1060" s="16"/>
      <c r="O1060" s="16"/>
      <c r="P1060" s="16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</row>
    <row r="1061" spans="1:37">
      <c r="A1061" s="5"/>
      <c r="D1061" s="203" t="s">
        <v>719</v>
      </c>
      <c r="E1061" s="284"/>
      <c r="F1061" s="203">
        <v>0</v>
      </c>
      <c r="G1061" s="111">
        <v>0</v>
      </c>
      <c r="H1061" s="150">
        <f t="shared" si="45"/>
        <v>0</v>
      </c>
      <c r="I1061" s="151">
        <v>0</v>
      </c>
      <c r="J1061" s="16"/>
      <c r="L1061" s="16"/>
      <c r="M1061" s="16"/>
      <c r="N1061" s="16"/>
      <c r="O1061" s="16"/>
      <c r="P1061" s="16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</row>
    <row r="1062" spans="1:37">
      <c r="A1062" s="5"/>
      <c r="B1062" s="16"/>
      <c r="D1062" s="203" t="s">
        <v>720</v>
      </c>
      <c r="E1062" s="284"/>
      <c r="F1062" s="203">
        <v>0</v>
      </c>
      <c r="G1062" s="111">
        <v>0</v>
      </c>
      <c r="H1062" s="150">
        <f t="shared" si="45"/>
        <v>0</v>
      </c>
      <c r="I1062" s="151">
        <v>0</v>
      </c>
      <c r="J1062" s="16"/>
      <c r="K1062" s="16"/>
      <c r="L1062" s="16"/>
      <c r="M1062" s="16"/>
      <c r="N1062" s="16"/>
      <c r="O1062" s="16"/>
      <c r="P1062" s="16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</row>
    <row r="1063" spans="1:37">
      <c r="A1063" s="5"/>
      <c r="B1063" s="54" t="s">
        <v>743</v>
      </c>
      <c r="D1063" s="16" t="s">
        <v>722</v>
      </c>
      <c r="E1063" s="66">
        <v>263500142.24000001</v>
      </c>
      <c r="F1063" s="16">
        <v>257436379.24000001</v>
      </c>
      <c r="G1063" s="111">
        <v>179155811.63999999</v>
      </c>
      <c r="H1063" s="150">
        <f t="shared" si="45"/>
        <v>78280567.600000024</v>
      </c>
      <c r="I1063" s="151">
        <f t="shared" si="46"/>
        <v>0.43694126851602721</v>
      </c>
      <c r="J1063" s="16"/>
      <c r="K1063" s="61"/>
      <c r="L1063" s="16"/>
      <c r="M1063" s="16"/>
      <c r="N1063" s="16"/>
      <c r="O1063" s="16"/>
      <c r="P1063" s="16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</row>
    <row r="1064" spans="1:37">
      <c r="A1064" s="5"/>
      <c r="D1064" s="16" t="s">
        <v>723</v>
      </c>
      <c r="E1064" s="66"/>
      <c r="F1064" s="16">
        <v>0</v>
      </c>
      <c r="G1064" s="111">
        <v>0</v>
      </c>
      <c r="H1064" s="150">
        <f t="shared" si="45"/>
        <v>0</v>
      </c>
      <c r="I1064" s="151">
        <v>0</v>
      </c>
      <c r="J1064" s="16"/>
      <c r="K1064" s="16"/>
      <c r="L1064" s="16"/>
      <c r="M1064" s="16"/>
      <c r="N1064" s="16"/>
      <c r="O1064" s="16"/>
      <c r="P1064" s="16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</row>
    <row r="1065" spans="1:37">
      <c r="A1065" s="5"/>
      <c r="D1065" s="16" t="s">
        <v>724</v>
      </c>
      <c r="E1065" s="66"/>
      <c r="F1065" s="76">
        <v>0</v>
      </c>
      <c r="G1065" s="111">
        <v>0</v>
      </c>
      <c r="H1065" s="150">
        <f t="shared" si="45"/>
        <v>0</v>
      </c>
      <c r="I1065" s="151">
        <v>0</v>
      </c>
      <c r="J1065" s="16"/>
      <c r="K1065" s="16"/>
      <c r="L1065" s="16"/>
      <c r="M1065" s="16"/>
      <c r="N1065" s="16"/>
      <c r="O1065" s="16"/>
      <c r="P1065" s="16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</row>
    <row r="1066" spans="1:37" hidden="1">
      <c r="A1066" s="5"/>
      <c r="D1066" s="16"/>
      <c r="E1066" s="16"/>
      <c r="F1066" s="16"/>
      <c r="G1066" s="16"/>
      <c r="H1066" s="150"/>
      <c r="I1066" s="151"/>
      <c r="J1066" s="16"/>
      <c r="K1066" s="16"/>
      <c r="L1066" s="16"/>
      <c r="M1066" s="16"/>
      <c r="N1066" s="16"/>
      <c r="O1066" s="16"/>
      <c r="P1066" s="16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</row>
    <row r="1067" spans="1:37" hidden="1">
      <c r="A1067" s="5"/>
      <c r="D1067" s="16"/>
      <c r="E1067" s="16"/>
      <c r="F1067" s="16"/>
      <c r="G1067" s="16"/>
      <c r="H1067" s="150"/>
      <c r="I1067" s="151"/>
      <c r="J1067" s="16"/>
      <c r="K1067" s="16"/>
      <c r="L1067" s="16"/>
      <c r="M1067" s="16"/>
      <c r="N1067" s="16"/>
      <c r="O1067" s="16"/>
      <c r="P1067" s="16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</row>
    <row r="1068" spans="1:37" hidden="1">
      <c r="A1068" s="5"/>
      <c r="D1068" s="16"/>
      <c r="E1068" s="277"/>
      <c r="F1068" s="277"/>
      <c r="G1068" s="16"/>
      <c r="H1068" s="8"/>
      <c r="I1068" s="151"/>
      <c r="J1068" s="16"/>
      <c r="K1068" s="16"/>
      <c r="L1068" s="16"/>
      <c r="M1068" s="16"/>
      <c r="N1068" s="16"/>
      <c r="O1068" s="16"/>
      <c r="P1068" s="16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</row>
    <row r="1069" spans="1:37" ht="13.5" thickBot="1">
      <c r="A1069" s="5"/>
      <c r="D1069" s="27" t="s">
        <v>183</v>
      </c>
      <c r="E1069" s="69">
        <f>SUM(E1048:E1068)</f>
        <v>2524616753.04</v>
      </c>
      <c r="F1069" s="285">
        <f>SUM(F1048:F1068)</f>
        <v>2515875639.04</v>
      </c>
      <c r="G1069" s="69">
        <f>SUM(G1048:G1068)</f>
        <v>2202166019.1900001</v>
      </c>
      <c r="H1069" s="152">
        <f>+E1069-G1069</f>
        <v>322450733.8499999</v>
      </c>
      <c r="I1069" s="153">
        <f>+H1069/G1069</f>
        <v>0.14642435267827975</v>
      </c>
      <c r="J1069" s="16"/>
      <c r="K1069" s="16"/>
      <c r="L1069" s="16"/>
      <c r="M1069" s="16"/>
      <c r="N1069" s="16"/>
      <c r="O1069" s="16"/>
      <c r="P1069" s="16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</row>
    <row r="1070" spans="1:37" ht="13.5" thickTop="1">
      <c r="A1070" s="5"/>
      <c r="D1070" s="16"/>
      <c r="E1070" s="16"/>
      <c r="F1070" s="16"/>
      <c r="G1070" s="16"/>
      <c r="H1070" s="29"/>
      <c r="I1070" s="29"/>
      <c r="J1070" s="16"/>
      <c r="K1070" s="16"/>
      <c r="L1070" s="16"/>
      <c r="M1070" s="16"/>
      <c r="N1070" s="16"/>
      <c r="O1070" s="16"/>
      <c r="P1070" s="16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</row>
    <row r="1071" spans="1:37">
      <c r="D1071" s="172" t="s">
        <v>725</v>
      </c>
      <c r="L1071" s="16"/>
      <c r="M1071" s="16"/>
      <c r="N1071" s="16"/>
      <c r="O1071" s="16"/>
      <c r="P1071" s="16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</row>
    <row r="1072" spans="1:37">
      <c r="B1072" s="54" t="s">
        <v>744</v>
      </c>
      <c r="D1072" s="16" t="s">
        <v>725</v>
      </c>
      <c r="E1072" s="66">
        <v>322816670</v>
      </c>
      <c r="F1072" s="16">
        <v>297535003</v>
      </c>
      <c r="G1072" s="76">
        <v>50000000</v>
      </c>
      <c r="H1072" s="303">
        <f>F1072-G1072</f>
        <v>247535003</v>
      </c>
      <c r="I1072" s="151">
        <f>+H1072/G1072</f>
        <v>4.95070006</v>
      </c>
      <c r="K1072" s="61"/>
      <c r="L1072" s="16"/>
      <c r="M1072" s="16"/>
      <c r="N1072" s="16"/>
      <c r="O1072" s="16"/>
      <c r="P1072" s="16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</row>
    <row r="1073" spans="4:37">
      <c r="D1073" s="16"/>
      <c r="H1073" s="304"/>
      <c r="L1073" s="16"/>
      <c r="M1073" s="16"/>
      <c r="N1073" s="16"/>
      <c r="O1073" s="16"/>
      <c r="P1073" s="16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  <c r="AA1073" s="17"/>
      <c r="AB1073" s="17"/>
      <c r="AC1073" s="17"/>
      <c r="AD1073" s="17"/>
      <c r="AE1073" s="17"/>
      <c r="AF1073" s="17"/>
      <c r="AG1073" s="17"/>
      <c r="AH1073" s="17"/>
      <c r="AI1073" s="17"/>
      <c r="AJ1073" s="17"/>
      <c r="AK1073" s="17"/>
    </row>
    <row r="1074" spans="4:37" ht="13.5" thickBot="1">
      <c r="D1074" s="27" t="s">
        <v>183</v>
      </c>
      <c r="E1074" s="69">
        <f>SUM(E1072:E1073)</f>
        <v>322816670</v>
      </c>
      <c r="F1074" s="69">
        <f>SUM(F1072:F1073)</f>
        <v>297535003</v>
      </c>
      <c r="G1074" s="261">
        <f>SUM(G1072:G1073)</f>
        <v>50000000</v>
      </c>
      <c r="H1074" s="305">
        <f>SUM(H1072:H1073)</f>
        <v>247535003</v>
      </c>
      <c r="I1074" s="153">
        <f>+H1074/G1074</f>
        <v>4.95070006</v>
      </c>
      <c r="L1074" s="16"/>
      <c r="M1074" s="16"/>
      <c r="N1074" s="16"/>
      <c r="O1074" s="16"/>
      <c r="P1074" s="16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  <c r="AA1074" s="17"/>
      <c r="AB1074" s="17"/>
      <c r="AC1074" s="17"/>
      <c r="AD1074" s="17"/>
      <c r="AE1074" s="17"/>
      <c r="AF1074" s="17"/>
      <c r="AG1074" s="17"/>
      <c r="AH1074" s="17"/>
      <c r="AI1074" s="17"/>
      <c r="AJ1074" s="17"/>
      <c r="AK1074" s="17"/>
    </row>
    <row r="1075" spans="4:37" ht="13.5" thickTop="1">
      <c r="L1075" s="16"/>
      <c r="M1075" s="16"/>
      <c r="N1075" s="16"/>
      <c r="O1075" s="16"/>
      <c r="P1075" s="16"/>
      <c r="Q1075" s="17"/>
      <c r="R1075" s="17"/>
      <c r="S1075" s="17"/>
      <c r="T1075" s="17"/>
      <c r="U1075" s="17"/>
      <c r="V1075" s="17"/>
    </row>
    <row r="1076" spans="4:37">
      <c r="M1076" s="16"/>
      <c r="N1076" s="16"/>
      <c r="O1076" s="16"/>
      <c r="P1076" s="16"/>
      <c r="Q1076" s="17"/>
      <c r="R1076" s="17"/>
      <c r="S1076" s="17"/>
      <c r="T1076" s="17"/>
      <c r="U1076" s="17"/>
      <c r="V1076" s="17"/>
    </row>
    <row r="1077" spans="4:37">
      <c r="M1077" s="16"/>
      <c r="N1077" s="16"/>
      <c r="O1077" s="16"/>
      <c r="P1077" s="16"/>
      <c r="Q1077" s="17"/>
      <c r="R1077" s="17"/>
      <c r="S1077" s="17"/>
      <c r="T1077" s="17"/>
      <c r="U1077" s="17"/>
      <c r="V1077" s="17"/>
    </row>
    <row r="1078" spans="4:37">
      <c r="M1078" s="16"/>
      <c r="N1078" s="16"/>
      <c r="O1078" s="16"/>
      <c r="P1078" s="16"/>
      <c r="Q1078" s="17"/>
      <c r="R1078" s="17"/>
      <c r="S1078" s="17"/>
      <c r="T1078" s="17"/>
      <c r="U1078" s="17"/>
    </row>
    <row r="1079" spans="4:37">
      <c r="M1079" s="16"/>
      <c r="N1079" s="16"/>
      <c r="O1079" s="16"/>
      <c r="P1079" s="16"/>
      <c r="Q1079" s="16"/>
      <c r="R1079" s="16"/>
      <c r="S1079" s="16"/>
      <c r="T1079" s="17"/>
      <c r="U1079" s="17"/>
    </row>
    <row r="1080" spans="4:37">
      <c r="O1080" s="16"/>
      <c r="P1080" s="16"/>
      <c r="Q1080" s="16"/>
      <c r="R1080" s="16"/>
      <c r="S1080" s="16"/>
      <c r="T1080" s="17"/>
      <c r="U1080" s="17"/>
    </row>
    <row r="1081" spans="4:37">
      <c r="O1081" s="16"/>
      <c r="P1081" s="16"/>
      <c r="Q1081" s="16"/>
      <c r="R1081" s="16"/>
      <c r="S1081" s="16"/>
      <c r="T1081" s="17"/>
      <c r="U1081" s="17"/>
    </row>
    <row r="1082" spans="4:37">
      <c r="O1082" s="4"/>
      <c r="P1082" s="5"/>
    </row>
    <row r="1083" spans="4:37">
      <c r="O1083" s="4"/>
      <c r="P1083" s="5"/>
    </row>
    <row r="1084" spans="4:37">
      <c r="O1084" s="4"/>
      <c r="P1084" s="5"/>
    </row>
  </sheetData>
  <dataConsolidate link="1"/>
  <mergeCells count="18">
    <mergeCell ref="D162:F162"/>
    <mergeCell ref="D50:H50"/>
    <mergeCell ref="D51:H51"/>
    <mergeCell ref="D52:H52"/>
    <mergeCell ref="D110:F110"/>
    <mergeCell ref="D111:F111"/>
    <mergeCell ref="D112:F112"/>
    <mergeCell ref="D128:F128"/>
    <mergeCell ref="D129:F129"/>
    <mergeCell ref="D130:F130"/>
    <mergeCell ref="D160:F160"/>
    <mergeCell ref="D161:F161"/>
    <mergeCell ref="D1:J1"/>
    <mergeCell ref="M1:U1"/>
    <mergeCell ref="D2:J2"/>
    <mergeCell ref="M2:U2"/>
    <mergeCell ref="D3:J3"/>
    <mergeCell ref="M3:U3"/>
  </mergeCells>
  <printOptions horizontalCentered="1"/>
  <pageMargins left="0.51181102362204722" right="0.51181102362204722" top="0.74803149606299213" bottom="0.23622047244094491" header="0.51181102362204722" footer="0.51181102362204722"/>
  <pageSetup paperSize="9" scale="60"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55"/>
  <sheetViews>
    <sheetView topLeftCell="A11" workbookViewId="0">
      <selection activeCell="B28" sqref="B28:J28"/>
    </sheetView>
  </sheetViews>
  <sheetFormatPr defaultColWidth="9.1796875" defaultRowHeight="13"/>
  <cols>
    <col min="1" max="3" width="9.1796875" style="360"/>
    <col min="4" max="4" width="6.1796875" style="360" hidden="1" customWidth="1"/>
    <col min="5" max="5" width="9.1796875" style="360"/>
    <col min="6" max="6" width="9.26953125" style="360" bestFit="1" customWidth="1"/>
    <col min="7" max="11" width="9.1796875" style="360"/>
    <col min="12" max="14" width="9.26953125" style="360" bestFit="1" customWidth="1"/>
    <col min="15" max="17" width="9.1796875" style="360"/>
    <col min="18" max="18" width="17.7265625" style="360" bestFit="1" customWidth="1"/>
    <col min="19" max="24" width="9.1796875" style="360"/>
    <col min="25" max="25" width="2.81640625" style="360" customWidth="1"/>
    <col min="26" max="26" width="18.54296875" style="360" bestFit="1" customWidth="1"/>
    <col min="27" max="27" width="9.1796875" style="360"/>
    <col min="28" max="28" width="1.81640625" style="360" customWidth="1"/>
    <col min="29" max="31" width="9.1796875" style="360"/>
    <col min="32" max="32" width="2.54296875" style="360" customWidth="1"/>
    <col min="33" max="16384" width="9.1796875" style="360"/>
  </cols>
  <sheetData>
    <row r="1" spans="1:1" ht="14.5">
      <c r="A1" s="394"/>
    </row>
    <row r="2" spans="1:1" ht="14.5">
      <c r="A2" s="394"/>
    </row>
    <row r="3" spans="1:1" ht="15.5">
      <c r="A3" s="395"/>
    </row>
    <row r="4" spans="1:1" ht="14.5">
      <c r="A4" s="396"/>
    </row>
    <row r="5" spans="1:1" ht="14.5">
      <c r="A5" s="396"/>
    </row>
    <row r="6" spans="1:1" ht="14.5">
      <c r="A6" s="396"/>
    </row>
    <row r="7" spans="1:1" ht="14.5">
      <c r="A7" s="396"/>
    </row>
    <row r="8" spans="1:1" ht="14.5">
      <c r="A8" s="396"/>
    </row>
    <row r="9" spans="1:1" ht="14.5">
      <c r="A9" s="396"/>
    </row>
    <row r="10" spans="1:1" ht="14.5">
      <c r="A10" s="396"/>
    </row>
    <row r="11" spans="1:1" ht="14.5">
      <c r="A11" s="396"/>
    </row>
    <row r="12" spans="1:1" ht="14.5">
      <c r="A12" s="396"/>
    </row>
    <row r="13" spans="1:1" ht="14.5">
      <c r="A13" s="396"/>
    </row>
    <row r="14" spans="1:1" ht="14.5">
      <c r="A14" s="396"/>
    </row>
    <row r="15" spans="1:1" ht="14.5">
      <c r="A15" s="396"/>
    </row>
    <row r="16" spans="1:1" ht="14.5">
      <c r="A16" s="396"/>
    </row>
    <row r="17" spans="1:14" ht="14.5">
      <c r="A17" s="396"/>
    </row>
    <row r="18" spans="1:14" ht="14.5">
      <c r="A18" s="396"/>
    </row>
    <row r="19" spans="1:14" ht="14.5">
      <c r="A19" s="396"/>
    </row>
    <row r="20" spans="1:14" ht="14.5">
      <c r="A20" s="396"/>
    </row>
    <row r="21" spans="1:14" ht="14.5">
      <c r="A21" s="396"/>
    </row>
    <row r="22" spans="1:14" ht="14.5">
      <c r="A22" s="396"/>
    </row>
    <row r="23" spans="1:14" ht="14.5">
      <c r="A23" s="396"/>
    </row>
    <row r="24" spans="1:14" ht="14.5">
      <c r="A24" s="396"/>
    </row>
    <row r="25" spans="1:14" ht="14.5">
      <c r="A25" s="396"/>
    </row>
    <row r="26" spans="1:14" ht="14.5">
      <c r="A26" s="397"/>
    </row>
    <row r="28" spans="1:14" ht="27" customHeight="1">
      <c r="A28" s="398"/>
      <c r="B28" s="1180" t="s">
        <v>1076</v>
      </c>
      <c r="C28" s="1180"/>
      <c r="D28" s="1180"/>
      <c r="E28" s="1180"/>
      <c r="F28" s="1180"/>
      <c r="G28" s="1180"/>
      <c r="H28" s="1180"/>
      <c r="I28" s="1180"/>
      <c r="J28" s="1180"/>
    </row>
    <row r="29" spans="1:14" ht="14.25" customHeight="1">
      <c r="A29" s="397"/>
    </row>
    <row r="30" spans="1:14" ht="14.25" customHeight="1">
      <c r="A30" s="397"/>
      <c r="N30" s="360" t="e">
        <f>M30/I30</f>
        <v>#DIV/0!</v>
      </c>
    </row>
    <row r="31" spans="1:14" ht="18" customHeight="1">
      <c r="A31" s="399"/>
      <c r="B31" s="1181" t="s">
        <v>1077</v>
      </c>
      <c r="C31" s="1181"/>
      <c r="D31" s="1181"/>
      <c r="E31" s="1181"/>
      <c r="F31" s="1181"/>
      <c r="G31" s="1181"/>
      <c r="H31" s="1181"/>
      <c r="I31" s="1181"/>
      <c r="J31" s="1181"/>
    </row>
    <row r="32" spans="1:14" ht="18" customHeight="1">
      <c r="A32" s="399"/>
      <c r="B32" s="1181" t="s">
        <v>1103</v>
      </c>
      <c r="C32" s="1181"/>
      <c r="D32" s="1181"/>
      <c r="E32" s="1181"/>
      <c r="F32" s="1181"/>
      <c r="G32" s="1181"/>
      <c r="H32" s="1181"/>
      <c r="I32" s="1181"/>
      <c r="J32" s="1181"/>
    </row>
    <row r="33" spans="1:13" ht="18" customHeight="1">
      <c r="A33" s="399"/>
      <c r="B33" s="1181" t="s">
        <v>1406</v>
      </c>
      <c r="C33" s="1181"/>
      <c r="D33" s="1181"/>
      <c r="E33" s="1181"/>
      <c r="F33" s="1181"/>
      <c r="G33" s="1181"/>
      <c r="H33" s="1181"/>
      <c r="I33" s="1181"/>
      <c r="J33" s="1181"/>
      <c r="K33" s="400" t="s">
        <v>1078</v>
      </c>
      <c r="L33" s="360">
        <v>0</v>
      </c>
    </row>
    <row r="34" spans="1:13" ht="18" customHeight="1">
      <c r="A34" s="399"/>
      <c r="B34" s="1181" t="s">
        <v>1104</v>
      </c>
      <c r="C34" s="1181"/>
      <c r="D34" s="1181"/>
      <c r="E34" s="1181"/>
      <c r="F34" s="1181"/>
      <c r="G34" s="1181"/>
      <c r="H34" s="1181"/>
      <c r="I34" s="1181"/>
      <c r="J34" s="1181"/>
    </row>
    <row r="35" spans="1:13" ht="19.5">
      <c r="A35" s="401"/>
    </row>
    <row r="36" spans="1:13" ht="15.5">
      <c r="A36" s="402"/>
    </row>
    <row r="37" spans="1:13" ht="15.5">
      <c r="A37" s="402"/>
    </row>
    <row r="38" spans="1:13" ht="15.5">
      <c r="A38" s="402"/>
    </row>
    <row r="39" spans="1:13" ht="14.5">
      <c r="A39" s="394"/>
    </row>
    <row r="43" spans="1:13">
      <c r="M43" s="360">
        <v>0</v>
      </c>
    </row>
    <row r="45" spans="1:13" hidden="1"/>
    <row r="48" spans="1:13" ht="9.75" customHeight="1"/>
    <row r="50" spans="1:13" ht="14.5">
      <c r="B50" s="403"/>
      <c r="C50" s="403"/>
      <c r="M50" s="404"/>
    </row>
    <row r="51" spans="1:13">
      <c r="A51" s="405"/>
      <c r="B51" s="403" t="s">
        <v>34</v>
      </c>
      <c r="C51" s="403"/>
      <c r="D51" s="405"/>
    </row>
    <row r="52" spans="1:13">
      <c r="A52" s="405"/>
      <c r="B52" s="403"/>
      <c r="C52" s="403"/>
      <c r="D52" s="405"/>
    </row>
    <row r="53" spans="1:13">
      <c r="A53" s="405"/>
      <c r="B53" s="403"/>
      <c r="C53" s="403"/>
      <c r="D53" s="405"/>
    </row>
    <row r="54" spans="1:13">
      <c r="A54" s="405"/>
      <c r="B54" s="403"/>
      <c r="C54" s="403"/>
      <c r="D54" s="405"/>
    </row>
    <row r="55" spans="1:13">
      <c r="A55" s="405"/>
      <c r="B55" s="403"/>
      <c r="C55" s="403"/>
      <c r="D55" s="405"/>
    </row>
    <row r="56" spans="1:13">
      <c r="A56" s="405"/>
      <c r="B56" s="403"/>
      <c r="C56" s="403"/>
      <c r="D56" s="405"/>
    </row>
    <row r="57" spans="1:13">
      <c r="A57" s="405"/>
      <c r="B57" s="403"/>
      <c r="C57" s="403"/>
      <c r="D57" s="405"/>
    </row>
    <row r="58" spans="1:13">
      <c r="A58" s="405"/>
      <c r="B58" s="403"/>
      <c r="C58" s="403"/>
      <c r="D58" s="405"/>
    </row>
    <row r="59" spans="1:13">
      <c r="A59" s="405"/>
      <c r="B59" s="403"/>
      <c r="C59" s="403"/>
      <c r="D59" s="403"/>
    </row>
    <row r="60" spans="1:13">
      <c r="A60" s="405"/>
      <c r="B60" s="403"/>
      <c r="C60" s="403"/>
      <c r="D60" s="403"/>
    </row>
    <row r="61" spans="1:13">
      <c r="A61" s="405"/>
      <c r="B61" s="403"/>
      <c r="C61" s="403"/>
      <c r="D61" s="403"/>
    </row>
    <row r="62" spans="1:13">
      <c r="A62" s="405"/>
      <c r="B62" s="403"/>
      <c r="C62" s="403"/>
      <c r="D62" s="405"/>
    </row>
    <row r="63" spans="1:13">
      <c r="A63" s="405"/>
      <c r="B63" s="403" t="s">
        <v>1079</v>
      </c>
      <c r="C63" s="403"/>
      <c r="D63" s="405"/>
    </row>
    <row r="64" spans="1:13">
      <c r="A64" s="405"/>
      <c r="B64" s="403"/>
      <c r="C64" s="403"/>
      <c r="D64" s="405"/>
    </row>
    <row r="65" spans="1:6" ht="9.75" customHeight="1"/>
    <row r="69" spans="1:6">
      <c r="A69" s="406" t="s">
        <v>171</v>
      </c>
    </row>
    <row r="71" spans="1:6" hidden="1"/>
    <row r="72" spans="1:6" hidden="1"/>
    <row r="79" spans="1:6">
      <c r="A79" s="406" t="s">
        <v>177</v>
      </c>
    </row>
    <row r="80" spans="1:6">
      <c r="F80" s="360">
        <f>F76-F79</f>
        <v>0</v>
      </c>
    </row>
    <row r="91" spans="1:1" ht="3" hidden="1" customHeight="1"/>
    <row r="93" spans="1:1">
      <c r="A93" s="406" t="s">
        <v>175</v>
      </c>
    </row>
    <row r="130" spans="1:1" ht="15" customHeight="1"/>
    <row r="131" spans="1:1" ht="15" customHeight="1">
      <c r="A131" s="406" t="s">
        <v>175</v>
      </c>
    </row>
    <row r="168" spans="1:1">
      <c r="A168" s="406" t="s">
        <v>238</v>
      </c>
    </row>
    <row r="209" spans="1:26">
      <c r="A209" s="406" t="s">
        <v>251</v>
      </c>
    </row>
    <row r="211" spans="1:26">
      <c r="R211" s="360">
        <f>R216</f>
        <v>0</v>
      </c>
      <c r="Z211" s="360">
        <f>Z216</f>
        <v>0</v>
      </c>
    </row>
    <row r="215" spans="1:26">
      <c r="A215" s="406" t="s">
        <v>255</v>
      </c>
    </row>
    <row r="246" spans="1:1">
      <c r="A246" s="406" t="s">
        <v>1080</v>
      </c>
    </row>
    <row r="259" spans="1:32">
      <c r="R259" s="360">
        <v>-100812000</v>
      </c>
    </row>
    <row r="262" spans="1:32">
      <c r="R262" s="360">
        <v>-119131359</v>
      </c>
    </row>
    <row r="265" spans="1:32">
      <c r="R265" s="360">
        <f>R250</f>
        <v>0</v>
      </c>
      <c r="Z265" s="360">
        <f>Z250</f>
        <v>0</v>
      </c>
    </row>
    <row r="266" spans="1:32">
      <c r="A266" s="406" t="s">
        <v>1081</v>
      </c>
      <c r="B266" s="407"/>
      <c r="C266" s="407"/>
      <c r="D266" s="407"/>
      <c r="E266" s="407"/>
      <c r="F266" s="407"/>
      <c r="G266" s="407"/>
      <c r="H266" s="407"/>
      <c r="I266" s="407"/>
      <c r="J266" s="407"/>
      <c r="K266" s="407"/>
      <c r="L266" s="407"/>
      <c r="M266" s="407"/>
      <c r="N266" s="407"/>
      <c r="O266" s="407"/>
      <c r="P266" s="407"/>
      <c r="Q266" s="407"/>
      <c r="R266" s="407"/>
      <c r="S266" s="407"/>
      <c r="T266" s="407"/>
      <c r="U266" s="407"/>
      <c r="V266" s="407"/>
      <c r="W266" s="407"/>
      <c r="X266" s="407"/>
      <c r="Y266" s="407"/>
      <c r="Z266" s="407"/>
      <c r="AA266" s="407"/>
      <c r="AB266" s="407"/>
      <c r="AC266" s="407"/>
      <c r="AD266" s="407"/>
      <c r="AE266" s="407"/>
      <c r="AF266" s="407"/>
    </row>
    <row r="267" spans="1:32">
      <c r="B267" s="360" t="s">
        <v>1082</v>
      </c>
      <c r="R267" s="1179"/>
      <c r="S267" s="1179"/>
      <c r="T267" s="1179"/>
      <c r="U267" s="1179"/>
      <c r="V267" s="1179"/>
      <c r="W267" s="1179"/>
      <c r="X267" s="1179"/>
      <c r="Z267" s="1179"/>
      <c r="AA267" s="1179"/>
      <c r="AB267" s="1179"/>
      <c r="AC267" s="1179"/>
      <c r="AD267" s="1179"/>
      <c r="AE267" s="1179"/>
      <c r="AF267" s="1179"/>
    </row>
    <row r="268" spans="1:32">
      <c r="B268" s="360" t="s">
        <v>1083</v>
      </c>
      <c r="Z268" s="360">
        <v>4091991666</v>
      </c>
    </row>
    <row r="269" spans="1:32">
      <c r="B269" s="360" t="s">
        <v>301</v>
      </c>
      <c r="R269" s="1179"/>
      <c r="S269" s="1179"/>
      <c r="T269" s="1179"/>
      <c r="U269" s="1179"/>
      <c r="V269" s="1179"/>
      <c r="W269" s="1179"/>
      <c r="X269" s="1179"/>
      <c r="Z269" s="360">
        <v>269539898</v>
      </c>
    </row>
    <row r="270" spans="1:32">
      <c r="B270" s="360" t="s">
        <v>573</v>
      </c>
      <c r="R270" s="1179"/>
      <c r="S270" s="1179"/>
      <c r="T270" s="1179"/>
      <c r="U270" s="1179"/>
      <c r="V270" s="1179"/>
      <c r="W270" s="1179"/>
      <c r="X270" s="1179"/>
      <c r="Z270" s="360">
        <v>2635001</v>
      </c>
    </row>
    <row r="271" spans="1:32">
      <c r="Z271" s="360">
        <f>SUM(Z268:AF270)</f>
        <v>4364166565</v>
      </c>
    </row>
    <row r="274" spans="1:2">
      <c r="B274" s="360" t="s">
        <v>1084</v>
      </c>
    </row>
    <row r="275" spans="1:2">
      <c r="A275" s="406" t="s">
        <v>322</v>
      </c>
    </row>
    <row r="298" spans="18:18">
      <c r="R298" s="360">
        <v>783687671</v>
      </c>
    </row>
    <row r="301" spans="18:18" hidden="1"/>
    <row r="305" spans="1:1">
      <c r="A305" s="406" t="s">
        <v>338</v>
      </c>
    </row>
    <row r="318" spans="1:1">
      <c r="A318" s="406" t="s">
        <v>1085</v>
      </c>
    </row>
    <row r="329" spans="1:1">
      <c r="A329" s="406" t="s">
        <v>1086</v>
      </c>
    </row>
    <row r="341" spans="1:1">
      <c r="A341" s="406" t="s">
        <v>1087</v>
      </c>
    </row>
    <row r="355" spans="1:1">
      <c r="A355" s="406" t="s">
        <v>1088</v>
      </c>
    </row>
  </sheetData>
  <mergeCells count="9">
    <mergeCell ref="Z267:AF267"/>
    <mergeCell ref="R269:X269"/>
    <mergeCell ref="R270:X270"/>
    <mergeCell ref="B28:J28"/>
    <mergeCell ref="B31:J31"/>
    <mergeCell ref="B32:J32"/>
    <mergeCell ref="B33:J33"/>
    <mergeCell ref="B34:J34"/>
    <mergeCell ref="R267:X267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90"/>
  <sheetViews>
    <sheetView topLeftCell="A2" workbookViewId="0">
      <pane xSplit="12" ySplit="6" topLeftCell="M8" activePane="bottomRight" state="frozen"/>
      <selection activeCell="A2" sqref="A2"/>
      <selection pane="topRight" activeCell="M2" sqref="M2"/>
      <selection pane="bottomLeft" activeCell="A8" sqref="A8"/>
      <selection pane="bottomRight" activeCell="O32" sqref="O13:O32"/>
    </sheetView>
  </sheetViews>
  <sheetFormatPr defaultColWidth="9.1796875" defaultRowHeight="13"/>
  <cols>
    <col min="1" max="1" width="34.26953125" style="312" customWidth="1"/>
    <col min="2" max="2" width="7.81640625" style="854" bestFit="1" customWidth="1"/>
    <col min="3" max="12" width="14.54296875" style="854" hidden="1" customWidth="1"/>
    <col min="13" max="13" width="14.54296875" style="854" customWidth="1"/>
    <col min="14" max="14" width="13.54296875" style="312" bestFit="1" customWidth="1"/>
    <col min="15" max="15" width="17.7265625" style="976" bestFit="1" customWidth="1"/>
    <col min="16" max="16" width="14.54296875" style="312" bestFit="1" customWidth="1"/>
    <col min="17" max="17" width="8.1796875" style="312" bestFit="1" customWidth="1"/>
    <col min="18" max="18" width="3" style="312" customWidth="1"/>
    <col min="19" max="19" width="14.54296875" style="346" bestFit="1" customWidth="1"/>
    <col min="20" max="20" width="14.54296875" style="312" bestFit="1" customWidth="1"/>
    <col min="21" max="21" width="8.1796875" style="312" bestFit="1" customWidth="1"/>
    <col min="22" max="22" width="8.453125" style="898" customWidth="1"/>
    <col min="23" max="23" width="19" style="312" customWidth="1"/>
    <col min="24" max="24" width="9.1796875" style="312" customWidth="1"/>
    <col min="25" max="25" width="15.7265625" style="312" customWidth="1"/>
    <col min="26" max="26" width="9.1796875" style="312" customWidth="1"/>
    <col min="27" max="27" width="14.1796875" style="312" customWidth="1"/>
    <col min="28" max="28" width="15.1796875" style="420" bestFit="1" customWidth="1"/>
    <col min="29" max="29" width="15.1796875" style="440" bestFit="1" customWidth="1"/>
    <col min="30" max="30" width="15.7265625" style="359" bestFit="1" customWidth="1"/>
    <col min="31" max="31" width="12.54296875" style="312" bestFit="1" customWidth="1"/>
    <col min="32" max="16384" width="9.1796875" style="312"/>
  </cols>
  <sheetData>
    <row r="1" spans="1:27" ht="13.5" hidden="1" customHeight="1">
      <c r="A1" s="1182" t="s">
        <v>0</v>
      </c>
      <c r="B1" s="1182"/>
      <c r="C1" s="1182"/>
      <c r="D1" s="1182"/>
      <c r="E1" s="1182"/>
      <c r="F1" s="1182"/>
      <c r="G1" s="1182"/>
      <c r="H1" s="1182"/>
      <c r="I1" s="1182"/>
      <c r="J1" s="1182"/>
      <c r="K1" s="1182"/>
      <c r="L1" s="1182"/>
      <c r="M1" s="1182"/>
      <c r="N1" s="1182"/>
      <c r="O1" s="1182"/>
      <c r="P1" s="1182"/>
      <c r="Q1" s="1182"/>
      <c r="R1" s="1182"/>
      <c r="S1" s="1182"/>
      <c r="T1" s="1182"/>
    </row>
    <row r="2" spans="1:27" ht="15" customHeight="1">
      <c r="A2" s="1182"/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</row>
    <row r="3" spans="1:27">
      <c r="A3" s="1182" t="s">
        <v>1</v>
      </c>
      <c r="B3" s="1182"/>
      <c r="C3" s="1182"/>
      <c r="D3" s="1182"/>
      <c r="E3" s="1182"/>
      <c r="F3" s="1182"/>
      <c r="G3" s="1182"/>
      <c r="H3" s="1182"/>
      <c r="I3" s="1182"/>
      <c r="J3" s="1182"/>
      <c r="K3" s="1182"/>
      <c r="L3" s="1182"/>
      <c r="M3" s="1182"/>
      <c r="N3" s="1182"/>
      <c r="O3" s="1182"/>
      <c r="P3" s="1182"/>
      <c r="Q3" s="1182"/>
      <c r="R3" s="1182"/>
      <c r="S3" s="1182"/>
      <c r="T3" s="1182"/>
      <c r="U3" s="905"/>
    </row>
    <row r="4" spans="1:27">
      <c r="A4" s="1186" t="s">
        <v>1405</v>
      </c>
      <c r="B4" s="1186"/>
      <c r="C4" s="1186"/>
      <c r="D4" s="1186"/>
      <c r="E4" s="1186"/>
      <c r="F4" s="1186"/>
      <c r="G4" s="1186"/>
      <c r="H4" s="1186"/>
      <c r="I4" s="1186"/>
      <c r="J4" s="1186"/>
      <c r="K4" s="1186"/>
      <c r="L4" s="1186"/>
      <c r="M4" s="1186"/>
      <c r="N4" s="1186"/>
      <c r="O4" s="1186"/>
      <c r="P4" s="1186"/>
      <c r="Q4" s="1186"/>
      <c r="R4" s="1186"/>
      <c r="S4" s="1186"/>
      <c r="T4" s="1186"/>
      <c r="U4" s="905"/>
    </row>
    <row r="5" spans="1:27">
      <c r="A5" s="310"/>
      <c r="B5" s="310"/>
      <c r="C5" s="310"/>
      <c r="D5" s="310"/>
      <c r="E5" s="310"/>
      <c r="F5" s="310"/>
      <c r="G5" s="310"/>
      <c r="H5" s="310"/>
      <c r="I5" s="310"/>
      <c r="J5" s="310"/>
      <c r="K5" s="999"/>
      <c r="L5" s="1036"/>
      <c r="M5" s="1042"/>
      <c r="N5" s="996"/>
      <c r="O5" s="975"/>
      <c r="P5" s="996"/>
      <c r="S5" s="1183">
        <f>O7</f>
        <v>43070</v>
      </c>
      <c r="T5" s="1183"/>
      <c r="W5" s="867"/>
    </row>
    <row r="6" spans="1:27" hidden="1">
      <c r="S6" s="907"/>
      <c r="W6" s="867"/>
    </row>
    <row r="7" spans="1:27" ht="15.75" customHeight="1" thickBot="1">
      <c r="B7" s="889" t="s">
        <v>4</v>
      </c>
      <c r="C7" s="876">
        <v>42736</v>
      </c>
      <c r="D7" s="876">
        <v>75638</v>
      </c>
      <c r="E7" s="876">
        <v>42795</v>
      </c>
      <c r="F7" s="876">
        <v>42826</v>
      </c>
      <c r="G7" s="876">
        <v>42856</v>
      </c>
      <c r="H7" s="876">
        <v>75758</v>
      </c>
      <c r="I7" s="876">
        <v>42917</v>
      </c>
      <c r="J7" s="876">
        <v>42948</v>
      </c>
      <c r="K7" s="998">
        <v>42979</v>
      </c>
      <c r="L7" s="1035">
        <v>43009</v>
      </c>
      <c r="M7" s="1041">
        <v>43040</v>
      </c>
      <c r="O7" s="977">
        <v>43070</v>
      </c>
      <c r="P7" s="995">
        <v>42705</v>
      </c>
      <c r="Q7" s="909" t="s">
        <v>9</v>
      </c>
      <c r="S7" s="910" t="s">
        <v>1365</v>
      </c>
      <c r="T7" s="910" t="s">
        <v>1364</v>
      </c>
      <c r="U7" s="909" t="s">
        <v>9</v>
      </c>
      <c r="W7" s="863"/>
    </row>
    <row r="8" spans="1:27">
      <c r="C8" s="877"/>
      <c r="G8" s="887"/>
      <c r="O8" s="978"/>
      <c r="P8" s="307"/>
    </row>
    <row r="9" spans="1:27">
      <c r="A9" s="384" t="s">
        <v>3</v>
      </c>
      <c r="C9" s="877"/>
      <c r="G9" s="887"/>
      <c r="O9" s="978"/>
      <c r="P9" s="307"/>
    </row>
    <row r="10" spans="1:27">
      <c r="A10" s="384"/>
      <c r="C10" s="877"/>
      <c r="D10" s="862"/>
      <c r="G10" s="887"/>
      <c r="O10" s="978"/>
      <c r="P10" s="307"/>
    </row>
    <row r="11" spans="1:27">
      <c r="A11" s="312" t="s">
        <v>745</v>
      </c>
      <c r="B11" s="854" t="str">
        <f>'Detail WBS''1217'!A8</f>
        <v>WBS.1</v>
      </c>
      <c r="C11" s="878">
        <f>'Detail WBS''1217'!E28</f>
        <v>6462390530.9300003</v>
      </c>
      <c r="D11" s="871">
        <f>'Detail WBS''1217'!F28</f>
        <v>3597201455.9300003</v>
      </c>
      <c r="E11" s="871">
        <f>'Detail WBS''1217'!G28</f>
        <v>3538675207</v>
      </c>
      <c r="F11" s="859">
        <f>'Detail WBS''1217'!H28</f>
        <v>4562226066.2800007</v>
      </c>
      <c r="G11" s="871">
        <f>'Detail WBS''1217'!I28</f>
        <v>3681116507.6800003</v>
      </c>
      <c r="H11" s="859">
        <f>'Detail WBS''1217'!J28</f>
        <v>3739270189.7999997</v>
      </c>
      <c r="I11" s="871">
        <f>'Detail WBS''1217'!K28</f>
        <v>4217043109.6999998</v>
      </c>
      <c r="J11" s="871">
        <f>'Detail WBS''1217'!L28</f>
        <v>4208817155.1299996</v>
      </c>
      <c r="K11" s="871">
        <f>ROUND('Detail WBS''1217'!M28,0)</f>
        <v>3776594011</v>
      </c>
      <c r="L11" s="871">
        <v>5610785230</v>
      </c>
      <c r="M11" s="871">
        <v>4120631917</v>
      </c>
      <c r="N11" s="903"/>
      <c r="O11" s="979">
        <f>ROUND('Detail WBS''1217'!P28,0)</f>
        <v>0</v>
      </c>
      <c r="P11" s="346">
        <f>'2016'!J24</f>
        <v>4529319601.9300003</v>
      </c>
      <c r="Q11" s="898">
        <f>(O11-P11)/P11</f>
        <v>-1</v>
      </c>
      <c r="S11" s="346">
        <f>'MNC Asset -Proj 2017'!S87</f>
        <v>8649213149.8594532</v>
      </c>
      <c r="U11" s="898">
        <f>(O11-S11)/S11</f>
        <v>-1</v>
      </c>
      <c r="Y11" s="386"/>
      <c r="AA11" s="898"/>
    </row>
    <row r="12" spans="1:27">
      <c r="A12" s="312" t="s">
        <v>746</v>
      </c>
      <c r="C12" s="878"/>
      <c r="D12" s="871"/>
      <c r="E12" s="871"/>
      <c r="F12" s="859"/>
      <c r="G12" s="871"/>
      <c r="H12" s="859"/>
      <c r="I12" s="871"/>
      <c r="J12" s="871"/>
      <c r="K12" s="871"/>
      <c r="L12" s="871"/>
      <c r="M12" s="871"/>
      <c r="N12" s="903"/>
      <c r="O12" s="979"/>
      <c r="P12" s="344"/>
      <c r="Q12" s="898"/>
      <c r="Y12" s="386"/>
    </row>
    <row r="13" spans="1:27">
      <c r="A13" s="890" t="s">
        <v>747</v>
      </c>
      <c r="B13" s="854" t="str">
        <f>'Detail WBS''1217'!A29</f>
        <v>WBS.2</v>
      </c>
      <c r="C13" s="878">
        <f>'Detail WBS''1217'!E33</f>
        <v>2434237431</v>
      </c>
      <c r="D13" s="871">
        <f>'Detail WBS''1217'!F33</f>
        <v>2418897051.0200005</v>
      </c>
      <c r="E13" s="871">
        <f>'Detail WBS''1217'!G33</f>
        <v>2578237485</v>
      </c>
      <c r="F13" s="859">
        <f>'Detail WBS''1217'!H33</f>
        <v>2314712880.5400004</v>
      </c>
      <c r="G13" s="871">
        <f>'Detail WBS''1217'!I33</f>
        <v>2497552250</v>
      </c>
      <c r="H13" s="859">
        <f>ROUNDUP('Detail WBS''1217'!J33,0)</f>
        <v>2211136576</v>
      </c>
      <c r="I13" s="871">
        <f>'Detail WBS''1217'!K33</f>
        <v>2330992078.7599998</v>
      </c>
      <c r="J13" s="871">
        <f>'Detail WBS''1217'!L33</f>
        <v>2119696969.8399999</v>
      </c>
      <c r="K13" s="871">
        <f>ROUNDUP('Detail WBS''1217'!M33,0)</f>
        <v>2210741285</v>
      </c>
      <c r="L13" s="871">
        <v>2150516793</v>
      </c>
      <c r="M13" s="871">
        <v>2088135754</v>
      </c>
      <c r="N13" s="903"/>
      <c r="O13" s="979">
        <f>ROUNDUP('Detail WBS''1217'!P33,0)</f>
        <v>0</v>
      </c>
      <c r="P13" s="346">
        <f>'2016'!J27+'2016'!J28</f>
        <v>2344502585.0900002</v>
      </c>
      <c r="Q13" s="898">
        <f t="shared" ref="Q13:Q25" si="0">(O13-P13)/P13</f>
        <v>-1</v>
      </c>
      <c r="S13" s="346">
        <f>'MNC Asset -Proj 2017'!S88</f>
        <v>5559284787.0417366</v>
      </c>
      <c r="U13" s="898">
        <f t="shared" ref="U13:U46" si="1">(O13-S13)/S13</f>
        <v>-1</v>
      </c>
      <c r="W13" s="898"/>
      <c r="Y13" s="386"/>
    </row>
    <row r="14" spans="1:27">
      <c r="A14" s="312" t="s">
        <v>757</v>
      </c>
      <c r="B14" s="854" t="str">
        <f>'Detail WBS''1217'!A34</f>
        <v>WBS.3</v>
      </c>
      <c r="C14" s="878">
        <f>'Detail WBS''1217'!E34</f>
        <v>0</v>
      </c>
      <c r="D14" s="871">
        <f>'Detail WBS''1217'!F34</f>
        <v>0</v>
      </c>
      <c r="E14" s="871">
        <f>'Detail WBS''1217'!G34</f>
        <v>0</v>
      </c>
      <c r="F14" s="859">
        <f>'Detail WBS''1217'!H34</f>
        <v>0</v>
      </c>
      <c r="G14" s="871">
        <f>'Detail WBS''1217'!I34</f>
        <v>0</v>
      </c>
      <c r="H14" s="859">
        <f>'Detail WBS''1217'!J34</f>
        <v>133867889.90000001</v>
      </c>
      <c r="I14" s="871">
        <f>'Detail WBS''1217'!K34</f>
        <v>3363548.9000000954</v>
      </c>
      <c r="J14" s="871">
        <f>'Detail WBS''1217'!L34</f>
        <v>0</v>
      </c>
      <c r="K14" s="871">
        <f>'Detail WBS''1217'!M34</f>
        <v>-9.9999904632568359E-2</v>
      </c>
      <c r="L14" s="871">
        <v>-9.9999904632568359E-2</v>
      </c>
      <c r="M14" s="871">
        <v>-9.9999904632568359E-2</v>
      </c>
      <c r="N14" s="903"/>
      <c r="O14" s="979">
        <f>'Detail WBS''1217'!P34</f>
        <v>0</v>
      </c>
      <c r="P14" s="346">
        <f>'2016'!J30</f>
        <v>0</v>
      </c>
      <c r="Q14" s="898">
        <v>0</v>
      </c>
      <c r="U14" s="898">
        <v>0</v>
      </c>
      <c r="Y14" s="386"/>
    </row>
    <row r="15" spans="1:27">
      <c r="A15" s="312" t="s">
        <v>748</v>
      </c>
      <c r="B15" s="854" t="str">
        <f>'Detail WBS''1217'!A36</f>
        <v>WBS.4</v>
      </c>
      <c r="C15" s="878">
        <f>'Detail WBS''1217'!E46</f>
        <v>21096033779</v>
      </c>
      <c r="D15" s="871">
        <f>'Detail WBS''1217'!F46</f>
        <v>20517488888</v>
      </c>
      <c r="E15" s="871">
        <f>'Detail WBS''1217'!G46</f>
        <v>20366059374</v>
      </c>
      <c r="F15" s="859">
        <f>'Detail WBS''1217'!H46</f>
        <v>20454352712</v>
      </c>
      <c r="G15" s="871">
        <f>'Detail WBS''1217'!I46</f>
        <v>21491053050</v>
      </c>
      <c r="H15" s="859">
        <f>'Detail WBS''1217'!J46</f>
        <v>20764864550</v>
      </c>
      <c r="I15" s="871">
        <f>'Detail WBS''1217'!K46</f>
        <v>20180791550</v>
      </c>
      <c r="J15" s="871">
        <f>'Detail WBS''1217'!L46</f>
        <v>19589510050</v>
      </c>
      <c r="K15" s="871">
        <f>'Detail WBS''1217'!M46</f>
        <v>20080541550</v>
      </c>
      <c r="L15" s="871">
        <v>20491416550</v>
      </c>
      <c r="M15" s="871">
        <v>20223240550</v>
      </c>
      <c r="N15" s="903"/>
      <c r="O15" s="979">
        <f>'Detail WBS''1217'!P46</f>
        <v>0</v>
      </c>
      <c r="P15" s="346">
        <f>'2016'!J42</f>
        <v>21156640293</v>
      </c>
      <c r="Q15" s="898">
        <f t="shared" si="0"/>
        <v>-1</v>
      </c>
      <c r="S15" s="346">
        <f>'MNC Asset -Proj 2017'!S90</f>
        <v>21738472819</v>
      </c>
      <c r="U15" s="898">
        <f t="shared" si="1"/>
        <v>-1</v>
      </c>
      <c r="Y15" s="386"/>
    </row>
    <row r="16" spans="1:27">
      <c r="A16" s="312" t="s">
        <v>749</v>
      </c>
      <c r="B16" s="854" t="str">
        <f>'Detail WBS''1217'!A47</f>
        <v>WBS.5</v>
      </c>
      <c r="C16" s="878">
        <f>'Detail WBS''1217'!E57</f>
        <v>10512686015</v>
      </c>
      <c r="D16" s="871">
        <f>'Detail WBS''1217'!F57</f>
        <v>13190956405</v>
      </c>
      <c r="E16" s="871">
        <f>'Detail WBS''1217'!G57</f>
        <v>13221901325</v>
      </c>
      <c r="F16" s="859">
        <f>'Detail WBS''1217'!H57</f>
        <v>12295510794</v>
      </c>
      <c r="G16" s="871">
        <f>'Detail WBS''1217'!I57</f>
        <v>12288229997</v>
      </c>
      <c r="H16" s="859">
        <f>'Detail WBS''1217'!J57</f>
        <v>10027575676.91</v>
      </c>
      <c r="I16" s="871">
        <f>'Detail WBS''1217'!K57</f>
        <v>8538728342.9099989</v>
      </c>
      <c r="J16" s="871">
        <f>'Detail WBS''1217'!L57</f>
        <v>9540586707.9099998</v>
      </c>
      <c r="K16" s="871">
        <f>'Detail WBS''1217'!M57</f>
        <v>9532516139.9099998</v>
      </c>
      <c r="L16" s="871">
        <v>8053298833.9099998</v>
      </c>
      <c r="M16" s="871">
        <v>8598172878.9099998</v>
      </c>
      <c r="N16" s="903"/>
      <c r="O16" s="979">
        <f>'Detail WBS''1217'!P57</f>
        <v>0</v>
      </c>
      <c r="P16" s="346">
        <f>'2016'!J53</f>
        <v>9776263478</v>
      </c>
      <c r="Q16" s="898">
        <f t="shared" si="0"/>
        <v>-1</v>
      </c>
      <c r="U16" s="898">
        <v>0.1</v>
      </c>
      <c r="Y16" s="386"/>
    </row>
    <row r="17" spans="1:25">
      <c r="A17" s="312" t="s">
        <v>751</v>
      </c>
      <c r="B17" s="854" t="str">
        <f>'Detail WBS''1217'!A63</f>
        <v>WBS.7</v>
      </c>
      <c r="C17" s="878">
        <f>'Detail WBS''1217'!E72</f>
        <v>4121767262.98</v>
      </c>
      <c r="D17" s="871">
        <f>'Detail WBS''1217'!F72</f>
        <v>4072497977.96</v>
      </c>
      <c r="E17" s="871">
        <f>'Detail WBS''1217'!G72</f>
        <v>4153727966.0500002</v>
      </c>
      <c r="F17" s="859">
        <f>'Detail WBS''1217'!H72</f>
        <v>4343070214.0799999</v>
      </c>
      <c r="G17" s="871">
        <f>'Detail WBS''1217'!I72</f>
        <v>5174589454.3500004</v>
      </c>
      <c r="H17" s="859">
        <f>'Detail WBS''1217'!J72</f>
        <v>6952576375.8699999</v>
      </c>
      <c r="I17" s="871">
        <f>'Detail WBS''1217'!K72</f>
        <v>6705117353.6599998</v>
      </c>
      <c r="J17" s="871">
        <f>'Detail WBS''1217'!L72</f>
        <v>6458077776.46</v>
      </c>
      <c r="K17" s="871">
        <f>'Detail WBS''1217'!M72</f>
        <v>6229848572.9400005</v>
      </c>
      <c r="L17" s="871">
        <v>5989833334.9400005</v>
      </c>
      <c r="M17" s="871">
        <v>6598198429.6800003</v>
      </c>
      <c r="N17" s="903"/>
      <c r="O17" s="979">
        <f>'Detail WBS''1217'!P72</f>
        <v>0</v>
      </c>
      <c r="P17" s="346">
        <f>'2016'!J68</f>
        <v>4140644689.96</v>
      </c>
      <c r="Q17" s="898">
        <f t="shared" si="0"/>
        <v>-1</v>
      </c>
      <c r="S17" s="346">
        <f>'MNC Asset -Proj 2017'!S92</f>
        <v>5969200019.9599991</v>
      </c>
      <c r="U17" s="898">
        <f t="shared" si="1"/>
        <v>-1</v>
      </c>
      <c r="Y17" s="386"/>
    </row>
    <row r="18" spans="1:25">
      <c r="A18" s="312" t="s">
        <v>750</v>
      </c>
      <c r="B18" s="854" t="str">
        <f>'Detail WBS''1217'!A58</f>
        <v>WBS.6</v>
      </c>
      <c r="C18" s="878">
        <f>'Detail WBS''1217'!E62</f>
        <v>0</v>
      </c>
      <c r="D18" s="871">
        <f>'Detail WBS''1217'!F62</f>
        <v>0</v>
      </c>
      <c r="E18" s="871">
        <f>'Detail WBS''1217'!G62</f>
        <v>0</v>
      </c>
      <c r="F18" s="859">
        <f>'Detail WBS''1217'!H62</f>
        <v>181009400.10000002</v>
      </c>
      <c r="G18" s="871">
        <f>'Detail WBS''1217'!I62</f>
        <v>227169586.35000002</v>
      </c>
      <c r="H18" s="859">
        <f>'Detail WBS''1217'!J62</f>
        <v>264107094.81</v>
      </c>
      <c r="I18" s="871">
        <f>'Detail WBS''1217'!K62</f>
        <v>307183194</v>
      </c>
      <c r="J18" s="871">
        <f>'Detail WBS''1217'!L62</f>
        <v>358664507</v>
      </c>
      <c r="K18" s="871">
        <f>'Detail WBS''1217'!M62</f>
        <v>360416034.00999999</v>
      </c>
      <c r="L18" s="871">
        <v>360416034.95999992</v>
      </c>
      <c r="M18" s="871">
        <v>360396931.95999992</v>
      </c>
      <c r="N18" s="903"/>
      <c r="O18" s="979">
        <f>'Detail WBS''1217'!P62</f>
        <v>0</v>
      </c>
      <c r="P18" s="346">
        <f>'2016'!J58</f>
        <v>1096734736.4400001</v>
      </c>
      <c r="Q18" s="898">
        <f t="shared" si="0"/>
        <v>-1</v>
      </c>
      <c r="U18" s="898">
        <v>1</v>
      </c>
      <c r="Y18" s="386"/>
    </row>
    <row r="19" spans="1:25">
      <c r="A19" s="312" t="s">
        <v>752</v>
      </c>
      <c r="B19" s="854" t="str">
        <f>'Detail WBS''1217'!A73</f>
        <v>WBS.8</v>
      </c>
      <c r="C19" s="878">
        <f>'Detail WBS''1217'!E73</f>
        <v>1141716065</v>
      </c>
      <c r="D19" s="871">
        <f>'Detail WBS''1217'!F73</f>
        <v>1186265552.0700002</v>
      </c>
      <c r="E19" s="871">
        <f>'Detail WBS''1217'!G73</f>
        <v>1234970307.1900001</v>
      </c>
      <c r="F19" s="859">
        <f>'Detail WBS''1217'!H73</f>
        <v>1096734736</v>
      </c>
      <c r="G19" s="871">
        <f>'Detail WBS''1217'!I73</f>
        <v>1096734736</v>
      </c>
      <c r="H19" s="859">
        <f>'Detail WBS''1217'!J73</f>
        <v>1096734736</v>
      </c>
      <c r="I19" s="871">
        <f>'Detail WBS''1217'!K73</f>
        <v>1096734736</v>
      </c>
      <c r="J19" s="871">
        <f>'Detail WBS''1217'!L73</f>
        <v>1096734736</v>
      </c>
      <c r="K19" s="871">
        <f>'Detail WBS''1217'!M73</f>
        <v>1096734736</v>
      </c>
      <c r="L19" s="871">
        <v>1096734736</v>
      </c>
      <c r="M19" s="871">
        <v>1096734736</v>
      </c>
      <c r="N19" s="903"/>
      <c r="O19" s="979">
        <f>'Detail WBS''1217'!P73</f>
        <v>0</v>
      </c>
      <c r="P19" s="346">
        <f>'2016'!J69</f>
        <v>0</v>
      </c>
      <c r="Q19" s="898">
        <v>1</v>
      </c>
      <c r="R19" s="905"/>
      <c r="S19" s="346">
        <f>'MNC Asset -Proj 2017'!S93</f>
        <v>3218181396.7666702</v>
      </c>
      <c r="U19" s="898">
        <f t="shared" si="1"/>
        <v>-1</v>
      </c>
      <c r="Y19" s="386"/>
    </row>
    <row r="20" spans="1:25">
      <c r="A20" s="312" t="s">
        <v>753</v>
      </c>
      <c r="B20" s="854" t="str">
        <f>'Detail WBS''1217'!A74</f>
        <v>WBS.9</v>
      </c>
      <c r="C20" s="878">
        <f>'Detail WBS''1217'!E74</f>
        <v>1595015775</v>
      </c>
      <c r="D20" s="871">
        <f>'Detail WBS''1217'!F74</f>
        <v>1595015775</v>
      </c>
      <c r="E20" s="871">
        <f>1887725361-99723434</f>
        <v>1788001927</v>
      </c>
      <c r="F20" s="859">
        <f>1887725361-99723434</f>
        <v>1788001927</v>
      </c>
      <c r="G20" s="871">
        <f>1887725361-99723434</f>
        <v>1788001927</v>
      </c>
      <c r="H20" s="859">
        <f t="shared" ref="H20:K20" si="2">1887725361-99723434</f>
        <v>1788001927</v>
      </c>
      <c r="I20" s="871">
        <f t="shared" si="2"/>
        <v>1788001927</v>
      </c>
      <c r="J20" s="871">
        <f t="shared" si="2"/>
        <v>1788001927</v>
      </c>
      <c r="K20" s="871">
        <f t="shared" si="2"/>
        <v>1788001927</v>
      </c>
      <c r="L20" s="871">
        <v>1788001927</v>
      </c>
      <c r="M20" s="871">
        <v>1788001927</v>
      </c>
      <c r="N20" s="903"/>
      <c r="O20" s="979">
        <f>'Detail WBS''1217'!P74</f>
        <v>0</v>
      </c>
      <c r="P20" s="346">
        <f>'2016'!J70</f>
        <v>1595015775.0329108</v>
      </c>
      <c r="Q20" s="898">
        <f t="shared" si="0"/>
        <v>-1</v>
      </c>
      <c r="U20" s="898">
        <v>1</v>
      </c>
      <c r="Y20" s="386"/>
    </row>
    <row r="21" spans="1:25">
      <c r="A21" s="312" t="s">
        <v>754</v>
      </c>
      <c r="B21" s="854" t="str">
        <f>'Detail WBS''1217'!A84</f>
        <v>WBS.11</v>
      </c>
      <c r="C21" s="878">
        <f>'Detail WBS''1217'!E99</f>
        <v>5401258123.9400005</v>
      </c>
      <c r="D21" s="871">
        <f>'Detail WBS''1217'!F99</f>
        <v>5213986040.9400005</v>
      </c>
      <c r="E21" s="871">
        <f>'Detail WBS''1217'!G99</f>
        <v>5052280695.5800018</v>
      </c>
      <c r="F21" s="859">
        <f>'Detail WBS''1217'!H99</f>
        <v>4888336129.5799999</v>
      </c>
      <c r="G21" s="871">
        <f>'Detail WBS''1217'!I99</f>
        <v>4866402164.5100002</v>
      </c>
      <c r="H21" s="859">
        <f>'Detail WBS''1217'!J99</f>
        <v>4743717219.1299992</v>
      </c>
      <c r="I21" s="871">
        <f>'Detail WBS''1217'!K99</f>
        <v>4561888233.1299992</v>
      </c>
      <c r="J21" s="871">
        <f>'Detail WBS''1217'!L99</f>
        <v>4449454033.1299992</v>
      </c>
      <c r="K21" s="871">
        <f>'Detail WBS''1217'!M99</f>
        <v>4205316971.9499989</v>
      </c>
      <c r="L21" s="871">
        <v>4674795140.9499989</v>
      </c>
      <c r="M21" s="871">
        <v>4384985868.9499989</v>
      </c>
      <c r="N21" s="903"/>
      <c r="O21" s="979">
        <f>'Detail WBS''1217'!P99</f>
        <v>0</v>
      </c>
      <c r="P21" s="346">
        <f>'2016'!J93</f>
        <v>5586481451.5500002</v>
      </c>
      <c r="Q21" s="898">
        <f t="shared" si="0"/>
        <v>-1</v>
      </c>
      <c r="S21" s="346">
        <f>'MNC Asset -Proj 2017'!S95</f>
        <v>6673620854.6166668</v>
      </c>
      <c r="U21" s="898">
        <f t="shared" si="1"/>
        <v>-1</v>
      </c>
      <c r="Y21" s="386"/>
    </row>
    <row r="22" spans="1:25">
      <c r="A22" s="312" t="s">
        <v>755</v>
      </c>
      <c r="B22" s="854" t="str">
        <f>'Detail WBS''1217'!A101</f>
        <v>WBS.12</v>
      </c>
      <c r="C22" s="878">
        <f>'Detail WBS''1217'!E104</f>
        <v>413001688.33000004</v>
      </c>
      <c r="D22" s="871">
        <f>'Detail WBS''1217'!F104</f>
        <v>397846045.94</v>
      </c>
      <c r="E22" s="871">
        <f>'Detail WBS''1217'!G104</f>
        <v>382690404.26999998</v>
      </c>
      <c r="F22" s="859">
        <f>'Detail WBS''1217'!H104</f>
        <v>367534762.26999998</v>
      </c>
      <c r="G22" s="871">
        <f>'Detail WBS''1217'!I104</f>
        <v>352379120.33000004</v>
      </c>
      <c r="H22" s="859">
        <f>'Detail WBS''1217'!J104</f>
        <v>337223478.33000004</v>
      </c>
      <c r="I22" s="871">
        <f>'Detail WBS''1217'!K104</f>
        <v>322067836.33000004</v>
      </c>
      <c r="J22" s="871">
        <f>'Detail WBS''1217'!L104</f>
        <v>315066361.33000004</v>
      </c>
      <c r="K22" s="871">
        <f>'Detail WBS''1217'!M104</f>
        <v>308064886.26999998</v>
      </c>
      <c r="L22" s="871">
        <v>308064886.26999998</v>
      </c>
      <c r="M22" s="871">
        <v>294061936.26999998</v>
      </c>
      <c r="N22" s="903"/>
      <c r="O22" s="979">
        <f>'Detail WBS''1217'!P104</f>
        <v>0</v>
      </c>
      <c r="P22" s="346">
        <f>'2016'!J98</f>
        <v>428157330.33000004</v>
      </c>
      <c r="Q22" s="898">
        <f t="shared" si="0"/>
        <v>-1</v>
      </c>
      <c r="S22" s="346">
        <f>'MNC Asset -Proj 2017'!S96</f>
        <v>1229911617.3333335</v>
      </c>
      <c r="U22" s="898">
        <f t="shared" si="1"/>
        <v>-1</v>
      </c>
      <c r="Y22" s="386"/>
    </row>
    <row r="23" spans="1:25">
      <c r="A23" s="312" t="s">
        <v>756</v>
      </c>
      <c r="B23" s="854" t="str">
        <f>'Detail WBS''1217'!A75</f>
        <v>WBS.10</v>
      </c>
      <c r="C23" s="878">
        <f>'Detail WBS''1217'!E83</f>
        <v>1561858773</v>
      </c>
      <c r="D23" s="871">
        <f>'Detail WBS''1217'!F83</f>
        <v>1558258773</v>
      </c>
      <c r="E23" s="871">
        <f>'Detail WBS''1217'!G83</f>
        <v>2308839992</v>
      </c>
      <c r="F23" s="859">
        <f>'Detail WBS''1217'!H83</f>
        <v>2308839992</v>
      </c>
      <c r="G23" s="871">
        <f>'Detail WBS''1217'!I83</f>
        <v>2308839992</v>
      </c>
      <c r="H23" s="859">
        <f>'Detail WBS''1217'!J83</f>
        <v>2347642240</v>
      </c>
      <c r="I23" s="871">
        <f>'Detail WBS''1217'!K83</f>
        <v>2350992921</v>
      </c>
      <c r="J23" s="871">
        <f>'Detail WBS''1217'!L83</f>
        <v>2371201133</v>
      </c>
      <c r="K23" s="871">
        <f>'Detail WBS''1217'!M83</f>
        <v>2539321489</v>
      </c>
      <c r="L23" s="871">
        <v>2747771030</v>
      </c>
      <c r="M23" s="871">
        <v>3469970261</v>
      </c>
      <c r="N23" s="903"/>
      <c r="O23" s="979">
        <f>'Detail WBS''1217'!P83</f>
        <v>0</v>
      </c>
      <c r="P23" s="346">
        <f>'2016'!J78</f>
        <v>1641108773</v>
      </c>
      <c r="Q23" s="898">
        <f t="shared" si="0"/>
        <v>-1</v>
      </c>
      <c r="S23" s="358">
        <f>'MNC Asset -Proj 2017'!S97</f>
        <v>2643234449</v>
      </c>
      <c r="U23" s="898">
        <f t="shared" si="1"/>
        <v>-1</v>
      </c>
      <c r="Y23" s="386"/>
    </row>
    <row r="24" spans="1:25" hidden="1">
      <c r="C24" s="878"/>
      <c r="D24" s="871"/>
      <c r="E24" s="871"/>
      <c r="F24" s="859"/>
      <c r="G24" s="871"/>
      <c r="H24" s="859"/>
      <c r="I24" s="871"/>
      <c r="J24" s="871"/>
      <c r="K24" s="871"/>
      <c r="L24" s="871"/>
      <c r="M24" s="871"/>
      <c r="N24" s="903"/>
      <c r="O24" s="979"/>
      <c r="P24" s="344"/>
      <c r="Q24" s="312" t="e">
        <f t="shared" si="0"/>
        <v>#DIV/0!</v>
      </c>
      <c r="U24" s="898" t="e">
        <f t="shared" si="1"/>
        <v>#DIV/0!</v>
      </c>
    </row>
    <row r="25" spans="1:25" ht="13.5" thickBot="1">
      <c r="A25" s="384" t="s">
        <v>51</v>
      </c>
      <c r="C25" s="879">
        <f>SUM(C11:C23)</f>
        <v>54739965444.180008</v>
      </c>
      <c r="D25" s="879">
        <f t="shared" ref="D25:I25" si="3">SUM(D11:D23)</f>
        <v>53748413964.860001</v>
      </c>
      <c r="E25" s="879">
        <f t="shared" si="3"/>
        <v>54625384683.090004</v>
      </c>
      <c r="F25" s="879">
        <f t="shared" si="3"/>
        <v>54600329613.849998</v>
      </c>
      <c r="G25" s="879">
        <f t="shared" si="3"/>
        <v>55772068785.220001</v>
      </c>
      <c r="H25" s="879">
        <f t="shared" si="3"/>
        <v>54406717953.75</v>
      </c>
      <c r="I25" s="879">
        <f t="shared" si="3"/>
        <v>52402904831.389992</v>
      </c>
      <c r="J25" s="879">
        <f>SUM(J11:J23)</f>
        <v>52295811356.800003</v>
      </c>
      <c r="K25" s="879">
        <f>SUM(K11:K23)</f>
        <v>52128097602.979996</v>
      </c>
      <c r="L25" s="879">
        <f>SUM(L11:L23)</f>
        <v>53271634496.929993</v>
      </c>
      <c r="M25" s="879">
        <f>SUM(M11:M23)</f>
        <v>53022531190.669991</v>
      </c>
      <c r="N25" s="903"/>
      <c r="O25" s="980">
        <f>SUM(O11:O23)</f>
        <v>0</v>
      </c>
      <c r="P25" s="385">
        <f>SUM(P11:P23)</f>
        <v>52294868714.332924</v>
      </c>
      <c r="Q25" s="899">
        <f t="shared" si="0"/>
        <v>-1</v>
      </c>
      <c r="R25" s="905"/>
      <c r="S25" s="385">
        <f>SUM(S11:S23)</f>
        <v>55681119093.577866</v>
      </c>
      <c r="U25" s="899">
        <f t="shared" si="1"/>
        <v>-1</v>
      </c>
    </row>
    <row r="26" spans="1:25" ht="13.5" hidden="1" thickTop="1">
      <c r="C26" s="877"/>
      <c r="E26" s="887"/>
      <c r="G26" s="862"/>
      <c r="H26" s="859"/>
      <c r="I26" s="862"/>
      <c r="J26" s="871"/>
      <c r="K26" s="871"/>
      <c r="L26" s="871"/>
      <c r="M26" s="871"/>
      <c r="N26" s="903"/>
      <c r="O26" s="979"/>
      <c r="P26" s="309"/>
      <c r="U26" s="898" t="e">
        <f t="shared" si="1"/>
        <v>#DIV/0!</v>
      </c>
    </row>
    <row r="27" spans="1:25" ht="13.5" thickTop="1">
      <c r="C27" s="877"/>
      <c r="E27" s="887"/>
      <c r="G27" s="862"/>
      <c r="H27" s="859"/>
      <c r="I27" s="862"/>
      <c r="J27" s="871"/>
      <c r="K27" s="871"/>
      <c r="L27" s="871"/>
      <c r="M27" s="871"/>
      <c r="N27" s="903"/>
      <c r="O27" s="979"/>
      <c r="P27" s="1031"/>
      <c r="S27" s="482"/>
      <c r="U27" s="898"/>
    </row>
    <row r="28" spans="1:25">
      <c r="A28" s="891" t="s">
        <v>10</v>
      </c>
      <c r="C28" s="877"/>
      <c r="E28" s="887"/>
      <c r="G28" s="862"/>
      <c r="H28" s="859"/>
      <c r="I28" s="862"/>
      <c r="J28" s="871"/>
      <c r="K28" s="871"/>
      <c r="L28" s="871"/>
      <c r="M28" s="871"/>
      <c r="N28" s="903"/>
      <c r="O28" s="979"/>
      <c r="P28" s="307"/>
      <c r="U28" s="898"/>
    </row>
    <row r="29" spans="1:25">
      <c r="A29" s="892" t="s">
        <v>758</v>
      </c>
      <c r="C29" s="877"/>
      <c r="E29" s="887"/>
      <c r="G29" s="862"/>
      <c r="H29" s="859"/>
      <c r="I29" s="862"/>
      <c r="J29" s="871"/>
      <c r="K29" s="871"/>
      <c r="L29" s="871"/>
      <c r="M29" s="871"/>
      <c r="N29" s="903"/>
      <c r="O29" s="979"/>
      <c r="U29" s="898"/>
    </row>
    <row r="30" spans="1:25">
      <c r="A30" s="890" t="s">
        <v>747</v>
      </c>
      <c r="B30" s="854" t="str">
        <f>'Detail WBS''1217'!A106</f>
        <v>WBS.13</v>
      </c>
      <c r="C30" s="878">
        <f>'Detail WBS''1217'!E111</f>
        <v>7702647083</v>
      </c>
      <c r="D30" s="871">
        <f>'Detail WBS''1217'!F111</f>
        <v>7529647244.5500002</v>
      </c>
      <c r="E30" s="871">
        <f>'Detail WBS''1217'!G111</f>
        <v>8294730207</v>
      </c>
      <c r="F30" s="859">
        <f>'Detail WBS''1217'!H111</f>
        <v>8074943222</v>
      </c>
      <c r="G30" s="871">
        <f>'Detail WBS''1217'!I111</f>
        <v>7511043609</v>
      </c>
      <c r="H30" s="859">
        <f>'Detail WBS''1217'!J111</f>
        <v>7646048498.8999996</v>
      </c>
      <c r="I30" s="871">
        <f>'Detail WBS''1217'!K111</f>
        <v>7780157114</v>
      </c>
      <c r="J30" s="871">
        <f>'Detail WBS''1217'!L111</f>
        <v>7860608269</v>
      </c>
      <c r="K30" s="871">
        <f>ROUND('Detail WBS''1217'!M111,0)</f>
        <v>8187283578</v>
      </c>
      <c r="L30" s="1001">
        <v>7674749270</v>
      </c>
      <c r="M30" s="1001">
        <v>7490642505</v>
      </c>
      <c r="N30" s="897"/>
      <c r="O30" s="979">
        <f>ROUND('Detail WBS''1217'!P111,0)</f>
        <v>0</v>
      </c>
      <c r="P30" s="872">
        <f>'2016'!J108</f>
        <v>6730022700</v>
      </c>
      <c r="Q30" s="898">
        <f>(O30-P30)/P30</f>
        <v>-1</v>
      </c>
      <c r="S30" s="346">
        <f>'MNC Asset -Proj 2017'!S104+'MNC Asset -Proj 2017'!S107</f>
        <v>3090006345</v>
      </c>
      <c r="T30" s="912"/>
      <c r="U30" s="898">
        <f t="shared" si="1"/>
        <v>-1</v>
      </c>
    </row>
    <row r="31" spans="1:25">
      <c r="A31" s="892" t="s">
        <v>759</v>
      </c>
      <c r="B31" s="854" t="str">
        <f>'Detail WBS''1217'!A112</f>
        <v>WBS.14</v>
      </c>
      <c r="C31" s="878">
        <f>'Detail WBS''1217'!E120</f>
        <v>330307164.18000001</v>
      </c>
      <c r="D31" s="871">
        <f>'Detail WBS''1217'!F120</f>
        <v>313843377.98000002</v>
      </c>
      <c r="E31" s="871">
        <f>'Detail WBS''1217'!G120</f>
        <v>319611031.98000002</v>
      </c>
      <c r="F31" s="859">
        <f>'Detail WBS''1217'!H120</f>
        <v>346048160.98000002</v>
      </c>
      <c r="G31" s="871">
        <f>'Detail WBS''1217'!I120</f>
        <v>604824512.44000018</v>
      </c>
      <c r="H31" s="859">
        <f>'Detail WBS''1217'!J120</f>
        <v>399415572.76999998</v>
      </c>
      <c r="I31" s="871">
        <f>'Detail WBS''1217'!K120</f>
        <v>319998419.15999997</v>
      </c>
      <c r="J31" s="871">
        <f>'Detail WBS''1217'!L120</f>
        <v>354445552.26999986</v>
      </c>
      <c r="K31" s="871">
        <f>ROUND('Detail WBS''1217'!M120,0)</f>
        <v>316517174</v>
      </c>
      <c r="L31" s="1001">
        <v>362983022</v>
      </c>
      <c r="M31" s="1001">
        <v>327216301</v>
      </c>
      <c r="N31" s="897"/>
      <c r="O31" s="979">
        <f>ROUND('Detail WBS''1217'!P120,0)</f>
        <v>0</v>
      </c>
      <c r="P31" s="872">
        <f>'2016'!J117</f>
        <v>400014588.17999995</v>
      </c>
      <c r="Q31" s="898">
        <f>(O31-P31)/P31</f>
        <v>-1</v>
      </c>
      <c r="S31" s="346">
        <f>'MNC Asset -Proj 2017'!S105</f>
        <v>927353293.70630801</v>
      </c>
      <c r="U31" s="898">
        <f t="shared" si="1"/>
        <v>-1</v>
      </c>
    </row>
    <row r="32" spans="1:25">
      <c r="A32" s="892" t="s">
        <v>821</v>
      </c>
      <c r="B32" s="854" t="str">
        <f>'Detail WBS''1217'!A121</f>
        <v>WBS.15</v>
      </c>
      <c r="C32" s="878">
        <f>'Detail WBS''1217'!E126</f>
        <v>742035427</v>
      </c>
      <c r="D32" s="871">
        <f>'Detail WBS''1217'!F126</f>
        <v>717750470</v>
      </c>
      <c r="E32" s="871">
        <f>'Detail WBS''1217'!G126</f>
        <v>693152706</v>
      </c>
      <c r="F32" s="859">
        <f>'Detail WBS''1217'!H126</f>
        <v>668238105</v>
      </c>
      <c r="G32" s="871">
        <f>'Detail WBS''1217'!I126</f>
        <v>1347864247</v>
      </c>
      <c r="H32" s="859">
        <f>'Detail WBS''1217'!J126</f>
        <v>1312860577</v>
      </c>
      <c r="I32" s="871">
        <f>'Detail WBS''1217'!K126</f>
        <v>1277425409</v>
      </c>
      <c r="J32" s="871">
        <f>'Detail WBS''1217'!L126</f>
        <v>1241553396</v>
      </c>
      <c r="K32" s="871">
        <f>ROUND('Detail WBS''1217'!M126,0)</f>
        <v>1205239124</v>
      </c>
      <c r="L32" s="1001">
        <v>1603051110</v>
      </c>
      <c r="M32" s="1001">
        <v>1555875866</v>
      </c>
      <c r="N32" s="897"/>
      <c r="O32" s="979">
        <f>ROUND('Detail WBS''1217'!P126,0)</f>
        <v>0</v>
      </c>
      <c r="P32" s="872">
        <f>'2016'!J122</f>
        <v>766011554</v>
      </c>
      <c r="Q32" s="898">
        <f>(O32-P32)/P32</f>
        <v>-1</v>
      </c>
      <c r="S32" s="346">
        <f>'MNC Asset -Proj 2017'!S108</f>
        <v>1795513174.365339</v>
      </c>
      <c r="U32" s="898">
        <f t="shared" si="1"/>
        <v>-1</v>
      </c>
    </row>
    <row r="33" spans="1:34">
      <c r="A33" s="892" t="s">
        <v>760</v>
      </c>
      <c r="B33" s="854" t="str">
        <f>'Detail WBS''1217'!A127</f>
        <v>WBS.16</v>
      </c>
      <c r="C33" s="880"/>
      <c r="D33" s="874"/>
      <c r="E33" s="874"/>
      <c r="F33" s="861"/>
      <c r="G33" s="874"/>
      <c r="H33" s="861"/>
      <c r="I33" s="874"/>
      <c r="J33" s="874"/>
      <c r="K33" s="874"/>
      <c r="L33" s="874">
        <v>0</v>
      </c>
      <c r="M33" s="874">
        <v>0</v>
      </c>
      <c r="N33" s="897"/>
      <c r="O33" s="1101">
        <f>'Detail WBS''1217'!P127</f>
        <v>0</v>
      </c>
      <c r="P33" s="358">
        <f>'2016'!I123</f>
        <v>0</v>
      </c>
      <c r="Q33" s="900"/>
      <c r="U33" s="900"/>
    </row>
    <row r="34" spans="1:34">
      <c r="A34" s="891" t="s">
        <v>22</v>
      </c>
      <c r="C34" s="878">
        <f>SUM(C30:C33)</f>
        <v>8774989674.1800003</v>
      </c>
      <c r="D34" s="871">
        <f t="shared" ref="D34:M34" si="4">SUM(D30:D33)</f>
        <v>8561241092.5300007</v>
      </c>
      <c r="E34" s="871">
        <f t="shared" si="4"/>
        <v>9307493944.9799995</v>
      </c>
      <c r="F34" s="859">
        <f t="shared" si="4"/>
        <v>9089229487.9799995</v>
      </c>
      <c r="G34" s="871">
        <f t="shared" si="4"/>
        <v>9463732368.4400005</v>
      </c>
      <c r="H34" s="859">
        <f t="shared" si="4"/>
        <v>9358324648.6700001</v>
      </c>
      <c r="I34" s="871">
        <f t="shared" si="4"/>
        <v>9377580942.1599998</v>
      </c>
      <c r="J34" s="871">
        <f t="shared" si="4"/>
        <v>9456607217.2700005</v>
      </c>
      <c r="K34" s="871">
        <f t="shared" si="4"/>
        <v>9709039876</v>
      </c>
      <c r="L34" s="871">
        <f t="shared" si="4"/>
        <v>9640783402</v>
      </c>
      <c r="M34" s="871">
        <f t="shared" si="4"/>
        <v>9373734672</v>
      </c>
      <c r="N34" s="903"/>
      <c r="O34" s="979">
        <f>SUM(O30:O33)</f>
        <v>0</v>
      </c>
      <c r="P34" s="346">
        <f>SUM(P30:P33)</f>
        <v>7896048842.1800003</v>
      </c>
      <c r="Q34" s="898">
        <f>(O34-P34)/P34</f>
        <v>-1</v>
      </c>
      <c r="R34" s="905"/>
      <c r="S34" s="911">
        <f>SUM(S30:S33)</f>
        <v>5812872813.0716467</v>
      </c>
      <c r="U34" s="898">
        <f t="shared" si="1"/>
        <v>-1</v>
      </c>
    </row>
    <row r="35" spans="1:34">
      <c r="A35" s="891"/>
      <c r="C35" s="875"/>
      <c r="D35" s="871"/>
      <c r="E35" s="886"/>
      <c r="F35" s="859"/>
      <c r="G35" s="871"/>
      <c r="H35" s="859"/>
      <c r="I35" s="871"/>
      <c r="J35" s="871"/>
      <c r="K35" s="871"/>
      <c r="L35" s="871"/>
      <c r="M35" s="871"/>
      <c r="N35" s="903"/>
      <c r="O35" s="979"/>
      <c r="P35" s="903"/>
      <c r="Q35" s="898"/>
      <c r="U35" s="898"/>
    </row>
    <row r="36" spans="1:34">
      <c r="A36" s="891" t="s">
        <v>27</v>
      </c>
      <c r="C36" s="875"/>
      <c r="D36" s="871"/>
      <c r="E36" s="886"/>
      <c r="F36" s="859"/>
      <c r="G36" s="871"/>
      <c r="H36" s="859"/>
      <c r="I36" s="871"/>
      <c r="J36" s="871"/>
      <c r="K36" s="871"/>
      <c r="L36" s="871"/>
      <c r="M36" s="871"/>
      <c r="N36" s="903"/>
      <c r="O36" s="979"/>
      <c r="Q36" s="898"/>
      <c r="U36" s="898"/>
    </row>
    <row r="37" spans="1:34">
      <c r="A37" s="892" t="s">
        <v>762</v>
      </c>
      <c r="C37" s="875"/>
      <c r="D37" s="871"/>
      <c r="E37" s="886"/>
      <c r="F37" s="859"/>
      <c r="G37" s="871"/>
      <c r="H37" s="859"/>
      <c r="I37" s="871"/>
      <c r="J37" s="871"/>
      <c r="K37" s="871"/>
      <c r="L37" s="871"/>
      <c r="M37" s="871"/>
      <c r="N37" s="903"/>
      <c r="O37" s="979"/>
      <c r="Q37" s="898"/>
      <c r="U37" s="898"/>
    </row>
    <row r="38" spans="1:34">
      <c r="A38" s="893" t="s">
        <v>763</v>
      </c>
      <c r="C38" s="875"/>
      <c r="D38" s="871"/>
      <c r="E38" s="886"/>
      <c r="F38" s="859"/>
      <c r="G38" s="871"/>
      <c r="H38" s="859"/>
      <c r="I38" s="871"/>
      <c r="J38" s="871"/>
      <c r="K38" s="871"/>
      <c r="L38" s="871"/>
      <c r="M38" s="871"/>
      <c r="N38" s="903"/>
      <c r="O38" s="979"/>
      <c r="Q38" s="898"/>
      <c r="U38" s="898"/>
    </row>
    <row r="39" spans="1:34">
      <c r="A39" s="893" t="s">
        <v>761</v>
      </c>
      <c r="B39" s="854" t="str">
        <f>'Detail WBS''1217'!A128</f>
        <v>WBS.17</v>
      </c>
      <c r="C39" s="878">
        <f>'Detail WBS''1217'!E131</f>
        <v>26260000000</v>
      </c>
      <c r="D39" s="871">
        <f>'Detail WBS''1217'!F131</f>
        <v>26260000000</v>
      </c>
      <c r="E39" s="871">
        <f>'Detail WBS''1217'!G131</f>
        <v>26260000000</v>
      </c>
      <c r="F39" s="859">
        <f>'Detail WBS''1217'!H131</f>
        <v>26260000000</v>
      </c>
      <c r="G39" s="871">
        <f>'Detail WBS''1217'!I131</f>
        <v>26260000000</v>
      </c>
      <c r="H39" s="859">
        <f>'Detail WBS''1217'!J131</f>
        <v>26260000000</v>
      </c>
      <c r="I39" s="871">
        <f>'Detail WBS''1217'!K131</f>
        <v>26260000000</v>
      </c>
      <c r="J39" s="871">
        <f>'Detail WBS''1217'!L131</f>
        <v>26260000000</v>
      </c>
      <c r="K39" s="871">
        <f>'Detail WBS''1217'!M131</f>
        <v>26260000000</v>
      </c>
      <c r="L39" s="871">
        <v>26260000000</v>
      </c>
      <c r="M39" s="871">
        <v>26260000000</v>
      </c>
      <c r="N39" s="903"/>
      <c r="O39" s="979">
        <f>'Detail WBS''1217'!P131</f>
        <v>26260000000</v>
      </c>
      <c r="P39" s="346">
        <f>'2016'!J129</f>
        <v>26260000000</v>
      </c>
      <c r="Q39" s="898">
        <f>(O39-P39)/P39</f>
        <v>0</v>
      </c>
      <c r="S39" s="346">
        <v>26260000000</v>
      </c>
      <c r="U39" s="898">
        <f t="shared" si="1"/>
        <v>0</v>
      </c>
    </row>
    <row r="40" spans="1:34">
      <c r="A40" s="892" t="s">
        <v>45</v>
      </c>
      <c r="C40" s="878"/>
      <c r="D40" s="871"/>
      <c r="E40" s="871"/>
      <c r="F40" s="859"/>
      <c r="G40" s="871"/>
      <c r="H40" s="859"/>
      <c r="I40" s="871"/>
      <c r="J40" s="871"/>
      <c r="K40" s="871"/>
      <c r="L40" s="871"/>
      <c r="M40" s="871"/>
      <c r="N40" s="903"/>
      <c r="O40" s="979"/>
      <c r="Q40" s="898"/>
      <c r="U40" s="898"/>
    </row>
    <row r="41" spans="1:34">
      <c r="A41" s="892" t="s">
        <v>41</v>
      </c>
      <c r="C41" s="859">
        <f>ROUND(21811111978.3279,0)</f>
        <v>21811111978</v>
      </c>
      <c r="D41" s="871">
        <f>ROUND(21811111978.3279,0)</f>
        <v>21811111978</v>
      </c>
      <c r="E41" s="871">
        <v>21867985293</v>
      </c>
      <c r="F41" s="859">
        <v>21867985293</v>
      </c>
      <c r="G41" s="871">
        <v>21867985293</v>
      </c>
      <c r="H41" s="859">
        <v>21867985293</v>
      </c>
      <c r="I41" s="871">
        <v>21867985293</v>
      </c>
      <c r="J41" s="871">
        <v>21867985293</v>
      </c>
      <c r="K41" s="871">
        <v>21867985293</v>
      </c>
      <c r="L41" s="871">
        <v>21867985293</v>
      </c>
      <c r="M41" s="871">
        <v>21867985293</v>
      </c>
      <c r="N41" s="903"/>
      <c r="O41" s="979">
        <f>ROUND(21867985292.73,0)</f>
        <v>21867985293</v>
      </c>
      <c r="P41" s="346">
        <f>'2016'!J131</f>
        <v>18450753228</v>
      </c>
      <c r="Q41" s="898">
        <f>(O41-P41)/P41</f>
        <v>0.18520826888596442</v>
      </c>
      <c r="S41" s="346">
        <v>17597370713.034973</v>
      </c>
      <c r="U41" s="898">
        <f t="shared" si="1"/>
        <v>0.2426848106803613</v>
      </c>
    </row>
    <row r="42" spans="1:34">
      <c r="A42" s="892" t="s">
        <v>42</v>
      </c>
      <c r="C42" s="859">
        <f>C103</f>
        <v>1621348398</v>
      </c>
      <c r="D42" s="871">
        <f t="shared" ref="D42:J42" si="5">D103+C42</f>
        <v>1385480500.3299999</v>
      </c>
      <c r="E42" s="871">
        <f t="shared" si="5"/>
        <v>2373402945.1099997</v>
      </c>
      <c r="F42" s="859">
        <f t="shared" si="5"/>
        <v>2463742332.8699999</v>
      </c>
      <c r="G42" s="871">
        <f t="shared" si="5"/>
        <v>2162056123.7799993</v>
      </c>
      <c r="H42" s="859">
        <f t="shared" si="5"/>
        <v>1602110512.079999</v>
      </c>
      <c r="I42" s="871">
        <f t="shared" si="5"/>
        <v>131011096.22999859</v>
      </c>
      <c r="J42" s="871">
        <f t="shared" si="5"/>
        <v>-499593495.47000086</v>
      </c>
      <c r="K42" s="871">
        <v>-1151330822.0200009</v>
      </c>
      <c r="L42" s="871">
        <v>-954276343.07000005</v>
      </c>
      <c r="M42" s="871">
        <v>8217403.8899999857</v>
      </c>
      <c r="N42" s="903"/>
      <c r="O42" s="979">
        <f>N107+M42</f>
        <v>106597375.30000004</v>
      </c>
      <c r="P42" s="386">
        <f>P103</f>
        <v>3360358750.3279157</v>
      </c>
      <c r="Q42" s="898">
        <f>(O42-P42)/P42</f>
        <v>-0.9682779776743784</v>
      </c>
      <c r="S42" s="346">
        <f>'MNC Asset -Proj 2017'!S116</f>
        <v>6010875567.5478878</v>
      </c>
      <c r="U42" s="898">
        <f t="shared" si="1"/>
        <v>-0.98226591548899989</v>
      </c>
    </row>
    <row r="43" spans="1:34">
      <c r="A43" s="309" t="s">
        <v>47</v>
      </c>
      <c r="C43" s="859">
        <v>934132894</v>
      </c>
      <c r="D43" s="871">
        <v>934132894</v>
      </c>
      <c r="E43" s="871"/>
      <c r="F43" s="859"/>
      <c r="G43" s="871"/>
      <c r="H43" s="859"/>
      <c r="I43" s="871"/>
      <c r="J43" s="871">
        <v>1018650342</v>
      </c>
      <c r="K43" s="871">
        <v>763987756</v>
      </c>
      <c r="L43" s="871">
        <v>1367276645</v>
      </c>
      <c r="M43" s="871">
        <v>683638322</v>
      </c>
      <c r="N43" s="903"/>
      <c r="O43" s="979">
        <f>-'TB''1217'!H177</f>
        <v>0</v>
      </c>
      <c r="P43" s="346">
        <f>'2016'!J133</f>
        <v>934132894</v>
      </c>
      <c r="Q43" s="898">
        <f>(O43-P43)/P43</f>
        <v>-1</v>
      </c>
      <c r="U43" s="898">
        <v>1</v>
      </c>
    </row>
    <row r="44" spans="1:34">
      <c r="A44" s="307" t="s">
        <v>49</v>
      </c>
      <c r="C44" s="880">
        <v>-4661617500</v>
      </c>
      <c r="D44" s="874">
        <v>-5203552500</v>
      </c>
      <c r="E44" s="874">
        <v>-5183497500</v>
      </c>
      <c r="F44" s="861">
        <v>-5080627500</v>
      </c>
      <c r="G44" s="874">
        <v>-3981705000</v>
      </c>
      <c r="H44" s="861">
        <v>-4681702500</v>
      </c>
      <c r="I44" s="874">
        <v>-5233672500</v>
      </c>
      <c r="J44" s="874">
        <v>-5807838000</v>
      </c>
      <c r="K44" s="1001">
        <v>-5321584500</v>
      </c>
      <c r="L44" s="1001">
        <v>-4910134500</v>
      </c>
      <c r="M44" s="1001">
        <v>-5171044500</v>
      </c>
      <c r="N44" s="903"/>
      <c r="O44" s="979">
        <f>-'TB''1217'!H175</f>
        <v>-5143444500</v>
      </c>
      <c r="P44" s="420">
        <v>-4606425000</v>
      </c>
      <c r="Q44" s="898">
        <v>1</v>
      </c>
      <c r="S44" s="358"/>
      <c r="U44" s="898">
        <v>-1</v>
      </c>
    </row>
    <row r="45" spans="1:34">
      <c r="A45" s="384" t="s">
        <v>50</v>
      </c>
      <c r="C45" s="878">
        <f>SUM(C39:C44)</f>
        <v>45964975770</v>
      </c>
      <c r="D45" s="871">
        <f t="shared" ref="D45:M45" si="6">SUM(D39:D44)</f>
        <v>45187172872.330002</v>
      </c>
      <c r="E45" s="871">
        <f t="shared" si="6"/>
        <v>45317890738.110001</v>
      </c>
      <c r="F45" s="859">
        <f t="shared" si="6"/>
        <v>45511100125.870003</v>
      </c>
      <c r="G45" s="871">
        <f t="shared" si="6"/>
        <v>46308336416.779999</v>
      </c>
      <c r="H45" s="859">
        <f t="shared" si="6"/>
        <v>45048393305.080002</v>
      </c>
      <c r="I45" s="871">
        <f t="shared" si="6"/>
        <v>43025323889.229996</v>
      </c>
      <c r="J45" s="871">
        <f t="shared" si="6"/>
        <v>42839204139.529999</v>
      </c>
      <c r="K45" s="1002">
        <f t="shared" si="6"/>
        <v>42419057726.979996</v>
      </c>
      <c r="L45" s="1002">
        <f t="shared" si="6"/>
        <v>43630851094.93</v>
      </c>
      <c r="M45" s="1002">
        <f t="shared" si="6"/>
        <v>43648796518.889999</v>
      </c>
      <c r="N45" s="903"/>
      <c r="O45" s="981">
        <f>SUM(O39:O44)</f>
        <v>43091138168.300003</v>
      </c>
      <c r="P45" s="387">
        <f>SUM(P39:P44)</f>
        <v>44398819872.327919</v>
      </c>
      <c r="Q45" s="901">
        <f>(O45-P45)/P45</f>
        <v>-2.9453073477814302E-2</v>
      </c>
      <c r="S45" s="345">
        <f>SUM(S39:S44)</f>
        <v>49868246280.582863</v>
      </c>
      <c r="U45" s="901">
        <f t="shared" si="1"/>
        <v>-0.13590026956535775</v>
      </c>
    </row>
    <row r="46" spans="1:34" s="420" customFormat="1" ht="13.5" thickBot="1">
      <c r="A46" s="419" t="s">
        <v>1067</v>
      </c>
      <c r="B46" s="859"/>
      <c r="C46" s="888">
        <f>C34+C45</f>
        <v>54739965444.18</v>
      </c>
      <c r="D46" s="888">
        <f t="shared" ref="D46:M46" si="7">D34+D45</f>
        <v>53748413964.860001</v>
      </c>
      <c r="E46" s="888">
        <f t="shared" si="7"/>
        <v>54625384683.089996</v>
      </c>
      <c r="F46" s="888">
        <f t="shared" si="7"/>
        <v>54600329613.850006</v>
      </c>
      <c r="G46" s="888">
        <f t="shared" si="7"/>
        <v>55772068785.220001</v>
      </c>
      <c r="H46" s="888">
        <f t="shared" si="7"/>
        <v>54406717953.75</v>
      </c>
      <c r="I46" s="888">
        <f t="shared" si="7"/>
        <v>52402904831.389999</v>
      </c>
      <c r="J46" s="888">
        <f t="shared" si="7"/>
        <v>52295811356.800003</v>
      </c>
      <c r="K46" s="888">
        <f t="shared" si="7"/>
        <v>52128097602.979996</v>
      </c>
      <c r="L46" s="888">
        <f t="shared" si="7"/>
        <v>53271634496.93</v>
      </c>
      <c r="M46" s="888">
        <f t="shared" si="7"/>
        <v>53022531190.889999</v>
      </c>
      <c r="O46" s="980">
        <f t="shared" ref="O46" si="8">O34+O45</f>
        <v>43091138168.300003</v>
      </c>
      <c r="P46" s="990">
        <f t="shared" ref="P46" si="9">P34+P45</f>
        <v>52294868714.507919</v>
      </c>
      <c r="Q46" s="899">
        <f>(O46-P46)/P46</f>
        <v>-0.17599681904650366</v>
      </c>
      <c r="S46" s="990">
        <f>S34+S45</f>
        <v>55681119093.65451</v>
      </c>
      <c r="U46" s="991">
        <f t="shared" si="1"/>
        <v>-0.22610861868954923</v>
      </c>
      <c r="AC46" s="440"/>
      <c r="AD46" s="440"/>
    </row>
    <row r="47" spans="1:34" s="894" customFormat="1" ht="13.5" thickTop="1">
      <c r="B47" s="895"/>
      <c r="C47" s="408">
        <f t="shared" ref="C47:M47" si="10">C25-C46</f>
        <v>0</v>
      </c>
      <c r="D47" s="408">
        <f t="shared" si="10"/>
        <v>0</v>
      </c>
      <c r="E47" s="881">
        <f t="shared" si="10"/>
        <v>0</v>
      </c>
      <c r="F47" s="896">
        <f t="shared" si="10"/>
        <v>0</v>
      </c>
      <c r="G47" s="896">
        <f t="shared" si="10"/>
        <v>0</v>
      </c>
      <c r="H47" s="881">
        <f t="shared" si="10"/>
        <v>0</v>
      </c>
      <c r="I47" s="988">
        <f t="shared" si="10"/>
        <v>0</v>
      </c>
      <c r="J47" s="989">
        <f t="shared" si="10"/>
        <v>0</v>
      </c>
      <c r="K47" s="989">
        <f t="shared" si="10"/>
        <v>0</v>
      </c>
      <c r="L47" s="989">
        <f t="shared" si="10"/>
        <v>0</v>
      </c>
      <c r="M47" s="1060">
        <f t="shared" si="10"/>
        <v>-0.22000885009765625</v>
      </c>
      <c r="N47" s="989"/>
      <c r="O47" s="989">
        <f>O25-O46</f>
        <v>-43091138168.300003</v>
      </c>
      <c r="P47" s="408">
        <f t="shared" ref="P47" si="11">P25-P46</f>
        <v>-0.17499542236328125</v>
      </c>
      <c r="S47" s="408">
        <f>S46-S25</f>
        <v>7.66448974609375E-2</v>
      </c>
      <c r="V47" s="913"/>
      <c r="AB47" s="914"/>
      <c r="AC47" s="992"/>
      <c r="AD47" s="993"/>
    </row>
    <row r="48" spans="1:34" ht="13.5" thickBot="1">
      <c r="A48" s="388"/>
      <c r="B48" s="882"/>
      <c r="C48" s="882"/>
      <c r="D48" s="882"/>
      <c r="E48" s="882"/>
      <c r="F48" s="882"/>
      <c r="G48" s="882"/>
      <c r="H48" s="882"/>
      <c r="I48" s="882"/>
      <c r="J48" s="882"/>
      <c r="K48" s="882"/>
      <c r="L48" s="882"/>
      <c r="M48" s="882"/>
      <c r="N48" s="902"/>
      <c r="O48" s="1118"/>
      <c r="P48" s="388"/>
      <c r="Q48" s="388"/>
      <c r="R48" s="388"/>
      <c r="S48" s="902">
        <f>S46-'MNC Asset -Proj 2017'!S119</f>
        <v>0</v>
      </c>
      <c r="T48" s="388"/>
      <c r="U48" s="388"/>
      <c r="V48" s="915"/>
      <c r="W48" s="388"/>
      <c r="X48" s="388"/>
      <c r="Y48" s="388"/>
      <c r="Z48" s="388"/>
      <c r="AA48" s="388"/>
      <c r="AB48" s="997"/>
      <c r="AE48" s="388"/>
      <c r="AF48" s="388"/>
      <c r="AG48" s="388"/>
      <c r="AH48" s="388"/>
    </row>
    <row r="49" spans="1:30">
      <c r="O49" s="312"/>
    </row>
    <row r="50" spans="1:30">
      <c r="A50" s="1182" t="s">
        <v>0</v>
      </c>
      <c r="B50" s="1182"/>
      <c r="C50" s="1182"/>
      <c r="D50" s="1182"/>
      <c r="E50" s="1182"/>
      <c r="F50" s="1182"/>
      <c r="G50" s="1182"/>
      <c r="H50" s="1182"/>
      <c r="I50" s="1182"/>
      <c r="J50" s="1182"/>
      <c r="K50" s="1182"/>
      <c r="L50" s="1182"/>
      <c r="M50" s="1182"/>
      <c r="N50" s="1182"/>
      <c r="O50" s="1182"/>
      <c r="P50" s="1182"/>
      <c r="Q50" s="1182"/>
    </row>
    <row r="51" spans="1:30">
      <c r="A51" s="1182" t="s">
        <v>764</v>
      </c>
      <c r="B51" s="1182"/>
      <c r="C51" s="1182"/>
      <c r="D51" s="1182"/>
      <c r="E51" s="1182"/>
      <c r="F51" s="1182"/>
      <c r="G51" s="1182"/>
      <c r="H51" s="1182"/>
      <c r="I51" s="1182"/>
      <c r="J51" s="1182"/>
      <c r="K51" s="1182"/>
      <c r="L51" s="1182"/>
      <c r="M51" s="1182"/>
      <c r="N51" s="1182"/>
      <c r="O51" s="1182"/>
      <c r="P51" s="1182"/>
      <c r="Q51" s="1182"/>
    </row>
    <row r="52" spans="1:30" ht="13.5" thickBot="1">
      <c r="A52" s="1184" t="str">
        <f>A4</f>
        <v>PERIODE 31 DEC 2017 DAN 2016</v>
      </c>
      <c r="B52" s="1184"/>
      <c r="C52" s="1184"/>
      <c r="D52" s="1184"/>
      <c r="E52" s="1184"/>
      <c r="F52" s="1184"/>
      <c r="G52" s="1184"/>
      <c r="H52" s="1184"/>
      <c r="I52" s="1184"/>
      <c r="J52" s="1184"/>
      <c r="K52" s="1184"/>
      <c r="L52" s="1184"/>
      <c r="M52" s="1184"/>
      <c r="N52" s="1184"/>
      <c r="O52" s="1184"/>
      <c r="P52" s="1184"/>
      <c r="Q52" s="1184"/>
    </row>
    <row r="53" spans="1:30">
      <c r="N53" s="976"/>
      <c r="S53" s="962"/>
    </row>
    <row r="54" spans="1:30">
      <c r="N54" s="1185">
        <f>O7</f>
        <v>43070</v>
      </c>
      <c r="O54" s="1185"/>
      <c r="P54" s="996"/>
      <c r="S54" s="1183">
        <f>S5</f>
        <v>43070</v>
      </c>
      <c r="T54" s="1183"/>
    </row>
    <row r="55" spans="1:30">
      <c r="C55" s="860">
        <v>42736</v>
      </c>
      <c r="D55" s="860">
        <v>75638</v>
      </c>
      <c r="E55" s="860">
        <v>42795</v>
      </c>
      <c r="F55" s="860">
        <v>42826</v>
      </c>
      <c r="G55" s="860">
        <v>42856</v>
      </c>
      <c r="H55" s="860">
        <v>75758</v>
      </c>
      <c r="I55" s="860">
        <v>42917</v>
      </c>
      <c r="J55" s="848" t="s">
        <v>1381</v>
      </c>
      <c r="K55" s="860">
        <v>42979</v>
      </c>
      <c r="L55" s="860">
        <v>43009</v>
      </c>
      <c r="M55" s="860">
        <v>43040</v>
      </c>
      <c r="N55" s="1109" t="s">
        <v>1058</v>
      </c>
      <c r="O55" s="982" t="s">
        <v>1059</v>
      </c>
      <c r="P55" s="860">
        <f>P7</f>
        <v>42705</v>
      </c>
      <c r="Q55" s="909" t="s">
        <v>9</v>
      </c>
      <c r="S55" s="916" t="s">
        <v>1365</v>
      </c>
      <c r="T55" s="916" t="s">
        <v>1364</v>
      </c>
      <c r="U55" s="935" t="s">
        <v>1058</v>
      </c>
      <c r="V55" s="934" t="s">
        <v>1059</v>
      </c>
    </row>
    <row r="56" spans="1:30">
      <c r="A56" s="384" t="s">
        <v>57</v>
      </c>
      <c r="N56" s="976"/>
      <c r="O56" s="983"/>
      <c r="Q56" s="898"/>
      <c r="W56" s="917"/>
    </row>
    <row r="57" spans="1:30">
      <c r="A57" s="312" t="s">
        <v>765</v>
      </c>
      <c r="C57" s="871">
        <v>2249066679</v>
      </c>
      <c r="D57" s="871">
        <f>ROUND(2227474364.47,0)</f>
        <v>2227474364</v>
      </c>
      <c r="E57" s="859">
        <v>2382252597.0299997</v>
      </c>
      <c r="F57" s="859">
        <v>2138691445.6900001</v>
      </c>
      <c r="G57" s="859">
        <v>2308009310.9799995</v>
      </c>
      <c r="H57" s="859">
        <v>2058452278.26</v>
      </c>
      <c r="I57" s="859">
        <v>1942228124.5799999</v>
      </c>
      <c r="J57" s="859">
        <v>1938069401.1000001</v>
      </c>
      <c r="K57" s="859">
        <v>1962775616.9300001</v>
      </c>
      <c r="L57" s="859">
        <v>1948818648.2100008</v>
      </c>
      <c r="M57" s="859">
        <v>1895388839.1700003</v>
      </c>
      <c r="N57" s="983">
        <f>-SUM('TB''1217'!J178:J226)</f>
        <v>2107591196.6900005</v>
      </c>
      <c r="O57" s="983">
        <f>SUM(C57:N57)</f>
        <v>25158818501.639999</v>
      </c>
      <c r="P57" s="346">
        <f>'2016'!J139</f>
        <v>21985650614</v>
      </c>
      <c r="Q57" s="898">
        <f>(O57-P57)/P57</f>
        <v>0.14432904185329828</v>
      </c>
      <c r="S57" s="346">
        <f>'MNC Asset -Proj 2017'!S38</f>
        <v>5559284787.0417366</v>
      </c>
      <c r="T57" s="346">
        <f>'MNC Asset -Proj 2017'!T38</f>
        <v>50403184742.041931</v>
      </c>
      <c r="U57" s="898">
        <f>(N57-S57)/S57</f>
        <v>-0.62088806790351292</v>
      </c>
      <c r="V57" s="898">
        <f>(O57-T57)/T57</f>
        <v>-0.50084863425991588</v>
      </c>
      <c r="W57" s="898"/>
      <c r="AA57" s="917"/>
    </row>
    <row r="58" spans="1:30">
      <c r="A58" s="312" t="s">
        <v>767</v>
      </c>
      <c r="B58" s="854" t="str">
        <f>'Detail WPL''1217'!A109</f>
        <v>WPL.19</v>
      </c>
      <c r="C58" s="872">
        <f>('Detail WPL''1217'!D110+'Detail WPL''1217'!D112)</f>
        <v>2288514129</v>
      </c>
      <c r="D58" s="346">
        <f>('Detail WPL''1217'!E110+'Detail WPL''1217'!E112)</f>
        <v>0</v>
      </c>
      <c r="E58" s="346">
        <f>('Detail WPL''1217'!F110+'Detail WPL''1217'!F112)</f>
        <v>506551</v>
      </c>
      <c r="F58" s="872">
        <f>('Detail WPL''1217'!G110+'Detail WPL''1217'!G112)</f>
        <v>946144059.85000038</v>
      </c>
      <c r="G58" s="346">
        <f>('Detail WPL''1217'!H110+'Detail WPL''1217'!H112)</f>
        <v>0</v>
      </c>
      <c r="H58" s="346">
        <f>('Detail WPL''1217'!I110+'Detail WPL''1217'!I112)</f>
        <v>9590059</v>
      </c>
      <c r="I58" s="346">
        <f>('Detail WPL''1217'!J110+'Detail WPL''1217'!J112)</f>
        <v>2356314</v>
      </c>
      <c r="J58" s="346">
        <f>('Detail WPL''1217'!K110+'Detail WPL''1217'!K112)</f>
        <v>254815192</v>
      </c>
      <c r="K58" s="346">
        <f>('Detail WPL''1217'!L110+'Detail WPL''1217'!L112)</f>
        <v>255006480</v>
      </c>
      <c r="L58" s="346">
        <v>690911842</v>
      </c>
      <c r="M58" s="346">
        <v>683877428</v>
      </c>
      <c r="N58" s="983">
        <f>('Detail WPL''1217'!P110+'Detail WPL''1217'!P112)</f>
        <v>1051708113.53</v>
      </c>
      <c r="O58" s="983">
        <f>SUM(C58:N58)</f>
        <v>6183430168.3800001</v>
      </c>
      <c r="P58" s="346">
        <f>'Detail WPL''1217'!R110+'Detail WPL''1217'!R112</f>
        <v>5183230875.5500002</v>
      </c>
      <c r="Q58" s="898">
        <f>(O58-P58)/P58</f>
        <v>0.19296830815468302</v>
      </c>
      <c r="S58" s="346">
        <f>'MNC Asset -Proj 2017'!S72</f>
        <v>400000000</v>
      </c>
      <c r="T58" s="346">
        <f>'MNC Asset -Proj 2017'!T72</f>
        <v>4800000000</v>
      </c>
      <c r="U58" s="898">
        <f>(N58-S58)/S58</f>
        <v>1.6292702838249999</v>
      </c>
      <c r="V58" s="898">
        <f>(O58-T58)/T58</f>
        <v>0.28821461841250001</v>
      </c>
      <c r="AD58" s="994"/>
    </row>
    <row r="59" spans="1:30">
      <c r="A59" s="312" t="s">
        <v>768</v>
      </c>
      <c r="B59" s="854" t="str">
        <f>'Detail WPL''1217'!A109</f>
        <v>WPL.19</v>
      </c>
      <c r="C59" s="872">
        <f>('Detail WPL''1217'!D109+'Detail WPL''1217'!D111)</f>
        <v>81008523</v>
      </c>
      <c r="D59" s="346">
        <f>('Detail WPL''1217'!E109+'Detail WPL''1217'!E111)</f>
        <v>45186224</v>
      </c>
      <c r="E59" s="346">
        <f>('Detail WPL''1217'!F109+'Detail WPL''1217'!F111)</f>
        <v>-117246145</v>
      </c>
      <c r="F59" s="872">
        <f>('Detail WPL''1217'!G109+'Detail WPL''1217'!G111)</f>
        <v>10996507</v>
      </c>
      <c r="G59" s="346">
        <f>('Detail WPL''1217'!H109+'Detail WPL''1217'!H111)</f>
        <v>-69537959</v>
      </c>
      <c r="H59" s="346">
        <f>('Detail WPL''1217'!I109+'Detail WPL''1217'!I111)</f>
        <v>3564620.900000006</v>
      </c>
      <c r="I59" s="346">
        <f>('Detail WPL''1217'!J109+'Detail WPL''1217'!J111)</f>
        <v>-23306648</v>
      </c>
      <c r="J59" s="346">
        <f>('Detail WPL''1217'!K109+'Detail WPL''1217'!K111)</f>
        <v>-15410241</v>
      </c>
      <c r="K59" s="346">
        <f>('Detail WPL''1217'!L109+'Detail WPL''1217'!L111)</f>
        <v>-3447203</v>
      </c>
      <c r="L59" s="346">
        <v>12934175</v>
      </c>
      <c r="M59" s="346">
        <v>37368940</v>
      </c>
      <c r="N59" s="983">
        <f>('Detail WPL''1217'!P109+'Detail WPL''1217'!P111)</f>
        <v>-132014770</v>
      </c>
      <c r="O59" s="983">
        <f>SUM(C59:N59)</f>
        <v>-169903976.09999999</v>
      </c>
      <c r="P59" s="346">
        <f>'Detail WPL''1217'!R109+'Detail WPL''1217'!R111</f>
        <v>8260876614</v>
      </c>
      <c r="Q59" s="898">
        <f>(O59-P59)/P59</f>
        <v>-1.0205673058730909</v>
      </c>
      <c r="T59" s="346"/>
      <c r="U59" s="898"/>
      <c r="AD59" s="994"/>
    </row>
    <row r="60" spans="1:30">
      <c r="A60" s="312" t="s">
        <v>766</v>
      </c>
      <c r="B60" s="854" t="str">
        <f>'Detail WPL''1217'!A120</f>
        <v>WPL.21</v>
      </c>
      <c r="C60" s="872">
        <f>-'Detail WPL''1217'!D120</f>
        <v>0</v>
      </c>
      <c r="D60" s="346">
        <f>-'Detail WPL''1217'!E120</f>
        <v>0</v>
      </c>
      <c r="E60" s="346">
        <f>-'Detail WPL''1217'!F120</f>
        <v>0</v>
      </c>
      <c r="F60" s="872">
        <f>-'Detail WPL''1217'!G120</f>
        <v>0</v>
      </c>
      <c r="G60" s="346">
        <f>-'Detail WPL''1217'!H120</f>
        <v>0</v>
      </c>
      <c r="H60" s="346">
        <f>-'Detail WPL''1217'!I120</f>
        <v>0</v>
      </c>
      <c r="I60" s="346">
        <f>-'Detail WPL''1217'!J120</f>
        <v>0</v>
      </c>
      <c r="J60" s="346">
        <v>84799500</v>
      </c>
      <c r="K60" s="346">
        <f>-'Detail WPL''1217'!L120</f>
        <v>0</v>
      </c>
      <c r="L60" s="346">
        <v>0</v>
      </c>
      <c r="M60" s="346">
        <v>0</v>
      </c>
      <c r="N60" s="983">
        <f>-'Detail WPL''1217'!P120</f>
        <v>0</v>
      </c>
      <c r="O60" s="983">
        <f>SUM(C60:N60)</f>
        <v>84799500</v>
      </c>
      <c r="P60" s="346">
        <v>86452000</v>
      </c>
      <c r="Q60" s="898">
        <f>(O60-P60)/P60</f>
        <v>-1.9114653217970665E-2</v>
      </c>
      <c r="T60" s="346"/>
      <c r="U60" s="898"/>
      <c r="AD60" s="994"/>
    </row>
    <row r="61" spans="1:30">
      <c r="A61" s="312" t="s">
        <v>60</v>
      </c>
      <c r="C61" s="874">
        <v>0</v>
      </c>
      <c r="D61" s="874">
        <v>0</v>
      </c>
      <c r="E61" s="861">
        <v>52985179.049999997</v>
      </c>
      <c r="F61" s="861">
        <v>0</v>
      </c>
      <c r="G61" s="861">
        <v>0</v>
      </c>
      <c r="H61" s="861">
        <v>0</v>
      </c>
      <c r="I61" s="861">
        <v>0</v>
      </c>
      <c r="J61" s="861">
        <v>0</v>
      </c>
      <c r="K61" s="861">
        <v>0</v>
      </c>
      <c r="L61" s="861">
        <v>0</v>
      </c>
      <c r="M61" s="861">
        <v>0</v>
      </c>
      <c r="N61" s="984">
        <f>-'TB''1217'!J227</f>
        <v>10880617.32</v>
      </c>
      <c r="O61" s="984">
        <f>SUM(C61:N61)</f>
        <v>63865796.369999997</v>
      </c>
      <c r="P61" s="358">
        <v>41372765</v>
      </c>
      <c r="Q61" s="900">
        <v>1</v>
      </c>
      <c r="T61" s="346"/>
      <c r="U61" s="900"/>
      <c r="V61" s="900"/>
    </row>
    <row r="62" spans="1:30">
      <c r="A62" s="384" t="s">
        <v>772</v>
      </c>
      <c r="B62" s="858"/>
      <c r="C62" s="862">
        <f t="shared" ref="C62:P62" si="12">SUM(C57:C61)</f>
        <v>4618589331</v>
      </c>
      <c r="D62" s="862">
        <f t="shared" si="12"/>
        <v>2272660588</v>
      </c>
      <c r="E62" s="862">
        <f t="shared" si="12"/>
        <v>2318498182.0799999</v>
      </c>
      <c r="F62" s="862">
        <f t="shared" si="12"/>
        <v>3095832012.5400004</v>
      </c>
      <c r="G62" s="862">
        <f t="shared" si="12"/>
        <v>2238471351.9799995</v>
      </c>
      <c r="H62" s="862">
        <f t="shared" si="12"/>
        <v>2071606958.1600001</v>
      </c>
      <c r="I62" s="862">
        <f t="shared" si="12"/>
        <v>1921277790.5799999</v>
      </c>
      <c r="J62" s="862">
        <f t="shared" si="12"/>
        <v>2262273852.1000004</v>
      </c>
      <c r="K62" s="862">
        <f t="shared" si="12"/>
        <v>2214334893.9300003</v>
      </c>
      <c r="L62" s="862">
        <f t="shared" si="12"/>
        <v>2652664665.210001</v>
      </c>
      <c r="M62" s="862">
        <f t="shared" si="12"/>
        <v>2616635207.1700001</v>
      </c>
      <c r="N62" s="1116">
        <f t="shared" si="12"/>
        <v>3038165157.5400004</v>
      </c>
      <c r="O62" s="1116">
        <f t="shared" si="12"/>
        <v>31321009990.290001</v>
      </c>
      <c r="P62" s="862">
        <f t="shared" si="12"/>
        <v>35557582868.550003</v>
      </c>
      <c r="Q62" s="898">
        <f>(O62-P62)/P62</f>
        <v>-0.11914681866655141</v>
      </c>
      <c r="S62" s="911">
        <f>SUM(S57:S61)</f>
        <v>5959284787.0417366</v>
      </c>
      <c r="T62" s="911">
        <f>SUM(T57:T61)</f>
        <v>55203184742.041931</v>
      </c>
      <c r="U62" s="936">
        <f>(N62-S62)/S62</f>
        <v>-0.49017956581863853</v>
      </c>
      <c r="V62" s="936">
        <f>(O62-T62)/T62</f>
        <v>-0.43262313330925667</v>
      </c>
    </row>
    <row r="63" spans="1:30">
      <c r="A63" s="384"/>
      <c r="C63" s="862"/>
      <c r="D63" s="862"/>
      <c r="N63" s="978"/>
      <c r="O63" s="1032"/>
      <c r="P63" s="897"/>
      <c r="T63" s="346"/>
      <c r="U63" s="898"/>
    </row>
    <row r="64" spans="1:30">
      <c r="A64" s="384" t="s">
        <v>357</v>
      </c>
      <c r="C64" s="862"/>
      <c r="D64" s="862"/>
      <c r="F64" s="858"/>
      <c r="N64" s="978"/>
      <c r="O64" s="983"/>
      <c r="P64" s="344"/>
      <c r="T64" s="346"/>
      <c r="U64" s="898"/>
    </row>
    <row r="65" spans="1:30">
      <c r="A65" s="307" t="s">
        <v>63</v>
      </c>
      <c r="B65" s="854" t="str">
        <f>'Detail WPL''1217'!A8</f>
        <v>WPL.1</v>
      </c>
      <c r="C65" s="862">
        <f>'Detail WPL''1217'!D19</f>
        <v>1306002860</v>
      </c>
      <c r="D65" s="862">
        <f>'Detail WPL''1217'!E19</f>
        <v>1269796478</v>
      </c>
      <c r="E65" s="862">
        <f>'Detail WPL''1217'!F19</f>
        <v>1261830054.8299999</v>
      </c>
      <c r="F65" s="862">
        <f>'Detail WPL''1217'!G19</f>
        <v>1342032425</v>
      </c>
      <c r="G65" s="862">
        <f>'Detail WPL''1217'!H19</f>
        <v>1597917619.25</v>
      </c>
      <c r="H65" s="862">
        <f>'Detail WPL''1217'!I19</f>
        <v>1507359636.9499998</v>
      </c>
      <c r="I65" s="862">
        <f>'Detail WPL''1217'!J19</f>
        <v>1771663180</v>
      </c>
      <c r="J65" s="862">
        <f>'Detail WPL''1217'!K19</f>
        <v>1718480326</v>
      </c>
      <c r="K65" s="862">
        <f>'Detail WPL''1217'!L19</f>
        <v>1838861435</v>
      </c>
      <c r="L65" s="862">
        <v>1801718273</v>
      </c>
      <c r="M65" s="862">
        <v>684853827.26000023</v>
      </c>
      <c r="N65" s="983">
        <f>'Detail WPL''1217'!P19</f>
        <v>1714140935.4300001</v>
      </c>
      <c r="O65" s="983">
        <f t="shared" ref="O65:O80" si="13">SUM(C65:N65)</f>
        <v>17814657050.719997</v>
      </c>
      <c r="P65" s="346">
        <f>'2016'!J151</f>
        <v>16768025752.459999</v>
      </c>
      <c r="Q65" s="898">
        <f t="shared" ref="Q65:Q79" si="14">(O65-P65)/P65</f>
        <v>6.2418278317973683E-2</v>
      </c>
      <c r="S65" s="346">
        <f>'MNC Asset -Proj 2017'!S43+'MNC Asset -Proj 2017'!S44+'MNC Asset -Proj 2017'!S45</f>
        <v>1926712568.612946</v>
      </c>
      <c r="T65" s="346">
        <f>'MNC Asset -Proj 2017'!T43+'MNC Asset -Proj 2017'!T44+'MNC Asset -Proj 2017'!T45</f>
        <v>25326410491.639355</v>
      </c>
      <c r="U65" s="898">
        <f t="shared" ref="U65:U109" si="15">(N65-S65)/S65</f>
        <v>-0.110328668970057</v>
      </c>
      <c r="V65" s="898">
        <f t="shared" ref="V65:V109" si="16">(O65-T65)/T65</f>
        <v>-0.29659763444958398</v>
      </c>
      <c r="W65" s="898"/>
      <c r="X65" s="898"/>
      <c r="AB65" s="420">
        <v>13613944015.029999</v>
      </c>
      <c r="AC65" s="440">
        <f>O65-AB65</f>
        <v>4200713035.6899986</v>
      </c>
      <c r="AD65" s="869"/>
    </row>
    <row r="66" spans="1:30">
      <c r="A66" s="307" t="s">
        <v>65</v>
      </c>
      <c r="B66" s="854" t="str">
        <f>'Detail WPL''1217'!A21</f>
        <v>WPL.2</v>
      </c>
      <c r="C66" s="862">
        <f>'Detail WPL''1217'!D23</f>
        <v>42149300</v>
      </c>
      <c r="D66" s="862">
        <f>'Detail WPL''1217'!E23</f>
        <v>34825285</v>
      </c>
      <c r="E66" s="862">
        <f>'Detail WPL''1217'!F23</f>
        <v>54353621</v>
      </c>
      <c r="F66" s="862">
        <f>'Detail WPL''1217'!G23</f>
        <v>17428612</v>
      </c>
      <c r="G66" s="862">
        <f>'Detail WPL''1217'!H23</f>
        <v>23879240</v>
      </c>
      <c r="H66" s="862">
        <f>'Detail WPL''1217'!I23</f>
        <v>160962468.28999999</v>
      </c>
      <c r="I66" s="862">
        <f>'Detail WPL''1217'!J23</f>
        <v>-2138694</v>
      </c>
      <c r="J66" s="862">
        <f>'Detail WPL''1217'!K23</f>
        <v>15992771</v>
      </c>
      <c r="K66" s="862">
        <f>'Detail WPL''1217'!L23</f>
        <v>35316734</v>
      </c>
      <c r="L66" s="862">
        <v>43693053</v>
      </c>
      <c r="M66" s="862">
        <v>15894193</v>
      </c>
      <c r="N66" s="983">
        <f>'Detail WPL''1217'!P23</f>
        <v>155772704.5</v>
      </c>
      <c r="O66" s="983">
        <f t="shared" si="13"/>
        <v>598129287.78999996</v>
      </c>
      <c r="P66" s="346">
        <f>'2016'!J155</f>
        <v>933679887</v>
      </c>
      <c r="Q66" s="898">
        <f t="shared" si="14"/>
        <v>-0.35938505678659866</v>
      </c>
      <c r="S66" s="346">
        <f>'MNC Asset -Proj 2017'!S47</f>
        <v>68379733.079999998</v>
      </c>
      <c r="T66" s="346">
        <f>'MNC Asset -Proj 2017'!T47</f>
        <v>2129960796.9599998</v>
      </c>
      <c r="U66" s="898">
        <f t="shared" si="15"/>
        <v>1.2780537080739363</v>
      </c>
      <c r="V66" s="898">
        <f t="shared" si="16"/>
        <v>-0.71918295930907095</v>
      </c>
      <c r="AB66" s="420">
        <v>382769337.28999996</v>
      </c>
      <c r="AC66" s="440">
        <f t="shared" ref="AC66:AC79" si="17">O66-AB66</f>
        <v>215359950.5</v>
      </c>
      <c r="AD66" s="869"/>
    </row>
    <row r="67" spans="1:30">
      <c r="A67" s="307" t="s">
        <v>995</v>
      </c>
      <c r="B67" s="854" t="str">
        <f>'Detail WPL''1217'!A25</f>
        <v>WPL.3</v>
      </c>
      <c r="C67" s="862">
        <f>'Detail WPL''1217'!D28</f>
        <v>988016707</v>
      </c>
      <c r="D67" s="862">
        <f>'Detail WPL''1217'!E28</f>
        <v>357174203</v>
      </c>
      <c r="E67" s="862">
        <f>'Detail WPL''1217'!F28</f>
        <v>-293570988</v>
      </c>
      <c r="F67" s="862">
        <f>'Detail WPL''1217'!G28</f>
        <v>378848835</v>
      </c>
      <c r="G67" s="862">
        <f>'Detail WPL''1217'!H28</f>
        <v>363775640.39999998</v>
      </c>
      <c r="H67" s="862">
        <f>'Detail WPL''1217'!I28</f>
        <v>345559945.73000002</v>
      </c>
      <c r="I67" s="862">
        <f>'Detail WPL''1217'!J28</f>
        <v>515380061</v>
      </c>
      <c r="J67" s="862">
        <f>'Detail WPL''1217'!K28</f>
        <v>476107690</v>
      </c>
      <c r="K67" s="862">
        <f>'Detail WPL''1217'!L28</f>
        <v>475664789</v>
      </c>
      <c r="L67" s="862">
        <v>-200761005</v>
      </c>
      <c r="M67" s="862">
        <v>69745376</v>
      </c>
      <c r="N67" s="983">
        <f>'Detail WPL''1217'!P28</f>
        <v>611089623</v>
      </c>
      <c r="O67" s="983">
        <f t="shared" si="13"/>
        <v>4087030877.1300001</v>
      </c>
      <c r="P67" s="346">
        <f>'2016'!J160</f>
        <v>4253558900</v>
      </c>
      <c r="Q67" s="898">
        <f t="shared" si="14"/>
        <v>-3.9150280220640626E-2</v>
      </c>
      <c r="S67" s="346">
        <f>'MNC Asset -Proj 2017'!S48</f>
        <v>499523872.24999994</v>
      </c>
      <c r="T67" s="346">
        <f>'MNC Asset -Proj 2017'!T48</f>
        <v>5949243132.999999</v>
      </c>
      <c r="U67" s="898">
        <f t="shared" si="15"/>
        <v>0.22334418222591779</v>
      </c>
      <c r="V67" s="898">
        <f t="shared" si="16"/>
        <v>-0.31301666686648749</v>
      </c>
      <c r="W67" s="917"/>
      <c r="X67" s="346"/>
      <c r="Y67" s="346"/>
      <c r="Z67" s="346"/>
      <c r="AB67" s="420">
        <v>3606956883.1300001</v>
      </c>
      <c r="AC67" s="440">
        <f t="shared" si="17"/>
        <v>480073994</v>
      </c>
      <c r="AD67" s="869"/>
    </row>
    <row r="68" spans="1:30">
      <c r="A68" s="307" t="s">
        <v>70</v>
      </c>
      <c r="B68" s="854" t="str">
        <f>'Detail WPL''1217'!A30</f>
        <v>WPL.4</v>
      </c>
      <c r="C68" s="862">
        <f>'Detail WPL''1217'!D34</f>
        <v>185223328</v>
      </c>
      <c r="D68" s="862">
        <v>190184683</v>
      </c>
      <c r="E68" s="862">
        <f>'Detail WPL''1217'!F34</f>
        <v>162862744.97</v>
      </c>
      <c r="F68" s="862">
        <f>'Detail WPL''1217'!G34</f>
        <v>162787166</v>
      </c>
      <c r="G68" s="862">
        <f>'Detail WPL''1217'!H34</f>
        <v>163026679.25</v>
      </c>
      <c r="H68" s="862">
        <f>'Detail WPL''1217'!I34</f>
        <v>187141615.38</v>
      </c>
      <c r="I68" s="862">
        <f>'Detail WPL''1217'!J34</f>
        <v>181828986</v>
      </c>
      <c r="J68" s="862">
        <f>'Detail WPL''1217'!K34</f>
        <v>218513148</v>
      </c>
      <c r="K68" s="862">
        <f>'Detail WPL''1217'!L34</f>
        <v>217077253</v>
      </c>
      <c r="L68" s="862">
        <v>135521831</v>
      </c>
      <c r="M68" s="862">
        <v>311484272</v>
      </c>
      <c r="N68" s="983">
        <f>'Detail WPL''1217'!P34</f>
        <v>195297611.75</v>
      </c>
      <c r="O68" s="983">
        <f t="shared" si="13"/>
        <v>2310949318.3499999</v>
      </c>
      <c r="P68" s="346">
        <f>'2016'!J166</f>
        <v>2168737783.8800001</v>
      </c>
      <c r="Q68" s="898">
        <f t="shared" si="14"/>
        <v>6.557341119200448E-2</v>
      </c>
      <c r="S68" s="346">
        <f>'MNC Asset -Proj 2017'!S52</f>
        <v>233156326.44166666</v>
      </c>
      <c r="T68" s="346">
        <f>'MNC Asset -Proj 2017'!T52</f>
        <v>2689027630.3833327</v>
      </c>
      <c r="U68" s="898">
        <f t="shared" si="15"/>
        <v>-0.16237481208187815</v>
      </c>
      <c r="V68" s="898">
        <f t="shared" si="16"/>
        <v>-0.14060038199735272</v>
      </c>
      <c r="AB68" s="420">
        <v>1668645603.6300001</v>
      </c>
      <c r="AC68" s="440">
        <f t="shared" si="17"/>
        <v>642303714.71999979</v>
      </c>
      <c r="AD68" s="869"/>
    </row>
    <row r="69" spans="1:30">
      <c r="A69" s="307" t="s">
        <v>75</v>
      </c>
      <c r="B69" s="854" t="str">
        <f>'Detail WPL''1217'!A36</f>
        <v>WPL.5</v>
      </c>
      <c r="C69" s="862">
        <f>ROUND('Detail WPL''1217'!D37,)</f>
        <v>15155642</v>
      </c>
      <c r="D69" s="862">
        <f>'Detail WPL''1217'!E37</f>
        <v>15155641.67</v>
      </c>
      <c r="E69" s="862">
        <f>'Detail WPL''1217'!F37</f>
        <v>15155641.67</v>
      </c>
      <c r="F69" s="862">
        <f>'Detail WPL''1217'!G37</f>
        <v>15155642</v>
      </c>
      <c r="G69" s="862">
        <f>'Detail WPL''1217'!H37</f>
        <v>15155642</v>
      </c>
      <c r="H69" s="862">
        <f>'Detail WPL''1217'!I37</f>
        <v>15155642</v>
      </c>
      <c r="I69" s="862">
        <f>'Detail WPL''1217'!J37</f>
        <v>15155642</v>
      </c>
      <c r="J69" s="862">
        <f>'Detail WPL''1217'!K37</f>
        <v>7001475</v>
      </c>
      <c r="K69" s="862">
        <f>'Detail WPL''1217'!L37</f>
        <v>7001475</v>
      </c>
      <c r="L69" s="862">
        <v>0</v>
      </c>
      <c r="M69" s="862">
        <v>14002950</v>
      </c>
      <c r="N69" s="983">
        <f>'Detail WPL''1217'!P37</f>
        <v>7001475</v>
      </c>
      <c r="O69" s="983">
        <f t="shared" si="13"/>
        <v>141096868.34</v>
      </c>
      <c r="P69" s="346">
        <f>'2016'!J169</f>
        <v>146860328.66999999</v>
      </c>
      <c r="Q69" s="898">
        <f t="shared" si="14"/>
        <v>-3.9244501099753554E-2</v>
      </c>
      <c r="S69" s="346">
        <f>'MNC Asset -Proj 2017'!S57</f>
        <v>19277645.125</v>
      </c>
      <c r="T69" s="346">
        <f>'MNC Asset -Proj 2017'!T57</f>
        <v>203981741.5</v>
      </c>
      <c r="U69" s="898">
        <f t="shared" si="15"/>
        <v>-0.63680859593580674</v>
      </c>
      <c r="V69" s="898">
        <f t="shared" si="16"/>
        <v>-0.30828677457879239</v>
      </c>
      <c r="AB69" s="420">
        <v>120092443.34</v>
      </c>
      <c r="AC69" s="440">
        <f t="shared" si="17"/>
        <v>21004425</v>
      </c>
      <c r="AD69" s="869"/>
    </row>
    <row r="70" spans="1:30">
      <c r="A70" s="307" t="s">
        <v>72</v>
      </c>
      <c r="B70" s="854" t="str">
        <f>'Detail WPL''1217'!A39</f>
        <v>WPL.6</v>
      </c>
      <c r="C70" s="862">
        <f>'Detail WPL''1217'!D46</f>
        <v>53762610</v>
      </c>
      <c r="D70" s="862">
        <f>'Detail WPL''1217'!E46</f>
        <v>52394475</v>
      </c>
      <c r="E70" s="862">
        <f>'Detail WPL''1217'!F46</f>
        <v>77230328</v>
      </c>
      <c r="F70" s="862">
        <f>'Detail WPL''1217'!G46</f>
        <v>40339240</v>
      </c>
      <c r="G70" s="862">
        <f>'Detail WPL''1217'!H46</f>
        <v>51228939</v>
      </c>
      <c r="H70" s="862">
        <f>'Detail WPL''1217'!I46</f>
        <v>175614002.71000001</v>
      </c>
      <c r="I70" s="862">
        <f>'Detail WPL''1217'!J46</f>
        <v>98761774</v>
      </c>
      <c r="J70" s="862">
        <f>'Detail WPL''1217'!K46</f>
        <v>102862760</v>
      </c>
      <c r="K70" s="862">
        <f>'Detail WPL''1217'!L46</f>
        <v>117425264</v>
      </c>
      <c r="L70" s="862">
        <v>72894027</v>
      </c>
      <c r="M70" s="862">
        <v>50623254</v>
      </c>
      <c r="N70" s="983">
        <f>'Detail WPL''1217'!P46</f>
        <v>97891462</v>
      </c>
      <c r="O70" s="983">
        <f t="shared" si="13"/>
        <v>991028135.71000004</v>
      </c>
      <c r="P70" s="346">
        <f>'2016'!J178</f>
        <v>631970394</v>
      </c>
      <c r="Q70" s="898">
        <f t="shared" si="14"/>
        <v>0.56815595337841096</v>
      </c>
      <c r="S70" s="346">
        <f>'MNC Asset -Proj 2017'!S54</f>
        <v>86248256.649801597</v>
      </c>
      <c r="T70" s="346">
        <f>'MNC Asset -Proj 2017'!T54</f>
        <v>1034979079.7976192</v>
      </c>
      <c r="U70" s="898">
        <f t="shared" si="15"/>
        <v>0.1349964138692557</v>
      </c>
      <c r="V70" s="898">
        <f t="shared" si="16"/>
        <v>-4.2465538623460287E-2</v>
      </c>
      <c r="AB70" s="420">
        <v>809492391.71000004</v>
      </c>
      <c r="AC70" s="440">
        <f t="shared" si="17"/>
        <v>181535744</v>
      </c>
      <c r="AD70" s="869"/>
    </row>
    <row r="71" spans="1:30">
      <c r="A71" s="307" t="s">
        <v>73</v>
      </c>
      <c r="B71" s="854" t="str">
        <f>'Detail WPL''1217'!A48</f>
        <v>WPL.7</v>
      </c>
      <c r="C71" s="862">
        <f>'Detail WPL''1217'!D49</f>
        <v>0</v>
      </c>
      <c r="D71" s="862">
        <f>'Detail WPL''1217'!E49</f>
        <v>207800000</v>
      </c>
      <c r="E71" s="862">
        <f>'Detail WPL''1217'!F49</f>
        <v>0</v>
      </c>
      <c r="F71" s="862">
        <f>'Detail WPL''1217'!G49</f>
        <v>103870000</v>
      </c>
      <c r="G71" s="862">
        <f>'Detail WPL''1217'!H49</f>
        <v>1500000</v>
      </c>
      <c r="H71" s="862">
        <f>'Detail WPL''1217'!I49</f>
        <v>11714285.710000001</v>
      </c>
      <c r="I71" s="862">
        <f>'Detail WPL''1217'!J49</f>
        <v>47138250</v>
      </c>
      <c r="J71" s="862">
        <f>'Detail WPL''1217'!K49</f>
        <v>37250000</v>
      </c>
      <c r="K71" s="862">
        <f>'Detail WPL''1217'!L49</f>
        <v>41500000</v>
      </c>
      <c r="L71" s="862">
        <v>93300000</v>
      </c>
      <c r="M71" s="862">
        <v>168500000</v>
      </c>
      <c r="N71" s="983">
        <f>'Detail WPL''1217'!P49</f>
        <v>-160500000</v>
      </c>
      <c r="O71" s="983">
        <f t="shared" si="13"/>
        <v>552072535.71000004</v>
      </c>
      <c r="P71" s="346">
        <f>'2016'!J181</f>
        <v>677074543</v>
      </c>
      <c r="Q71" s="898">
        <f t="shared" si="14"/>
        <v>-0.18462074609412685</v>
      </c>
      <c r="S71" s="346">
        <f>'MNC Asset -Proj 2017'!S55</f>
        <v>41666666</v>
      </c>
      <c r="T71" s="346">
        <f>'MNC Asset -Proj 2017'!T55</f>
        <v>908499993</v>
      </c>
      <c r="U71" s="898">
        <f t="shared" si="15"/>
        <v>-4.8520000616320011</v>
      </c>
      <c r="V71" s="898">
        <f t="shared" si="16"/>
        <v>-0.39232521743123444</v>
      </c>
      <c r="AB71" s="420">
        <v>450772535.70999998</v>
      </c>
      <c r="AC71" s="440">
        <f t="shared" si="17"/>
        <v>101300000.00000006</v>
      </c>
      <c r="AD71" s="869"/>
    </row>
    <row r="72" spans="1:30">
      <c r="A72" s="307" t="s">
        <v>68</v>
      </c>
      <c r="B72" s="854" t="str">
        <f>'Detail WPL''1217'!A51</f>
        <v>WPL.8</v>
      </c>
      <c r="C72" s="862">
        <f>'Detail WPL''1217'!D59</f>
        <v>17726571</v>
      </c>
      <c r="D72" s="862">
        <f>'Detail WPL''1217'!E59</f>
        <v>103465802</v>
      </c>
      <c r="E72" s="862">
        <f>'Detail WPL''1217'!F59</f>
        <v>-33437716</v>
      </c>
      <c r="F72" s="862">
        <f>'Detail WPL''1217'!G59</f>
        <v>71312007</v>
      </c>
      <c r="G72" s="862">
        <f>'Detail WPL''1217'!H59</f>
        <v>21603375</v>
      </c>
      <c r="H72" s="862">
        <f>'Detail WPL''1217'!I59</f>
        <v>56305984</v>
      </c>
      <c r="I72" s="862">
        <f>'Detail WPL''1217'!J59</f>
        <v>19521279.5</v>
      </c>
      <c r="J72" s="862">
        <f>'Detail WPL''1217'!K59</f>
        <v>48077416</v>
      </c>
      <c r="K72" s="862">
        <f>'Detail WPL''1217'!L59</f>
        <v>67401698</v>
      </c>
      <c r="L72" s="862">
        <v>24048581</v>
      </c>
      <c r="M72" s="862">
        <v>121290452.86</v>
      </c>
      <c r="N72" s="983">
        <f>'Detail WPL''1217'!P59</f>
        <v>96157553.879999995</v>
      </c>
      <c r="O72" s="983">
        <f t="shared" si="13"/>
        <v>613473004.24000001</v>
      </c>
      <c r="P72" s="346">
        <f>'2016'!J191</f>
        <v>1154775348</v>
      </c>
      <c r="Q72" s="898">
        <f t="shared" si="14"/>
        <v>-0.46875121182444918</v>
      </c>
      <c r="S72" s="346">
        <f>'MNC Asset -Proj 2017'!S49+'MNC Asset -Proj 2017'!S50</f>
        <v>93553150</v>
      </c>
      <c r="T72" s="346">
        <f>'MNC Asset -Proj 2017'!T49+'MNC Asset -Proj 2017'!T50</f>
        <v>1354082300</v>
      </c>
      <c r="U72" s="898">
        <f t="shared" si="15"/>
        <v>2.7838762029926252E-2</v>
      </c>
      <c r="V72" s="898">
        <f t="shared" si="16"/>
        <v>-0.54694555549540824</v>
      </c>
      <c r="AB72" s="420">
        <v>371976416.5</v>
      </c>
      <c r="AC72" s="440">
        <f t="shared" si="17"/>
        <v>241496587.74000001</v>
      </c>
      <c r="AD72" s="869"/>
    </row>
    <row r="73" spans="1:30">
      <c r="A73" s="307" t="s">
        <v>69</v>
      </c>
      <c r="B73" s="854" t="str">
        <f>'Detail WPL''1217'!A61</f>
        <v>WPL.9</v>
      </c>
      <c r="C73" s="862">
        <f>'Detail WPL''1217'!D62</f>
        <v>51617960</v>
      </c>
      <c r="D73" s="862">
        <f>'Detail WPL''1217'!E62</f>
        <v>51500000</v>
      </c>
      <c r="E73" s="862">
        <f>'Detail WPL''1217'!F62</f>
        <v>-117960</v>
      </c>
      <c r="F73" s="862">
        <f>'Detail WPL''1217'!G62</f>
        <v>44136394</v>
      </c>
      <c r="G73" s="862">
        <f>'Detail WPL''1217'!H62</f>
        <v>56522246</v>
      </c>
      <c r="H73" s="862">
        <f>'Detail WPL''1217'!I62</f>
        <v>52127149</v>
      </c>
      <c r="I73" s="862">
        <f>'Detail WPL''1217'!J62</f>
        <v>138107923</v>
      </c>
      <c r="J73" s="862">
        <f>'Detail WPL''1217'!K62</f>
        <v>30965075</v>
      </c>
      <c r="K73" s="862">
        <f>'Detail WPL''1217'!L62</f>
        <v>-34580000</v>
      </c>
      <c r="L73" s="862">
        <v>162962585</v>
      </c>
      <c r="M73" s="862">
        <v>148095593</v>
      </c>
      <c r="N73" s="983">
        <f>'Detail WPL''1217'!P62</f>
        <v>-15679168</v>
      </c>
      <c r="O73" s="983">
        <f t="shared" si="13"/>
        <v>685657797</v>
      </c>
      <c r="P73" s="346">
        <f>'2016'!J194</f>
        <v>765461570</v>
      </c>
      <c r="Q73" s="898">
        <f t="shared" si="14"/>
        <v>-0.10425575381922832</v>
      </c>
      <c r="S73" s="346">
        <f>'MNC Asset -Proj 2017'!S51</f>
        <v>69682010.875</v>
      </c>
      <c r="T73" s="346">
        <f>'MNC Asset -Proj 2017'!T51</f>
        <v>836184130.5</v>
      </c>
      <c r="U73" s="898">
        <f t="shared" si="15"/>
        <v>-1.2250102688357585</v>
      </c>
      <c r="V73" s="898">
        <f t="shared" si="16"/>
        <v>-0.18001577404966071</v>
      </c>
      <c r="AB73" s="420">
        <v>390278787</v>
      </c>
      <c r="AC73" s="440">
        <f t="shared" si="17"/>
        <v>295379010</v>
      </c>
      <c r="AD73" s="869"/>
    </row>
    <row r="74" spans="1:30">
      <c r="A74" s="307" t="s">
        <v>71</v>
      </c>
      <c r="B74" s="854" t="str">
        <f>'Detail WPL''1217'!A64</f>
        <v>WPL.10</v>
      </c>
      <c r="C74" s="862">
        <f>'Detail WPL''1217'!D67</f>
        <v>19032300</v>
      </c>
      <c r="D74" s="862">
        <f>'Detail WPL''1217'!E67</f>
        <v>16765782</v>
      </c>
      <c r="E74" s="862">
        <f>'Detail WPL''1217'!F67</f>
        <v>-4439293</v>
      </c>
      <c r="F74" s="862">
        <f>'Detail WPL''1217'!G67</f>
        <v>17439688</v>
      </c>
      <c r="G74" s="862">
        <f>'Detail WPL''1217'!H67</f>
        <v>6748151</v>
      </c>
      <c r="H74" s="862">
        <f>'Detail WPL''1217'!I67</f>
        <v>25713784</v>
      </c>
      <c r="I74" s="862">
        <f>'Detail WPL''1217'!J67</f>
        <v>33602102</v>
      </c>
      <c r="J74" s="862">
        <f>'Detail WPL''1217'!K67</f>
        <v>11341234</v>
      </c>
      <c r="K74" s="862">
        <f>'Detail WPL''1217'!L67</f>
        <v>11390016</v>
      </c>
      <c r="L74" s="862">
        <v>81020029.669999987</v>
      </c>
      <c r="M74" s="862">
        <v>-25045843</v>
      </c>
      <c r="N74" s="983">
        <f>'Detail WPL''1217'!P67</f>
        <v>84568558</v>
      </c>
      <c r="O74" s="983">
        <f t="shared" si="13"/>
        <v>278136508.66999996</v>
      </c>
      <c r="P74" s="346">
        <f>'2016'!J198</f>
        <v>321021696</v>
      </c>
      <c r="Q74" s="898">
        <f t="shared" si="14"/>
        <v>-0.13358968525915471</v>
      </c>
      <c r="S74" s="346">
        <f>'MNC Asset -Proj 2017'!S53</f>
        <v>128822000</v>
      </c>
      <c r="T74" s="346">
        <f>'MNC Asset -Proj 2017'!T53</f>
        <v>696297000</v>
      </c>
      <c r="U74" s="898">
        <f t="shared" si="15"/>
        <v>-0.34352394777289591</v>
      </c>
      <c r="V74" s="898">
        <f t="shared" si="16"/>
        <v>-0.60054903486586908</v>
      </c>
      <c r="AB74" s="420">
        <v>137593764</v>
      </c>
      <c r="AC74" s="440">
        <f t="shared" si="17"/>
        <v>140542744.66999996</v>
      </c>
      <c r="AD74" s="869"/>
    </row>
    <row r="75" spans="1:30">
      <c r="A75" s="307" t="s">
        <v>74</v>
      </c>
      <c r="B75" s="854" t="str">
        <f>'Detail WPL''1217'!A69</f>
        <v>WPL.11</v>
      </c>
      <c r="C75" s="862">
        <f>'Detail WPL''1217'!D73</f>
        <v>11334884</v>
      </c>
      <c r="D75" s="862">
        <f>'Detail WPL''1217'!E73</f>
        <v>40854548</v>
      </c>
      <c r="E75" s="862">
        <f>'Detail WPL''1217'!F73</f>
        <v>4735304</v>
      </c>
      <c r="F75" s="862">
        <f>'Detail WPL''1217'!G73</f>
        <v>44500567</v>
      </c>
      <c r="G75" s="862">
        <f>'Detail WPL''1217'!H73</f>
        <v>53474364</v>
      </c>
      <c r="H75" s="862">
        <f>'Detail WPL''1217'!I73</f>
        <v>24257925</v>
      </c>
      <c r="I75" s="862">
        <f>'Detail WPL''1217'!J73</f>
        <v>13956777</v>
      </c>
      <c r="J75" s="862">
        <f>'Detail WPL''1217'!K73</f>
        <v>51420621</v>
      </c>
      <c r="K75" s="862">
        <f>'Detail WPL''1217'!L73</f>
        <v>21152969</v>
      </c>
      <c r="L75" s="862">
        <v>23645027</v>
      </c>
      <c r="M75" s="862">
        <v>38282815</v>
      </c>
      <c r="N75" s="983">
        <f>'Detail WPL''1217'!P73</f>
        <v>14206304</v>
      </c>
      <c r="O75" s="983">
        <f t="shared" si="13"/>
        <v>341822105</v>
      </c>
      <c r="P75" s="346">
        <f>'2016'!J202</f>
        <v>364890707</v>
      </c>
      <c r="Q75" s="898">
        <f t="shared" si="14"/>
        <v>-6.3220579635096044E-2</v>
      </c>
      <c r="S75" s="346">
        <f>'MNC Asset -Proj 2017'!S56</f>
        <v>22978000</v>
      </c>
      <c r="T75" s="346">
        <f>'MNC Asset -Proj 2017'!T56</f>
        <v>275486000</v>
      </c>
      <c r="U75" s="898">
        <f t="shared" si="15"/>
        <v>-0.38174323265732441</v>
      </c>
      <c r="V75" s="898">
        <f t="shared" si="16"/>
        <v>0.24079664665355044</v>
      </c>
      <c r="AB75" s="420">
        <v>265687959</v>
      </c>
      <c r="AC75" s="440">
        <f t="shared" si="17"/>
        <v>76134146</v>
      </c>
      <c r="AD75" s="869"/>
    </row>
    <row r="76" spans="1:30">
      <c r="A76" s="307" t="s">
        <v>76</v>
      </c>
      <c r="B76" s="854" t="str">
        <f>'Detail WPL''1217'!A75</f>
        <v>WPL.12</v>
      </c>
      <c r="C76" s="862">
        <f>'Detail WPL''1217'!D77</f>
        <v>198544425</v>
      </c>
      <c r="D76" s="862">
        <f>'Detail WPL''1217'!E77</f>
        <v>61505899</v>
      </c>
      <c r="E76" s="862">
        <f>'Detail WPL''1217'!F77</f>
        <v>24080742</v>
      </c>
      <c r="F76" s="862">
        <f>'Detail WPL''1217'!G77</f>
        <v>178486642</v>
      </c>
      <c r="G76" s="862">
        <f>'Detail WPL''1217'!H77</f>
        <v>144421265</v>
      </c>
      <c r="H76" s="862">
        <f>'Detail WPL''1217'!I77</f>
        <v>45394610.710000008</v>
      </c>
      <c r="I76" s="862">
        <f>'Detail WPL''1217'!J77</f>
        <v>107357473</v>
      </c>
      <c r="J76" s="862">
        <f>'Detail WPL''1217'!K77</f>
        <v>79491008.200000003</v>
      </c>
      <c r="K76" s="862">
        <f>'Detail WPL''1217'!L77</f>
        <v>148887666</v>
      </c>
      <c r="L76" s="862">
        <v>78401504</v>
      </c>
      <c r="M76" s="862">
        <v>232628790</v>
      </c>
      <c r="N76" s="983">
        <f>'Detail WPL''1217'!P77</f>
        <v>3085638</v>
      </c>
      <c r="O76" s="983">
        <f t="shared" si="13"/>
        <v>1302285662.9100001</v>
      </c>
      <c r="P76" s="346">
        <f>'2016'!J205</f>
        <v>1054131212</v>
      </c>
      <c r="Q76" s="898">
        <f t="shared" si="14"/>
        <v>0.23541134925620633</v>
      </c>
      <c r="S76" s="346">
        <f>'MNC Asset -Proj 2017'!S58</f>
        <v>579766007.33211815</v>
      </c>
      <c r="T76" s="346">
        <f>'MNC Asset -Proj 2017'!T58</f>
        <v>4748765879.6520844</v>
      </c>
      <c r="U76" s="898">
        <f t="shared" si="15"/>
        <v>-0.99467778731250722</v>
      </c>
      <c r="V76" s="898">
        <f t="shared" si="16"/>
        <v>-0.72576334653806707</v>
      </c>
      <c r="AB76" s="420">
        <v>988169730.91000009</v>
      </c>
      <c r="AC76" s="440">
        <f t="shared" si="17"/>
        <v>314115932</v>
      </c>
      <c r="AD76" s="869"/>
    </row>
    <row r="77" spans="1:30" ht="14.25" customHeight="1">
      <c r="A77" s="307" t="s">
        <v>77</v>
      </c>
      <c r="B77" s="854" t="str">
        <f>'Detail WPL''1217'!A79</f>
        <v>WPL.13</v>
      </c>
      <c r="C77" s="862">
        <f>'Detail WPL''1217'!D81</f>
        <v>-7740900</v>
      </c>
      <c r="D77" s="862">
        <f>'Detail WPL''1217'!E81</f>
        <v>0</v>
      </c>
      <c r="E77" s="862">
        <f>'Detail WPL''1217'!F81</f>
        <v>0</v>
      </c>
      <c r="F77" s="862">
        <f>'Detail WPL''1217'!G81</f>
        <v>0</v>
      </c>
      <c r="G77" s="862">
        <f>'Detail WPL''1217'!H81</f>
        <v>0</v>
      </c>
      <c r="H77" s="862">
        <f>'Detail WPL''1217'!I81</f>
        <v>813333.34</v>
      </c>
      <c r="I77" s="862">
        <f>'Detail WPL''1217'!J81</f>
        <v>21603023</v>
      </c>
      <c r="J77" s="862">
        <f>'Detail WPL''1217'!K81</f>
        <v>0</v>
      </c>
      <c r="K77" s="862">
        <f>'Detail WPL''1217'!L81</f>
        <v>0</v>
      </c>
      <c r="L77" s="862">
        <v>0</v>
      </c>
      <c r="M77" s="862">
        <v>6772300</v>
      </c>
      <c r="N77" s="983">
        <f>'Detail WPL''1217'!P81</f>
        <v>8598000</v>
      </c>
      <c r="O77" s="983">
        <f t="shared" si="13"/>
        <v>30045756.34</v>
      </c>
      <c r="P77" s="346">
        <f>'2016'!J209</f>
        <v>369426976</v>
      </c>
      <c r="Q77" s="898">
        <f t="shared" si="14"/>
        <v>-0.91866929517350682</v>
      </c>
      <c r="S77" s="346">
        <f>'MNC Asset -Proj 2017'!S59</f>
        <v>117500000</v>
      </c>
      <c r="T77" s="346">
        <f>'MNC Asset -Proj 2017'!T59</f>
        <v>1248309000</v>
      </c>
      <c r="U77" s="898">
        <f t="shared" si="15"/>
        <v>-0.92682553191489359</v>
      </c>
      <c r="V77" s="898">
        <f t="shared" si="16"/>
        <v>-0.97593083416045234</v>
      </c>
      <c r="AB77" s="420">
        <v>14675456.34</v>
      </c>
      <c r="AC77" s="440">
        <f t="shared" si="17"/>
        <v>15370300</v>
      </c>
      <c r="AD77" s="869"/>
    </row>
    <row r="78" spans="1:30">
      <c r="A78" s="307" t="s">
        <v>996</v>
      </c>
      <c r="B78" s="854" t="str">
        <f>'Detail WPL''1217'!A83</f>
        <v>WPL.14</v>
      </c>
      <c r="C78" s="862">
        <f>'Detail WPL''1217'!D89</f>
        <v>17274433</v>
      </c>
      <c r="D78" s="862">
        <f>'Detail WPL''1217'!E89</f>
        <v>56859746</v>
      </c>
      <c r="E78" s="862">
        <f>'Detail WPL''1217'!F89</f>
        <v>5621633</v>
      </c>
      <c r="F78" s="862">
        <f>'Detail WPL''1217'!G89</f>
        <v>13235989</v>
      </c>
      <c r="G78" s="862">
        <f>'Detail WPL''1217'!H89</f>
        <v>4687633</v>
      </c>
      <c r="H78" s="862">
        <f>'Detail WPL''1217'!I89</f>
        <v>13002195.09</v>
      </c>
      <c r="I78" s="862">
        <f>'Detail WPL''1217'!J89</f>
        <v>10095832</v>
      </c>
      <c r="J78" s="862">
        <f>'Detail WPL''1217'!K89</f>
        <v>9970554</v>
      </c>
      <c r="K78" s="862">
        <f>'Detail WPL''1217'!L89</f>
        <v>86421878</v>
      </c>
      <c r="L78" s="862">
        <v>25533671</v>
      </c>
      <c r="M78" s="862">
        <v>29396122</v>
      </c>
      <c r="N78" s="983">
        <f>'Detail WPL''1217'!P89</f>
        <v>13158887</v>
      </c>
      <c r="O78" s="983">
        <f t="shared" si="13"/>
        <v>285258573.09000003</v>
      </c>
      <c r="P78" s="346">
        <f>'2016'!J217</f>
        <v>127922123</v>
      </c>
      <c r="Q78" s="898">
        <f t="shared" si="14"/>
        <v>1.2299393287117353</v>
      </c>
      <c r="S78" s="346">
        <f>'MNC Asset -Proj 2017'!S60</f>
        <v>25083873.999999996</v>
      </c>
      <c r="T78" s="346">
        <f>'MNC Asset -Proj 2017'!T60</f>
        <v>371654257.10000002</v>
      </c>
      <c r="U78" s="898">
        <f t="shared" si="15"/>
        <v>-0.47540451686210822</v>
      </c>
      <c r="V78" s="898">
        <f t="shared" si="16"/>
        <v>-0.23246251686753513</v>
      </c>
      <c r="AB78" s="420">
        <v>177026360.72999758</v>
      </c>
      <c r="AC78" s="440">
        <f t="shared" si="17"/>
        <v>108232212.36000246</v>
      </c>
      <c r="AD78" s="869"/>
    </row>
    <row r="79" spans="1:30">
      <c r="A79" s="307" t="s">
        <v>998</v>
      </c>
      <c r="B79" s="854" t="str">
        <f>'Detail WPL''1217'!A91</f>
        <v>WPL.15</v>
      </c>
      <c r="C79" s="862">
        <f>'Detail WPL''1217'!D94</f>
        <v>6185568</v>
      </c>
      <c r="D79" s="862">
        <f>'Detail WPL''1217'!E94</f>
        <v>60092784</v>
      </c>
      <c r="E79" s="862">
        <f>'Detail WPL''1217'!F94</f>
        <v>66748533</v>
      </c>
      <c r="F79" s="862">
        <f>'Detail WPL''1217'!G94</f>
        <v>590410149</v>
      </c>
      <c r="G79" s="862">
        <f>'Detail WPL''1217'!H94</f>
        <v>3092784</v>
      </c>
      <c r="H79" s="862">
        <f>'Detail WPL''1217'!I94</f>
        <v>3092784</v>
      </c>
      <c r="I79" s="862">
        <f>'Detail WPL''1217'!J94</f>
        <v>393175884.50999999</v>
      </c>
      <c r="J79" s="862">
        <f>'Detail WPL''1217'!K94</f>
        <v>88849729</v>
      </c>
      <c r="K79" s="862">
        <f>'Detail WPL''1217'!L94</f>
        <v>-149016664</v>
      </c>
      <c r="L79" s="862">
        <v>130012975</v>
      </c>
      <c r="M79" s="862">
        <v>132122351</v>
      </c>
      <c r="N79" s="985">
        <f>'Detail WPL''1217'!P94</f>
        <v>-151965640</v>
      </c>
      <c r="O79" s="985">
        <f t="shared" si="13"/>
        <v>1172801237.51</v>
      </c>
      <c r="P79" s="347">
        <f>'2016'!J222</f>
        <v>1129663122</v>
      </c>
      <c r="Q79" s="898">
        <f t="shared" si="14"/>
        <v>3.8186707762599678E-2</v>
      </c>
      <c r="S79" s="346">
        <f>'MNC Asset -Proj 2017'!S61</f>
        <v>80000000</v>
      </c>
      <c r="T79" s="346">
        <f>'MNC Asset -Proj 2017'!T61</f>
        <v>960000000</v>
      </c>
      <c r="U79" s="898">
        <f t="shared" si="15"/>
        <v>-2.8995704999999998</v>
      </c>
      <c r="V79" s="898">
        <f t="shared" si="16"/>
        <v>0.22166795573958331</v>
      </c>
      <c r="AB79" s="420">
        <v>1148311518.51</v>
      </c>
      <c r="AC79" s="440">
        <f t="shared" si="17"/>
        <v>24489719</v>
      </c>
      <c r="AD79" s="869"/>
    </row>
    <row r="80" spans="1:30">
      <c r="A80" s="307" t="s">
        <v>79</v>
      </c>
      <c r="B80" s="854" t="str">
        <f>'Detail WPL''1217'!A96</f>
        <v>WPL.16</v>
      </c>
      <c r="C80" s="862">
        <f>'Detail WPL''1217'!D97</f>
        <v>0</v>
      </c>
      <c r="D80" s="862">
        <f>'Detail WPL''1217'!E97</f>
        <v>0</v>
      </c>
      <c r="E80" s="862">
        <f>'Detail WPL''1217'!F97</f>
        <v>0</v>
      </c>
      <c r="F80" s="862">
        <f>'Detail WPL''1217'!G97</f>
        <v>0</v>
      </c>
      <c r="G80" s="862">
        <f>'Detail WPL''1217'!H97</f>
        <v>0</v>
      </c>
      <c r="H80" s="862">
        <f>'Detail WPL''1217'!I97</f>
        <v>0</v>
      </c>
      <c r="I80" s="862">
        <f>'Detail WPL''1217'!J97</f>
        <v>0</v>
      </c>
      <c r="J80" s="862">
        <f>'Detail WPL''1217'!K97</f>
        <v>0</v>
      </c>
      <c r="K80" s="862">
        <f>'Detail WPL''1217'!L97</f>
        <v>0</v>
      </c>
      <c r="L80" s="862">
        <v>0</v>
      </c>
      <c r="M80" s="862">
        <v>0</v>
      </c>
      <c r="N80" s="985">
        <f>'Detail WPL''1217'!P97</f>
        <v>0</v>
      </c>
      <c r="O80" s="985">
        <f t="shared" si="13"/>
        <v>0</v>
      </c>
      <c r="P80" s="347">
        <f>'Detail WPL''1217'!S97</f>
        <v>0</v>
      </c>
      <c r="Q80" s="918"/>
      <c r="S80" s="346">
        <f>'MNC Asset -Proj 2017'!S62</f>
        <v>13000000</v>
      </c>
      <c r="T80" s="346">
        <f>'MNC Asset -Proj 2017'!T62</f>
        <v>130000000</v>
      </c>
      <c r="U80" s="898">
        <v>-1.1000000000000001</v>
      </c>
      <c r="V80" s="898">
        <f t="shared" si="16"/>
        <v>-1</v>
      </c>
    </row>
    <row r="81" spans="1:31">
      <c r="A81" s="384"/>
      <c r="C81" s="883"/>
      <c r="D81" s="863"/>
      <c r="E81" s="863"/>
      <c r="F81" s="863"/>
      <c r="G81" s="863"/>
      <c r="H81" s="863"/>
      <c r="I81" s="863"/>
      <c r="J81" s="863"/>
      <c r="K81" s="863"/>
      <c r="L81" s="863"/>
      <c r="M81" s="863"/>
      <c r="N81" s="1110"/>
      <c r="O81" s="984"/>
      <c r="P81" s="390"/>
      <c r="Q81" s="900"/>
      <c r="S81" s="358"/>
      <c r="T81" s="346"/>
      <c r="U81" s="900"/>
      <c r="V81" s="900"/>
    </row>
    <row r="82" spans="1:31">
      <c r="A82" s="384" t="s">
        <v>775</v>
      </c>
      <c r="B82" s="858"/>
      <c r="C82" s="862">
        <f t="shared" ref="C82:P82" si="18">SUM(C65:C80)</f>
        <v>2904285688</v>
      </c>
      <c r="D82" s="858">
        <f t="shared" si="18"/>
        <v>2518375326.6700001</v>
      </c>
      <c r="E82" s="858">
        <f t="shared" si="18"/>
        <v>1341052645.47</v>
      </c>
      <c r="F82" s="858">
        <f t="shared" si="18"/>
        <v>3019983356</v>
      </c>
      <c r="G82" s="858">
        <f t="shared" si="18"/>
        <v>2507033577.9000001</v>
      </c>
      <c r="H82" s="858">
        <f t="shared" si="18"/>
        <v>2624215361.9100003</v>
      </c>
      <c r="I82" s="858">
        <f t="shared" si="18"/>
        <v>3365209493.0100002</v>
      </c>
      <c r="J82" s="858">
        <f t="shared" si="18"/>
        <v>2896323807.1999998</v>
      </c>
      <c r="K82" s="858">
        <f t="shared" si="18"/>
        <v>2884504513</v>
      </c>
      <c r="L82" s="858">
        <f t="shared" si="18"/>
        <v>2471990551.6700001</v>
      </c>
      <c r="M82" s="858">
        <f t="shared" si="18"/>
        <v>1998646453.1200001</v>
      </c>
      <c r="N82" s="983">
        <f t="shared" si="18"/>
        <v>2672823944.5600004</v>
      </c>
      <c r="O82" s="983">
        <f t="shared" si="18"/>
        <v>31204444718.509995</v>
      </c>
      <c r="P82" s="346">
        <f t="shared" si="18"/>
        <v>30867200343.009998</v>
      </c>
      <c r="Q82" s="898">
        <f>(O82-P82)/P82</f>
        <v>1.0925654797078691E-2</v>
      </c>
      <c r="S82" s="911">
        <f>SUM(S65:S80)</f>
        <v>4005350110.3665323</v>
      </c>
      <c r="T82" s="911">
        <f>SUM(T65:T80)</f>
        <v>48862881433.532394</v>
      </c>
      <c r="U82" s="898">
        <f t="shared" si="15"/>
        <v>-0.33268656399292684</v>
      </c>
      <c r="V82" s="898">
        <f t="shared" si="16"/>
        <v>-0.36138754402036166</v>
      </c>
      <c r="W82" s="898">
        <f>O82/T82</f>
        <v>0.63861245597963834</v>
      </c>
      <c r="AB82" s="420">
        <v>24146393202.829994</v>
      </c>
      <c r="AC82" s="440">
        <f>O82-AB82</f>
        <v>7058051515.6800003</v>
      </c>
      <c r="AD82" s="994"/>
      <c r="AE82" s="912"/>
    </row>
    <row r="83" spans="1:31">
      <c r="A83" s="384"/>
      <c r="B83" s="858"/>
      <c r="C83" s="862"/>
      <c r="D83" s="858"/>
      <c r="E83" s="858"/>
      <c r="F83" s="858"/>
      <c r="G83" s="858"/>
      <c r="H83" s="858"/>
      <c r="I83" s="858"/>
      <c r="J83" s="858"/>
      <c r="K83" s="858"/>
      <c r="L83" s="858"/>
      <c r="M83" s="858"/>
      <c r="N83" s="1111"/>
      <c r="O83" s="985"/>
      <c r="P83" s="869"/>
      <c r="Q83" s="359"/>
      <c r="R83" s="359"/>
      <c r="S83" s="347"/>
      <c r="T83" s="347"/>
      <c r="U83" s="898"/>
      <c r="W83" s="359"/>
      <c r="X83" s="359"/>
      <c r="Y83" s="359"/>
      <c r="Z83" s="359"/>
      <c r="AA83" s="359"/>
      <c r="AB83" s="440"/>
      <c r="AD83" s="994"/>
    </row>
    <row r="84" spans="1:31">
      <c r="A84" s="868" t="s">
        <v>81</v>
      </c>
      <c r="B84" s="867"/>
      <c r="C84" s="884">
        <f t="shared" ref="C84:P84" si="19">C62-C82</f>
        <v>1714303643</v>
      </c>
      <c r="D84" s="864">
        <f t="shared" si="19"/>
        <v>-245714738.67000008</v>
      </c>
      <c r="E84" s="864">
        <f t="shared" si="19"/>
        <v>977445536.6099999</v>
      </c>
      <c r="F84" s="864">
        <f t="shared" si="19"/>
        <v>75848656.540000439</v>
      </c>
      <c r="G84" s="864">
        <f t="shared" si="19"/>
        <v>-268562225.92000055</v>
      </c>
      <c r="H84" s="864">
        <f t="shared" si="19"/>
        <v>-552608403.75000024</v>
      </c>
      <c r="I84" s="864">
        <f t="shared" si="19"/>
        <v>-1443931702.4300003</v>
      </c>
      <c r="J84" s="864">
        <f t="shared" si="19"/>
        <v>-634049955.09999943</v>
      </c>
      <c r="K84" s="864">
        <f t="shared" si="19"/>
        <v>-670169619.06999969</v>
      </c>
      <c r="L84" s="864">
        <f t="shared" si="19"/>
        <v>180674113.54000092</v>
      </c>
      <c r="M84" s="864">
        <f t="shared" si="19"/>
        <v>617988754.04999995</v>
      </c>
      <c r="N84" s="1115">
        <f t="shared" si="19"/>
        <v>365341212.98000002</v>
      </c>
      <c r="O84" s="1098">
        <f t="shared" si="19"/>
        <v>116565271.78000641</v>
      </c>
      <c r="P84" s="869">
        <f t="shared" si="19"/>
        <v>4690382525.5400047</v>
      </c>
      <c r="Q84" s="898">
        <f>(O84-P84)/P84</f>
        <v>-0.97514802446382853</v>
      </c>
      <c r="S84" s="345">
        <f>S62-S82</f>
        <v>1953934676.6752043</v>
      </c>
      <c r="T84" s="345">
        <f>T62-T82</f>
        <v>6340303308.5095367</v>
      </c>
      <c r="U84" s="898">
        <f t="shared" si="15"/>
        <v>-0.81302281118135389</v>
      </c>
      <c r="V84" s="898">
        <f>(O84-T84)/T84</f>
        <v>-0.98161518998254227</v>
      </c>
    </row>
    <row r="85" spans="1:31">
      <c r="C85" s="862"/>
      <c r="N85" s="1112"/>
      <c r="O85" s="985"/>
      <c r="P85" s="359"/>
      <c r="T85" s="346"/>
      <c r="U85" s="898"/>
    </row>
    <row r="86" spans="1:31">
      <c r="A86" s="384" t="s">
        <v>773</v>
      </c>
      <c r="C86" s="862"/>
      <c r="N86" s="976"/>
      <c r="O86" s="983"/>
      <c r="T86" s="346"/>
      <c r="U86" s="898"/>
    </row>
    <row r="87" spans="1:31">
      <c r="A87" s="312" t="s">
        <v>578</v>
      </c>
      <c r="C87" s="871">
        <v>4986302</v>
      </c>
      <c r="D87" s="859">
        <v>9790302</v>
      </c>
      <c r="E87" s="859">
        <v>2315069</v>
      </c>
      <c r="F87" s="859">
        <v>11717808</v>
      </c>
      <c r="G87" s="859">
        <v>3457535</v>
      </c>
      <c r="H87" s="859">
        <v>1808219</v>
      </c>
      <c r="I87" s="859">
        <v>2783562</v>
      </c>
      <c r="J87" s="859">
        <v>5178082</v>
      </c>
      <c r="K87" s="859">
        <v>2602740</v>
      </c>
      <c r="L87" s="859">
        <v>9232876</v>
      </c>
      <c r="M87" s="859">
        <v>6071233</v>
      </c>
      <c r="N87" s="983">
        <f>-'TB''1217'!J228</f>
        <v>964384</v>
      </c>
      <c r="O87" s="983">
        <f>SUM(C87:N87)</f>
        <v>60908112</v>
      </c>
      <c r="P87" s="346">
        <v>101117701</v>
      </c>
      <c r="Q87" s="898">
        <v>1</v>
      </c>
      <c r="T87" s="346"/>
      <c r="U87" s="898"/>
      <c r="AD87" s="994"/>
    </row>
    <row r="88" spans="1:31">
      <c r="A88" s="312" t="s">
        <v>771</v>
      </c>
      <c r="B88" s="854" t="str">
        <f>'Detail WPL''1217'!A99</f>
        <v>WPL.17</v>
      </c>
      <c r="C88" s="871">
        <f>'Detail WPL''1217'!D102</f>
        <v>11104955</v>
      </c>
      <c r="D88" s="859">
        <f>'Detail WPL''1217'!E102</f>
        <v>10427105</v>
      </c>
      <c r="E88" s="859">
        <f>'Detail WPL''1217'!F102</f>
        <v>6956802.2199999997</v>
      </c>
      <c r="F88" s="871">
        <f>'Detail WPL''1217'!G102</f>
        <v>8966917.4199999999</v>
      </c>
      <c r="G88" s="859">
        <f>'Detail WPL''1217'!H102</f>
        <v>8332592.0299999993</v>
      </c>
      <c r="H88" s="859">
        <f>'Detail WPL''1217'!I102</f>
        <v>8013823.3499999996</v>
      </c>
      <c r="I88" s="859">
        <f>'Detail WPL''1217'!J102</f>
        <v>3408665.51</v>
      </c>
      <c r="J88" s="859">
        <f>'Detail WPL''1217'!K102</f>
        <v>7732296.0800000001</v>
      </c>
      <c r="K88" s="859">
        <f>'Detail WPL''1217'!L102</f>
        <v>7400475.5199999996</v>
      </c>
      <c r="L88" s="859">
        <v>8065438.4100000001</v>
      </c>
      <c r="M88" s="859">
        <v>8684065.8900000006</v>
      </c>
      <c r="N88" s="983">
        <f>'Detail WPL''1217'!P102</f>
        <v>8474326.9499999993</v>
      </c>
      <c r="O88" s="983">
        <f t="shared" ref="O88:O91" si="20">SUM(C88:N88)</f>
        <v>97567463.379999995</v>
      </c>
      <c r="P88" s="346">
        <f>'Detail WPL''1217'!R102</f>
        <v>169306349.80000001</v>
      </c>
      <c r="Q88" s="898">
        <f t="shared" ref="Q88:Q91" si="21">(O88-P88)/P88</f>
        <v>-0.42372236188863843</v>
      </c>
      <c r="S88" s="346">
        <f>'MNC Asset -Proj 2017'!S69</f>
        <v>31294100.809375092</v>
      </c>
      <c r="T88" s="346">
        <f>'MNC Asset -Proj 2017'!T69</f>
        <v>199419522.43456471</v>
      </c>
      <c r="U88" s="898">
        <f t="shared" si="15"/>
        <v>-0.72920369236296256</v>
      </c>
      <c r="V88" s="898">
        <f t="shared" si="16"/>
        <v>-0.51074266857692086</v>
      </c>
      <c r="AD88" s="994"/>
    </row>
    <row r="89" spans="1:31">
      <c r="A89" s="312" t="s">
        <v>769</v>
      </c>
      <c r="B89" s="854" t="str">
        <f>'Detail WPL''1217'!A104</f>
        <v>WPL.18</v>
      </c>
      <c r="C89" s="871">
        <f>'Detail WPL''1217'!D107</f>
        <v>-10716052</v>
      </c>
      <c r="D89" s="859">
        <f>'Detail WPL''1217'!E107</f>
        <v>-10620489</v>
      </c>
      <c r="E89" s="859">
        <f>'Detail WPL''1217'!F107</f>
        <v>-10547693.560000001</v>
      </c>
      <c r="F89" s="871">
        <f>'Detail WPL''1217'!G107</f>
        <v>-10011668.800000001</v>
      </c>
      <c r="G89" s="859">
        <f>'Detail WPL''1217'!H107</f>
        <v>-49110137.200000003</v>
      </c>
      <c r="H89" s="859">
        <f>'Detail WPL''1217'!I107</f>
        <v>-16896484.239999998</v>
      </c>
      <c r="I89" s="859">
        <f>'Detail WPL''1217'!J107</f>
        <v>-16475103</v>
      </c>
      <c r="J89" s="859">
        <f>'Detail WPL''1217'!K107</f>
        <v>-15886773</v>
      </c>
      <c r="K89" s="859">
        <f>'Detail WPL''1217'!L107</f>
        <v>-15487437</v>
      </c>
      <c r="L89" s="859">
        <v>-15080125</v>
      </c>
      <c r="M89" s="859">
        <v>-20806650.48</v>
      </c>
      <c r="N89" s="983">
        <f>'Detail WPL''1217'!P107</f>
        <v>-19334447.07</v>
      </c>
      <c r="O89" s="983">
        <f t="shared" si="20"/>
        <v>-210973060.34999999</v>
      </c>
      <c r="P89" s="346">
        <f>'Detail WPL''1217'!R107</f>
        <v>-104715775</v>
      </c>
      <c r="Q89" s="898">
        <f t="shared" si="21"/>
        <v>1.0147208990240486</v>
      </c>
      <c r="S89" s="346">
        <f>'MNC Asset -Proj 2017'!S70</f>
        <v>-10228479.032594632</v>
      </c>
      <c r="T89" s="346">
        <f>'MNC Asset -Proj 2017'!T70</f>
        <v>-143771436.26882982</v>
      </c>
      <c r="U89" s="898">
        <f t="shared" si="15"/>
        <v>0.89025631361102575</v>
      </c>
      <c r="V89" s="898">
        <f t="shared" si="16"/>
        <v>0.46741985630242833</v>
      </c>
      <c r="AD89" s="994"/>
    </row>
    <row r="90" spans="1:31">
      <c r="A90" s="312" t="s">
        <v>879</v>
      </c>
      <c r="B90" s="854" t="str">
        <f>'Detail WPL''1217'!A109</f>
        <v>WPL.19</v>
      </c>
      <c r="C90" s="872">
        <f>'Detail WPL''1217'!D113</f>
        <v>-13330450</v>
      </c>
      <c r="D90" s="346">
        <f>'Detail WPL''1217'!E113</f>
        <v>249923</v>
      </c>
      <c r="E90" s="346">
        <f>'Detail WPL''1217'!F113</f>
        <v>-1914734.46</v>
      </c>
      <c r="F90" s="872">
        <f>'Detail WPL''1217'!G113</f>
        <v>135266.6</v>
      </c>
      <c r="G90" s="346">
        <f>'Detail WPL''1217'!H113</f>
        <v>-943584</v>
      </c>
      <c r="H90" s="346">
        <f>'Detail WPL''1217'!I113</f>
        <v>-262842.06</v>
      </c>
      <c r="I90" s="346">
        <f>'Detail WPL''1217'!J113</f>
        <v>200564.07</v>
      </c>
      <c r="J90" s="346">
        <f>'Detail WPL''1217'!K113</f>
        <v>6421758.3200000003</v>
      </c>
      <c r="K90" s="346">
        <f>'Detail WPL''1217'!L113</f>
        <v>23916514</v>
      </c>
      <c r="L90" s="346">
        <v>13612176</v>
      </c>
      <c r="M90" s="346">
        <v>-9443655.5</v>
      </c>
      <c r="N90" s="983">
        <f>'Detail WPL''1217'!P113</f>
        <v>5158403.3099999996</v>
      </c>
      <c r="O90" s="983">
        <f t="shared" si="20"/>
        <v>23799339.279999997</v>
      </c>
      <c r="P90" s="346">
        <f>'Detail WPL''1217'!R113</f>
        <v>-32058555</v>
      </c>
      <c r="Q90" s="898">
        <f t="shared" si="21"/>
        <v>-1.7423709296941177</v>
      </c>
      <c r="T90" s="346"/>
      <c r="U90" s="898"/>
      <c r="AD90" s="994"/>
    </row>
    <row r="91" spans="1:31">
      <c r="A91" s="312" t="s">
        <v>770</v>
      </c>
      <c r="B91" s="854" t="str">
        <f>'Detail WPL''1217'!A116</f>
        <v>WPL.20</v>
      </c>
      <c r="C91" s="873">
        <f>'Detail WPL''1217'!D118</f>
        <v>-85000000</v>
      </c>
      <c r="D91" s="358">
        <f>'Detail WPL''1217'!E118</f>
        <v>0</v>
      </c>
      <c r="E91" s="358">
        <f>'Detail WPL''1217'!F118</f>
        <v>13667464.970000001</v>
      </c>
      <c r="F91" s="873">
        <f>'Detail WPL''1217'!G118</f>
        <v>3682408</v>
      </c>
      <c r="G91" s="358">
        <f>'Detail WPL''1217'!H118</f>
        <v>5139611</v>
      </c>
      <c r="H91" s="358">
        <f>'Detail WPL''1217'!I118</f>
        <v>76</v>
      </c>
      <c r="I91" s="358">
        <f>'Detail WPL''1217'!J118</f>
        <v>-17085402</v>
      </c>
      <c r="J91" s="358">
        <f>'Detail WPL''1217'!K118</f>
        <v>0</v>
      </c>
      <c r="K91" s="358">
        <f>'Detail WPL''1217'!L118</f>
        <v>0</v>
      </c>
      <c r="L91" s="358">
        <v>550000</v>
      </c>
      <c r="M91" s="358">
        <v>360000000</v>
      </c>
      <c r="N91" s="984">
        <f>'Detail WPL''1217'!P118</f>
        <v>-226227557.75999996</v>
      </c>
      <c r="O91" s="984">
        <f t="shared" si="20"/>
        <v>54726600.210000068</v>
      </c>
      <c r="P91" s="358">
        <f>'Detail WPL''1217'!R118</f>
        <v>-3158412706</v>
      </c>
      <c r="Q91" s="900">
        <f t="shared" si="21"/>
        <v>-1.0173272479894842</v>
      </c>
      <c r="T91" s="346"/>
      <c r="U91" s="900"/>
      <c r="V91" s="900"/>
      <c r="AD91" s="994"/>
      <c r="AE91" s="912"/>
    </row>
    <row r="92" spans="1:31" hidden="1">
      <c r="C92" s="862"/>
      <c r="F92" s="862"/>
      <c r="N92" s="1113"/>
      <c r="O92" s="984"/>
      <c r="P92" s="389"/>
      <c r="Q92" s="898" t="e">
        <f>#REF!/P92</f>
        <v>#REF!</v>
      </c>
      <c r="T92" s="346"/>
      <c r="U92" s="898" t="e">
        <f t="shared" si="15"/>
        <v>#DIV/0!</v>
      </c>
      <c r="V92" s="898" t="e">
        <f t="shared" si="16"/>
        <v>#DIV/0!</v>
      </c>
    </row>
    <row r="93" spans="1:31">
      <c r="A93" s="384" t="s">
        <v>774</v>
      </c>
      <c r="C93" s="862">
        <f t="shared" ref="C93:P93" si="22">SUM(C87:C91)</f>
        <v>-92955245</v>
      </c>
      <c r="D93" s="862">
        <f t="shared" si="22"/>
        <v>9846841</v>
      </c>
      <c r="E93" s="862">
        <f t="shared" si="22"/>
        <v>10476908.169999998</v>
      </c>
      <c r="F93" s="862">
        <f t="shared" si="22"/>
        <v>14490731.220000001</v>
      </c>
      <c r="G93" s="862">
        <f t="shared" si="22"/>
        <v>-33123983.170000002</v>
      </c>
      <c r="H93" s="862">
        <f t="shared" si="22"/>
        <v>-7337207.9499999983</v>
      </c>
      <c r="I93" s="862">
        <f t="shared" si="22"/>
        <v>-27167713.420000002</v>
      </c>
      <c r="J93" s="862">
        <f t="shared" si="22"/>
        <v>3445363.4000000004</v>
      </c>
      <c r="K93" s="862">
        <f t="shared" si="22"/>
        <v>18432292.52</v>
      </c>
      <c r="L93" s="862">
        <f t="shared" si="22"/>
        <v>16380365.41</v>
      </c>
      <c r="M93" s="862">
        <f t="shared" si="22"/>
        <v>344504992.91000003</v>
      </c>
      <c r="N93" s="986">
        <f t="shared" si="22"/>
        <v>-230964890.56999996</v>
      </c>
      <c r="O93" s="986">
        <f t="shared" si="22"/>
        <v>26028454.520000067</v>
      </c>
      <c r="P93" s="345">
        <f t="shared" si="22"/>
        <v>-3024762985.1999998</v>
      </c>
      <c r="Q93" s="898">
        <f>(O93-P93)/P93</f>
        <v>-1.0086051220037258</v>
      </c>
      <c r="R93" s="386"/>
      <c r="S93" s="911">
        <f>SUM(S88:S91)</f>
        <v>21065621.77678046</v>
      </c>
      <c r="T93" s="911">
        <f>SUM(T88:T91)</f>
        <v>55648086.165734887</v>
      </c>
      <c r="U93" s="898">
        <f t="shared" si="15"/>
        <v>-11.964067095545243</v>
      </c>
      <c r="V93" s="898">
        <f t="shared" si="16"/>
        <v>-0.53226685204446444</v>
      </c>
      <c r="AD93" s="869"/>
    </row>
    <row r="94" spans="1:31">
      <c r="C94" s="862"/>
      <c r="N94" s="976"/>
      <c r="O94" s="983"/>
      <c r="Q94" s="389"/>
      <c r="T94" s="346"/>
      <c r="U94" s="898"/>
    </row>
    <row r="95" spans="1:31" ht="13.5" thickBot="1">
      <c r="A95" s="384" t="s">
        <v>776</v>
      </c>
      <c r="B95" s="858"/>
      <c r="C95" s="885">
        <f t="shared" ref="C95:P95" si="23">C84+C93</f>
        <v>1621348398</v>
      </c>
      <c r="D95" s="870">
        <f t="shared" si="23"/>
        <v>-235867897.67000008</v>
      </c>
      <c r="E95" s="870">
        <f t="shared" si="23"/>
        <v>987922444.77999985</v>
      </c>
      <c r="F95" s="870">
        <f t="shared" si="23"/>
        <v>90339387.760000437</v>
      </c>
      <c r="G95" s="870">
        <f t="shared" si="23"/>
        <v>-301686209.09000057</v>
      </c>
      <c r="H95" s="870">
        <f t="shared" si="23"/>
        <v>-559945611.70000029</v>
      </c>
      <c r="I95" s="870">
        <f t="shared" si="23"/>
        <v>-1471099415.8500004</v>
      </c>
      <c r="J95" s="870">
        <f t="shared" si="23"/>
        <v>-630604591.69999945</v>
      </c>
      <c r="K95" s="870">
        <f t="shared" si="23"/>
        <v>-651737326.54999971</v>
      </c>
      <c r="L95" s="870">
        <f t="shared" si="23"/>
        <v>197054478.95000091</v>
      </c>
      <c r="M95" s="870">
        <f t="shared" si="23"/>
        <v>962493746.96000004</v>
      </c>
      <c r="N95" s="1114">
        <f t="shared" si="23"/>
        <v>134376322.41000006</v>
      </c>
      <c r="O95" s="987">
        <f t="shared" si="23"/>
        <v>142593726.30000648</v>
      </c>
      <c r="P95" s="392">
        <f t="shared" si="23"/>
        <v>1665619540.3400049</v>
      </c>
      <c r="Q95" s="919">
        <f>(O95-P95)/P95</f>
        <v>-0.91438997751497408</v>
      </c>
      <c r="S95" s="866">
        <f>S84+S93</f>
        <v>1975000298.4519846</v>
      </c>
      <c r="T95" s="866">
        <f>T84+T93</f>
        <v>6395951394.675272</v>
      </c>
      <c r="U95" s="919">
        <f t="shared" si="15"/>
        <v>-0.9319613660234255</v>
      </c>
      <c r="V95" s="919">
        <f t="shared" si="16"/>
        <v>-0.9777056269660338</v>
      </c>
      <c r="AD95" s="869"/>
    </row>
    <row r="96" spans="1:31">
      <c r="C96" s="862"/>
      <c r="F96" s="862"/>
      <c r="N96" s="976"/>
      <c r="O96" s="983"/>
      <c r="P96" s="386"/>
      <c r="T96" s="346"/>
      <c r="U96" s="898"/>
    </row>
    <row r="97" spans="1:29">
      <c r="A97" s="384" t="s">
        <v>777</v>
      </c>
      <c r="C97" s="862"/>
      <c r="N97" s="976"/>
      <c r="O97" s="983"/>
      <c r="P97" s="346"/>
      <c r="Q97" s="346"/>
      <c r="T97" s="346"/>
      <c r="U97" s="898"/>
    </row>
    <row r="98" spans="1:29">
      <c r="A98" s="312" t="s">
        <v>778</v>
      </c>
      <c r="C98" s="862"/>
      <c r="N98" s="978"/>
      <c r="O98" s="983"/>
      <c r="P98" s="346">
        <f>'2016'!F249</f>
        <v>0</v>
      </c>
      <c r="Q98" s="898"/>
      <c r="S98" s="346">
        <f>'MNC Asset -Proj 2017'!S80</f>
        <v>-388483669.16880107</v>
      </c>
      <c r="T98" s="346">
        <f>'MNC Asset -Proj 2017'!T80</f>
        <v>-385075827.12738609</v>
      </c>
      <c r="U98" s="898">
        <f t="shared" si="15"/>
        <v>-1</v>
      </c>
      <c r="V98" s="898">
        <f t="shared" si="16"/>
        <v>-1</v>
      </c>
      <c r="W98" s="346"/>
      <c r="X98" s="346"/>
      <c r="Y98" s="346"/>
      <c r="Z98" s="346"/>
    </row>
    <row r="99" spans="1:29">
      <c r="A99" s="312" t="s">
        <v>779</v>
      </c>
      <c r="C99" s="867"/>
      <c r="D99" s="867"/>
      <c r="E99" s="867"/>
      <c r="F99" s="867"/>
      <c r="G99" s="867"/>
      <c r="H99" s="867"/>
      <c r="I99" s="867"/>
      <c r="J99" s="867"/>
      <c r="K99" s="867"/>
      <c r="L99" s="867"/>
      <c r="M99" s="867"/>
      <c r="N99" s="976"/>
      <c r="O99" s="983"/>
      <c r="P99" s="346">
        <v>1694739209.9879107</v>
      </c>
      <c r="Q99" s="898">
        <f>(O99-P99)/P99</f>
        <v>-1</v>
      </c>
      <c r="S99" s="347"/>
      <c r="T99" s="347"/>
      <c r="U99" s="898"/>
    </row>
    <row r="100" spans="1:29">
      <c r="C100" s="863"/>
      <c r="D100" s="863"/>
      <c r="E100" s="863"/>
      <c r="F100" s="863"/>
      <c r="G100" s="863"/>
      <c r="H100" s="863"/>
      <c r="I100" s="863"/>
      <c r="J100" s="863"/>
      <c r="K100" s="863"/>
      <c r="L100" s="863"/>
      <c r="M100" s="863"/>
      <c r="N100" s="1113"/>
      <c r="O100" s="984"/>
      <c r="P100" s="358"/>
      <c r="Q100" s="389"/>
      <c r="S100" s="358"/>
      <c r="T100" s="358"/>
      <c r="U100" s="900"/>
      <c r="V100" s="900"/>
    </row>
    <row r="101" spans="1:29">
      <c r="A101" s="312" t="s">
        <v>780</v>
      </c>
      <c r="C101" s="859">
        <f t="shared" ref="C101:J101" si="24">C98+C99</f>
        <v>0</v>
      </c>
      <c r="D101" s="859">
        <f t="shared" si="24"/>
        <v>0</v>
      </c>
      <c r="E101" s="859">
        <f t="shared" si="24"/>
        <v>0</v>
      </c>
      <c r="F101" s="859">
        <f t="shared" si="24"/>
        <v>0</v>
      </c>
      <c r="G101" s="859">
        <f t="shared" si="24"/>
        <v>0</v>
      </c>
      <c r="H101" s="859">
        <f t="shared" si="24"/>
        <v>0</v>
      </c>
      <c r="I101" s="859">
        <f t="shared" si="24"/>
        <v>0</v>
      </c>
      <c r="J101" s="859">
        <f t="shared" si="24"/>
        <v>0</v>
      </c>
      <c r="K101" s="859"/>
      <c r="L101" s="859"/>
      <c r="M101" s="859">
        <v>0</v>
      </c>
      <c r="N101" s="1033">
        <f>N98+N99</f>
        <v>0</v>
      </c>
      <c r="O101" s="983">
        <f>O98+O99</f>
        <v>0</v>
      </c>
      <c r="P101" s="386">
        <f>P98+P99</f>
        <v>1694739209.9879107</v>
      </c>
      <c r="Q101" s="898">
        <f>(O101-P101)/P101</f>
        <v>-1</v>
      </c>
      <c r="S101" s="345">
        <f>S98+S99</f>
        <v>-388483669.16880107</v>
      </c>
      <c r="T101" s="345">
        <f>T98+T99</f>
        <v>-385075827.12738609</v>
      </c>
      <c r="U101" s="898">
        <f t="shared" si="15"/>
        <v>-1</v>
      </c>
      <c r="V101" s="898">
        <f t="shared" si="16"/>
        <v>-1</v>
      </c>
    </row>
    <row r="102" spans="1:29">
      <c r="N102" s="976"/>
      <c r="O102" s="983"/>
      <c r="Q102" s="389"/>
      <c r="T102" s="346"/>
      <c r="U102" s="898"/>
    </row>
    <row r="103" spans="1:29" ht="13.5" thickBot="1">
      <c r="A103" s="384" t="s">
        <v>781</v>
      </c>
      <c r="B103" s="932"/>
      <c r="C103" s="870">
        <f t="shared" ref="C103:P103" si="25">C95+C101</f>
        <v>1621348398</v>
      </c>
      <c r="D103" s="870">
        <f t="shared" si="25"/>
        <v>-235867897.67000008</v>
      </c>
      <c r="E103" s="870">
        <f t="shared" si="25"/>
        <v>987922444.77999985</v>
      </c>
      <c r="F103" s="870">
        <f t="shared" si="25"/>
        <v>90339387.760000437</v>
      </c>
      <c r="G103" s="870">
        <f t="shared" si="25"/>
        <v>-301686209.09000057</v>
      </c>
      <c r="H103" s="870">
        <f t="shared" si="25"/>
        <v>-559945611.70000029</v>
      </c>
      <c r="I103" s="870">
        <f t="shared" si="25"/>
        <v>-1471099415.8500004</v>
      </c>
      <c r="J103" s="870">
        <f t="shared" si="25"/>
        <v>-630604591.69999945</v>
      </c>
      <c r="K103" s="870">
        <f t="shared" si="25"/>
        <v>-651737326.54999971</v>
      </c>
      <c r="L103" s="870">
        <f t="shared" si="25"/>
        <v>197054478.95000091</v>
      </c>
      <c r="M103" s="870">
        <f t="shared" si="25"/>
        <v>962493746.96000004</v>
      </c>
      <c r="N103" s="1114">
        <f t="shared" si="25"/>
        <v>134376322.41000006</v>
      </c>
      <c r="O103" s="987">
        <f t="shared" si="25"/>
        <v>142593726.30000648</v>
      </c>
      <c r="P103" s="392">
        <f t="shared" si="25"/>
        <v>3360358750.3279157</v>
      </c>
      <c r="Q103" s="919">
        <f>(O103-P103)/P103</f>
        <v>-0.95756592170818322</v>
      </c>
      <c r="S103" s="866">
        <f>S95+S101</f>
        <v>1586516629.2831836</v>
      </c>
      <c r="T103" s="866">
        <f>T95+T101</f>
        <v>6010875567.5478859</v>
      </c>
      <c r="U103" s="919">
        <f t="shared" si="15"/>
        <v>-0.9153010312468558</v>
      </c>
      <c r="V103" s="919">
        <f t="shared" si="16"/>
        <v>-0.97627737844552032</v>
      </c>
      <c r="AC103" s="472"/>
    </row>
    <row r="104" spans="1:29">
      <c r="A104" s="384"/>
      <c r="B104" s="932"/>
      <c r="C104" s="1097"/>
      <c r="D104" s="1097"/>
      <c r="E104" s="1097"/>
      <c r="F104" s="1097"/>
      <c r="G104" s="1097"/>
      <c r="H104" s="1097"/>
      <c r="I104" s="1097"/>
      <c r="J104" s="1097"/>
      <c r="K104" s="1097"/>
      <c r="L104" s="1097"/>
      <c r="M104" s="1097"/>
      <c r="N104" s="1115"/>
      <c r="O104" s="1098"/>
      <c r="P104" s="391"/>
      <c r="Q104" s="918"/>
      <c r="S104" s="865"/>
      <c r="T104" s="865"/>
      <c r="U104" s="918"/>
      <c r="V104" s="918"/>
      <c r="AC104" s="472"/>
    </row>
    <row r="105" spans="1:29">
      <c r="A105" s="384" t="s">
        <v>1112</v>
      </c>
      <c r="B105" s="932"/>
      <c r="C105" s="1097"/>
      <c r="D105" s="1097"/>
      <c r="E105" s="1097"/>
      <c r="F105" s="1097"/>
      <c r="G105" s="1097"/>
      <c r="H105" s="1097"/>
      <c r="I105" s="1097"/>
      <c r="J105" s="1097"/>
      <c r="K105" s="1097"/>
      <c r="L105" s="1097"/>
      <c r="M105" s="1097"/>
      <c r="N105" s="1115"/>
      <c r="O105" s="1098"/>
      <c r="P105" s="391"/>
      <c r="Q105" s="918"/>
      <c r="S105" s="865"/>
      <c r="T105" s="865"/>
      <c r="U105" s="918"/>
      <c r="V105" s="918"/>
      <c r="AC105" s="472"/>
    </row>
    <row r="106" spans="1:29">
      <c r="A106" s="312" t="s">
        <v>1429</v>
      </c>
      <c r="B106" s="932"/>
      <c r="C106" s="1097"/>
      <c r="D106" s="1097"/>
      <c r="E106" s="1097"/>
      <c r="F106" s="1097"/>
      <c r="G106" s="1097"/>
      <c r="H106" s="1097"/>
      <c r="I106" s="1097"/>
      <c r="J106" s="1097"/>
      <c r="K106" s="1097"/>
      <c r="L106" s="1097"/>
      <c r="M106" s="1097"/>
      <c r="N106" s="1111">
        <f>'TB''1217'!J334</f>
        <v>35996351</v>
      </c>
      <c r="O106" s="985">
        <f t="shared" ref="O106" si="26">SUM(C106:N106)</f>
        <v>35996351</v>
      </c>
      <c r="P106" s="391"/>
      <c r="Q106" s="918"/>
      <c r="S106" s="865"/>
      <c r="T106" s="865"/>
      <c r="U106" s="918"/>
      <c r="V106" s="918"/>
      <c r="AC106" s="472"/>
    </row>
    <row r="107" spans="1:29" ht="13.5" thickBot="1">
      <c r="A107" s="1099" t="s">
        <v>1430</v>
      </c>
      <c r="B107" s="1100"/>
      <c r="C107" s="870"/>
      <c r="D107" s="870"/>
      <c r="E107" s="870"/>
      <c r="F107" s="870"/>
      <c r="G107" s="870"/>
      <c r="H107" s="870"/>
      <c r="I107" s="870"/>
      <c r="J107" s="870"/>
      <c r="K107" s="870"/>
      <c r="L107" s="870"/>
      <c r="M107" s="870"/>
      <c r="N107" s="1114">
        <f>N103-N106</f>
        <v>98379971.410000056</v>
      </c>
      <c r="O107" s="987">
        <f>O103-O106</f>
        <v>106597375.30000648</v>
      </c>
      <c r="P107" s="392"/>
      <c r="Q107" s="919"/>
      <c r="R107" s="1099"/>
      <c r="S107" s="866"/>
      <c r="T107" s="866"/>
      <c r="U107" s="919"/>
      <c r="V107" s="918"/>
      <c r="AC107" s="472"/>
    </row>
    <row r="108" spans="1:29">
      <c r="A108" s="384"/>
      <c r="B108" s="933"/>
      <c r="C108" s="865"/>
      <c r="D108" s="865"/>
      <c r="E108" s="865"/>
      <c r="F108" s="865"/>
      <c r="G108" s="865"/>
      <c r="H108" s="865"/>
      <c r="I108" s="865"/>
      <c r="J108" s="865"/>
      <c r="K108" s="865"/>
      <c r="L108" s="865"/>
      <c r="M108" s="865"/>
      <c r="N108" s="1115"/>
      <c r="O108" s="978"/>
      <c r="P108" s="391"/>
      <c r="Q108" s="359"/>
      <c r="S108" s="346">
        <f>S103-'MNC Asset -Proj 2017'!S82</f>
        <v>0</v>
      </c>
      <c r="T108" s="345">
        <f>T103-'MNC Asset -Proj 2017'!T82</f>
        <v>-7.62939453125E-6</v>
      </c>
      <c r="U108" s="898"/>
    </row>
    <row r="109" spans="1:29">
      <c r="A109" s="384" t="s">
        <v>1098</v>
      </c>
      <c r="C109" s="858">
        <f t="shared" ref="C109:O109" si="27">C84+C68+C69</f>
        <v>1914682613</v>
      </c>
      <c r="D109" s="858">
        <f t="shared" si="27"/>
        <v>-40374414.000000075</v>
      </c>
      <c r="E109" s="858">
        <f t="shared" si="27"/>
        <v>1155463923.25</v>
      </c>
      <c r="F109" s="858">
        <f t="shared" si="27"/>
        <v>253791464.54000044</v>
      </c>
      <c r="G109" s="858">
        <f t="shared" si="27"/>
        <v>-90379904.670000553</v>
      </c>
      <c r="H109" s="858">
        <f t="shared" si="27"/>
        <v>-350311146.37000024</v>
      </c>
      <c r="I109" s="858">
        <f t="shared" si="27"/>
        <v>-1246947074.4300003</v>
      </c>
      <c r="J109" s="858">
        <f t="shared" si="27"/>
        <v>-408535332.09999943</v>
      </c>
      <c r="K109" s="858">
        <f t="shared" si="27"/>
        <v>-446090891.06999969</v>
      </c>
      <c r="L109" s="858">
        <f t="shared" si="27"/>
        <v>316195944.54000092</v>
      </c>
      <c r="M109" s="858">
        <f t="shared" si="27"/>
        <v>943475976.04999995</v>
      </c>
      <c r="N109" s="983">
        <f t="shared" si="27"/>
        <v>567640299.73000002</v>
      </c>
      <c r="O109" s="983">
        <f t="shared" si="27"/>
        <v>2568611458.4700065</v>
      </c>
      <c r="P109" s="346">
        <f>P84+P69+P68</f>
        <v>7005980638.0900049</v>
      </c>
      <c r="Q109" s="898">
        <f>(O109-P109)/P109</f>
        <v>-0.63336874719507219</v>
      </c>
      <c r="S109" s="346">
        <f>S84+S69+S68</f>
        <v>2206368648.2418709</v>
      </c>
      <c r="T109" s="346">
        <f>T84+T69+T68</f>
        <v>9233312680.3928699</v>
      </c>
      <c r="U109" s="898">
        <f t="shared" si="15"/>
        <v>-0.7427264477392207</v>
      </c>
      <c r="V109" s="898">
        <f t="shared" si="16"/>
        <v>-0.7218104111296364</v>
      </c>
    </row>
    <row r="110" spans="1:29">
      <c r="O110" s="312"/>
    </row>
    <row r="111" spans="1:29">
      <c r="O111" s="386"/>
      <c r="P111" s="386"/>
    </row>
    <row r="112" spans="1:29">
      <c r="C112" s="858"/>
      <c r="O112" s="386"/>
    </row>
    <row r="113" spans="15:15">
      <c r="O113" s="386"/>
    </row>
    <row r="114" spans="15:15">
      <c r="O114" s="386"/>
    </row>
    <row r="115" spans="15:15">
      <c r="O115" s="312"/>
    </row>
    <row r="116" spans="15:15">
      <c r="O116" s="312"/>
    </row>
    <row r="117" spans="15:15">
      <c r="O117" s="312"/>
    </row>
    <row r="118" spans="15:15">
      <c r="O118" s="312"/>
    </row>
    <row r="119" spans="15:15">
      <c r="O119" s="312"/>
    </row>
    <row r="120" spans="15:15">
      <c r="O120" s="312"/>
    </row>
    <row r="121" spans="15:15">
      <c r="O121" s="312"/>
    </row>
    <row r="122" spans="15:15">
      <c r="O122" s="312"/>
    </row>
    <row r="123" spans="15:15">
      <c r="O123" s="312"/>
    </row>
    <row r="124" spans="15:15">
      <c r="O124" s="312"/>
    </row>
    <row r="125" spans="15:15">
      <c r="O125" s="312"/>
    </row>
    <row r="126" spans="15:15">
      <c r="O126" s="312"/>
    </row>
    <row r="127" spans="15:15">
      <c r="O127" s="312"/>
    </row>
    <row r="128" spans="15:15">
      <c r="O128" s="312"/>
    </row>
    <row r="129" spans="15:15">
      <c r="O129" s="312"/>
    </row>
    <row r="130" spans="15:15">
      <c r="O130" s="312"/>
    </row>
    <row r="131" spans="15:15">
      <c r="O131" s="312"/>
    </row>
    <row r="132" spans="15:15">
      <c r="O132" s="312"/>
    </row>
    <row r="133" spans="15:15">
      <c r="O133" s="312"/>
    </row>
    <row r="134" spans="15:15">
      <c r="O134" s="312"/>
    </row>
    <row r="135" spans="15:15">
      <c r="O135" s="312"/>
    </row>
    <row r="136" spans="15:15">
      <c r="O136" s="312"/>
    </row>
    <row r="137" spans="15:15">
      <c r="O137" s="312"/>
    </row>
    <row r="138" spans="15:15">
      <c r="O138" s="312"/>
    </row>
    <row r="139" spans="15:15">
      <c r="O139" s="312"/>
    </row>
    <row r="140" spans="15:15">
      <c r="O140" s="312"/>
    </row>
    <row r="141" spans="15:15">
      <c r="O141" s="312"/>
    </row>
    <row r="142" spans="15:15">
      <c r="O142" s="312"/>
    </row>
    <row r="143" spans="15:15">
      <c r="O143" s="312"/>
    </row>
    <row r="144" spans="15:15">
      <c r="O144" s="312"/>
    </row>
    <row r="145" spans="15:15">
      <c r="O145" s="312"/>
    </row>
    <row r="146" spans="15:15">
      <c r="O146" s="312"/>
    </row>
    <row r="147" spans="15:15">
      <c r="O147" s="312"/>
    </row>
    <row r="148" spans="15:15">
      <c r="O148" s="312"/>
    </row>
    <row r="149" spans="15:15">
      <c r="O149" s="312"/>
    </row>
    <row r="150" spans="15:15">
      <c r="O150" s="312"/>
    </row>
    <row r="151" spans="15:15">
      <c r="O151" s="312"/>
    </row>
    <row r="152" spans="15:15">
      <c r="O152" s="312"/>
    </row>
    <row r="153" spans="15:15">
      <c r="O153" s="312"/>
    </row>
    <row r="154" spans="15:15">
      <c r="O154" s="312"/>
    </row>
    <row r="155" spans="15:15">
      <c r="O155" s="312"/>
    </row>
    <row r="156" spans="15:15">
      <c r="O156" s="312"/>
    </row>
    <row r="157" spans="15:15">
      <c r="O157" s="312"/>
    </row>
    <row r="158" spans="15:15">
      <c r="O158" s="312"/>
    </row>
    <row r="159" spans="15:15">
      <c r="O159" s="312"/>
    </row>
    <row r="160" spans="15:15">
      <c r="O160" s="312"/>
    </row>
    <row r="161" spans="15:15">
      <c r="O161" s="312"/>
    </row>
    <row r="162" spans="15:15">
      <c r="O162" s="312"/>
    </row>
    <row r="163" spans="15:15">
      <c r="O163" s="312"/>
    </row>
    <row r="164" spans="15:15">
      <c r="O164" s="312"/>
    </row>
    <row r="165" spans="15:15">
      <c r="O165" s="312"/>
    </row>
    <row r="166" spans="15:15">
      <c r="O166" s="312"/>
    </row>
    <row r="167" spans="15:15">
      <c r="O167" s="312"/>
    </row>
    <row r="168" spans="15:15">
      <c r="O168" s="312"/>
    </row>
    <row r="169" spans="15:15">
      <c r="O169" s="312"/>
    </row>
    <row r="170" spans="15:15">
      <c r="O170" s="312"/>
    </row>
    <row r="171" spans="15:15">
      <c r="O171" s="312"/>
    </row>
    <row r="172" spans="15:15">
      <c r="O172" s="312"/>
    </row>
    <row r="173" spans="15:15">
      <c r="O173" s="312"/>
    </row>
    <row r="174" spans="15:15">
      <c r="O174" s="312"/>
    </row>
    <row r="175" spans="15:15">
      <c r="O175" s="312"/>
    </row>
    <row r="176" spans="15:15">
      <c r="O176" s="312"/>
    </row>
    <row r="177" spans="15:15">
      <c r="O177" s="312"/>
    </row>
    <row r="178" spans="15:15">
      <c r="O178" s="312"/>
    </row>
    <row r="179" spans="15:15">
      <c r="O179" s="312"/>
    </row>
    <row r="180" spans="15:15">
      <c r="O180" s="312"/>
    </row>
    <row r="181" spans="15:15">
      <c r="O181" s="312"/>
    </row>
    <row r="182" spans="15:15">
      <c r="O182" s="312"/>
    </row>
    <row r="183" spans="15:15">
      <c r="O183" s="312"/>
    </row>
    <row r="184" spans="15:15">
      <c r="O184" s="312"/>
    </row>
    <row r="185" spans="15:15">
      <c r="O185" s="312"/>
    </row>
    <row r="186" spans="15:15">
      <c r="O186" s="312"/>
    </row>
    <row r="187" spans="15:15">
      <c r="O187" s="312"/>
    </row>
    <row r="188" spans="15:15">
      <c r="O188" s="312"/>
    </row>
    <row r="189" spans="15:15">
      <c r="O189" s="312"/>
    </row>
    <row r="190" spans="15:15">
      <c r="O190" s="312"/>
    </row>
    <row r="191" spans="15:15">
      <c r="O191" s="312"/>
    </row>
    <row r="192" spans="15:15">
      <c r="O192" s="312"/>
    </row>
    <row r="193" spans="15:15">
      <c r="O193" s="312"/>
    </row>
    <row r="194" spans="15:15">
      <c r="O194" s="312"/>
    </row>
    <row r="195" spans="15:15">
      <c r="O195" s="312"/>
    </row>
    <row r="196" spans="15:15">
      <c r="O196" s="312"/>
    </row>
    <row r="197" spans="15:15">
      <c r="O197" s="312"/>
    </row>
    <row r="198" spans="15:15">
      <c r="O198" s="312"/>
    </row>
    <row r="199" spans="15:15">
      <c r="O199" s="312"/>
    </row>
    <row r="200" spans="15:15">
      <c r="O200" s="312"/>
    </row>
    <row r="201" spans="15:15">
      <c r="O201" s="312"/>
    </row>
    <row r="202" spans="15:15">
      <c r="O202" s="312"/>
    </row>
    <row r="203" spans="15:15">
      <c r="O203" s="312"/>
    </row>
    <row r="204" spans="15:15">
      <c r="O204" s="312"/>
    </row>
    <row r="205" spans="15:15">
      <c r="O205" s="312"/>
    </row>
    <row r="206" spans="15:15">
      <c r="O206" s="312"/>
    </row>
    <row r="207" spans="15:15">
      <c r="O207" s="312"/>
    </row>
    <row r="208" spans="15:15">
      <c r="O208" s="312"/>
    </row>
    <row r="209" spans="15:15">
      <c r="O209" s="312"/>
    </row>
    <row r="210" spans="15:15">
      <c r="O210" s="312"/>
    </row>
    <row r="211" spans="15:15">
      <c r="O211" s="312"/>
    </row>
    <row r="212" spans="15:15">
      <c r="O212" s="312"/>
    </row>
    <row r="213" spans="15:15">
      <c r="O213" s="312"/>
    </row>
    <row r="214" spans="15:15">
      <c r="O214" s="312"/>
    </row>
    <row r="215" spans="15:15">
      <c r="O215" s="312"/>
    </row>
    <row r="216" spans="15:15">
      <c r="O216" s="312"/>
    </row>
    <row r="217" spans="15:15">
      <c r="O217" s="312"/>
    </row>
    <row r="218" spans="15:15">
      <c r="O218" s="312"/>
    </row>
    <row r="219" spans="15:15">
      <c r="O219" s="312"/>
    </row>
    <row r="220" spans="15:15">
      <c r="O220" s="312"/>
    </row>
    <row r="221" spans="15:15">
      <c r="O221" s="312"/>
    </row>
    <row r="222" spans="15:15">
      <c r="O222" s="312"/>
    </row>
    <row r="223" spans="15:15">
      <c r="O223" s="312"/>
    </row>
    <row r="224" spans="15:15">
      <c r="O224" s="312"/>
    </row>
    <row r="225" spans="15:15">
      <c r="O225" s="312"/>
    </row>
    <row r="226" spans="15:15">
      <c r="O226" s="312"/>
    </row>
    <row r="227" spans="15:15">
      <c r="O227" s="312"/>
    </row>
    <row r="228" spans="15:15">
      <c r="O228" s="312"/>
    </row>
    <row r="229" spans="15:15">
      <c r="O229" s="312"/>
    </row>
    <row r="230" spans="15:15">
      <c r="O230" s="312"/>
    </row>
    <row r="231" spans="15:15">
      <c r="O231" s="312"/>
    </row>
    <row r="232" spans="15:15">
      <c r="O232" s="312"/>
    </row>
    <row r="233" spans="15:15">
      <c r="O233" s="312"/>
    </row>
    <row r="234" spans="15:15">
      <c r="O234" s="312"/>
    </row>
    <row r="235" spans="15:15">
      <c r="O235" s="312"/>
    </row>
    <row r="236" spans="15:15">
      <c r="O236" s="312"/>
    </row>
    <row r="237" spans="15:15">
      <c r="O237" s="312"/>
    </row>
    <row r="238" spans="15:15">
      <c r="O238" s="312"/>
    </row>
    <row r="239" spans="15:15">
      <c r="O239" s="312"/>
    </row>
    <row r="240" spans="15:15">
      <c r="O240" s="312"/>
    </row>
    <row r="241" spans="15:15">
      <c r="O241" s="312"/>
    </row>
    <row r="242" spans="15:15">
      <c r="O242" s="312"/>
    </row>
    <row r="243" spans="15:15">
      <c r="O243" s="312"/>
    </row>
    <row r="244" spans="15:15">
      <c r="O244" s="312"/>
    </row>
    <row r="245" spans="15:15">
      <c r="O245" s="312"/>
    </row>
    <row r="246" spans="15:15">
      <c r="O246" s="312"/>
    </row>
    <row r="247" spans="15:15">
      <c r="O247" s="312"/>
    </row>
    <row r="248" spans="15:15">
      <c r="O248" s="312"/>
    </row>
    <row r="249" spans="15:15">
      <c r="O249" s="312"/>
    </row>
    <row r="250" spans="15:15">
      <c r="O250" s="312"/>
    </row>
    <row r="251" spans="15:15">
      <c r="O251" s="312"/>
    </row>
    <row r="252" spans="15:15">
      <c r="O252" s="312"/>
    </row>
    <row r="253" spans="15:15">
      <c r="O253" s="312"/>
    </row>
    <row r="254" spans="15:15">
      <c r="O254" s="312"/>
    </row>
    <row r="255" spans="15:15">
      <c r="O255" s="312"/>
    </row>
    <row r="256" spans="15:15">
      <c r="O256" s="312"/>
    </row>
    <row r="257" spans="15:15">
      <c r="O257" s="312"/>
    </row>
    <row r="258" spans="15:15">
      <c r="O258" s="312"/>
    </row>
    <row r="259" spans="15:15">
      <c r="O259" s="312"/>
    </row>
    <row r="260" spans="15:15">
      <c r="O260" s="312"/>
    </row>
    <row r="261" spans="15:15">
      <c r="O261" s="312"/>
    </row>
    <row r="262" spans="15:15">
      <c r="O262" s="312"/>
    </row>
    <row r="263" spans="15:15">
      <c r="O263" s="312"/>
    </row>
    <row r="264" spans="15:15">
      <c r="O264" s="312"/>
    </row>
    <row r="265" spans="15:15">
      <c r="O265" s="312"/>
    </row>
    <row r="266" spans="15:15">
      <c r="O266" s="312"/>
    </row>
    <row r="267" spans="15:15">
      <c r="O267" s="312"/>
    </row>
    <row r="268" spans="15:15">
      <c r="O268" s="312"/>
    </row>
    <row r="269" spans="15:15">
      <c r="O269" s="312"/>
    </row>
    <row r="270" spans="15:15">
      <c r="O270" s="312"/>
    </row>
    <row r="271" spans="15:15">
      <c r="O271" s="312"/>
    </row>
    <row r="272" spans="15:15">
      <c r="O272" s="312"/>
    </row>
    <row r="273" spans="15:15">
      <c r="O273" s="312"/>
    </row>
    <row r="274" spans="15:15">
      <c r="O274" s="312"/>
    </row>
    <row r="275" spans="15:15">
      <c r="O275" s="312"/>
    </row>
    <row r="276" spans="15:15">
      <c r="O276" s="312"/>
    </row>
    <row r="277" spans="15:15">
      <c r="O277" s="312"/>
    </row>
    <row r="278" spans="15:15">
      <c r="O278" s="312"/>
    </row>
    <row r="279" spans="15:15">
      <c r="O279" s="312"/>
    </row>
    <row r="280" spans="15:15">
      <c r="O280" s="312"/>
    </row>
    <row r="281" spans="15:15">
      <c r="O281" s="312"/>
    </row>
    <row r="282" spans="15:15">
      <c r="O282" s="312"/>
    </row>
    <row r="283" spans="15:15">
      <c r="O283" s="312"/>
    </row>
    <row r="284" spans="15:15">
      <c r="O284" s="312"/>
    </row>
    <row r="285" spans="15:15">
      <c r="O285" s="312"/>
    </row>
    <row r="286" spans="15:15">
      <c r="O286" s="312"/>
    </row>
    <row r="287" spans="15:15">
      <c r="O287" s="312"/>
    </row>
    <row r="288" spans="15:15">
      <c r="O288" s="312"/>
    </row>
    <row r="289" spans="15:15">
      <c r="O289" s="312"/>
    </row>
    <row r="290" spans="15:15">
      <c r="O290" s="312"/>
    </row>
  </sheetData>
  <mergeCells count="9">
    <mergeCell ref="A1:T2"/>
    <mergeCell ref="S54:T54"/>
    <mergeCell ref="A52:Q52"/>
    <mergeCell ref="A50:Q50"/>
    <mergeCell ref="A51:Q51"/>
    <mergeCell ref="S5:T5"/>
    <mergeCell ref="N54:O54"/>
    <mergeCell ref="A4:T4"/>
    <mergeCell ref="A3:T3"/>
  </mergeCells>
  <printOptions horizontalCentered="1"/>
  <pageMargins left="0" right="0" top="0.51181102362204722" bottom="0.51181102362204722" header="0" footer="0"/>
  <pageSetup paperSize="9" scale="86" orientation="landscape" verticalDpi="4294967295" r:id="rId1"/>
  <rowBreaks count="1" manualBreakCount="1">
    <brk id="48" max="12" man="1"/>
  </rowBreaks>
  <ignoredErrors>
    <ignoredError sqref="P45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150"/>
  <sheetViews>
    <sheetView workbookViewId="0">
      <pane xSplit="4" ySplit="7" topLeftCell="U8" activePane="bottomRight" state="frozen"/>
      <selection activeCell="P164" sqref="A161:XFD164"/>
      <selection pane="topRight" activeCell="P164" sqref="A161:XFD164"/>
      <selection pane="bottomLeft" activeCell="P164" sqref="A161:XFD164"/>
      <selection pane="bottomRight" activeCell="W20" sqref="W20"/>
    </sheetView>
  </sheetViews>
  <sheetFormatPr defaultColWidth="9.1796875" defaultRowHeight="13"/>
  <cols>
    <col min="1" max="1" width="7.453125" style="312" customWidth="1"/>
    <col min="2" max="3" width="3.7265625" style="312" customWidth="1"/>
    <col min="4" max="4" width="33" style="312" customWidth="1"/>
    <col min="5" max="5" width="17" style="312" customWidth="1"/>
    <col min="6" max="6" width="16" style="312" customWidth="1"/>
    <col min="7" max="8" width="14.54296875" style="312" customWidth="1"/>
    <col min="9" max="9" width="16" style="312" customWidth="1"/>
    <col min="10" max="11" width="14.7265625" style="312" customWidth="1"/>
    <col min="12" max="15" width="16" style="312" customWidth="1"/>
    <col min="16" max="16" width="14.54296875" style="1046" customWidth="1"/>
    <col min="17" max="17" width="15.1796875" style="346" hidden="1" customWidth="1"/>
    <col min="18" max="18" width="8.54296875" style="854" hidden="1" customWidth="1"/>
    <col min="19" max="19" width="35.453125" style="855" bestFit="1" customWidth="1"/>
    <col min="20" max="20" width="15.1796875" style="312" customWidth="1"/>
    <col min="21" max="21" width="14.54296875" style="312" customWidth="1"/>
    <col min="22" max="22" width="14.54296875" style="420" bestFit="1" customWidth="1"/>
    <col min="23" max="23" width="18.54296875" style="344" bestFit="1" customWidth="1"/>
    <col min="24" max="24" width="12.54296875" style="312" bestFit="1" customWidth="1"/>
    <col min="25" max="25" width="11.1796875" style="312" bestFit="1" customWidth="1"/>
    <col min="26" max="26" width="13.54296875" style="312" bestFit="1" customWidth="1"/>
    <col min="27" max="27" width="16" style="312" bestFit="1" customWidth="1"/>
    <col min="28" max="16384" width="9.1796875" style="312"/>
  </cols>
  <sheetData>
    <row r="1" spans="1:23">
      <c r="B1" s="1182" t="s">
        <v>0</v>
      </c>
      <c r="C1" s="1182"/>
      <c r="D1" s="1182"/>
      <c r="E1" s="1182"/>
      <c r="F1" s="1182"/>
      <c r="G1" s="1182"/>
      <c r="H1" s="1182"/>
      <c r="I1" s="1182"/>
      <c r="J1" s="1182"/>
      <c r="K1" s="1182"/>
      <c r="L1" s="1182"/>
      <c r="M1" s="1182"/>
      <c r="N1" s="1182"/>
      <c r="O1" s="1182"/>
      <c r="P1" s="1182"/>
      <c r="Q1" s="1182"/>
      <c r="R1" s="1182"/>
    </row>
    <row r="2" spans="1:23">
      <c r="B2" s="1182" t="s">
        <v>782</v>
      </c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</row>
    <row r="3" spans="1:23" ht="13.5" thickBot="1">
      <c r="B3" s="1184" t="s">
        <v>1405</v>
      </c>
      <c r="C3" s="1184"/>
      <c r="D3" s="1184"/>
      <c r="E3" s="1184"/>
      <c r="F3" s="1184"/>
      <c r="G3" s="1184"/>
      <c r="H3" s="1184"/>
      <c r="I3" s="1184"/>
      <c r="J3" s="1184"/>
      <c r="K3" s="1184"/>
      <c r="L3" s="1184"/>
      <c r="M3" s="1184"/>
      <c r="N3" s="1184"/>
      <c r="O3" s="1184"/>
      <c r="P3" s="1184"/>
      <c r="Q3" s="1184"/>
      <c r="R3" s="1184"/>
    </row>
    <row r="4" spans="1:23" hidden="1">
      <c r="B4" s="310"/>
      <c r="C4" s="310"/>
      <c r="D4" s="310"/>
      <c r="E4" s="310"/>
      <c r="F4" s="310"/>
      <c r="G4" s="310"/>
      <c r="H4" s="310"/>
      <c r="I4" s="310"/>
      <c r="J4" s="310"/>
      <c r="K4" s="310"/>
      <c r="L4" s="310"/>
      <c r="M4" s="999"/>
      <c r="N4" s="1036"/>
      <c r="O4" s="1042"/>
      <c r="P4" s="1044"/>
      <c r="Q4" s="906"/>
    </row>
    <row r="5" spans="1:23">
      <c r="B5" s="310"/>
      <c r="C5" s="310"/>
      <c r="D5" s="310"/>
      <c r="E5" s="310"/>
      <c r="F5" s="310"/>
      <c r="G5" s="310"/>
      <c r="H5" s="310"/>
      <c r="I5" s="310"/>
      <c r="J5" s="310"/>
      <c r="K5" s="310"/>
      <c r="L5" s="310"/>
      <c r="M5" s="999"/>
      <c r="N5" s="1036"/>
      <c r="O5" s="1042"/>
      <c r="P5" s="1044"/>
      <c r="Q5" s="906"/>
    </row>
    <row r="6" spans="1:23">
      <c r="E6" s="860">
        <v>42736</v>
      </c>
      <c r="F6" s="860">
        <v>75638</v>
      </c>
      <c r="G6" s="860">
        <v>42795</v>
      </c>
      <c r="H6" s="860">
        <v>42826</v>
      </c>
      <c r="I6" s="860">
        <v>42856</v>
      </c>
      <c r="J6" s="860">
        <v>75758</v>
      </c>
      <c r="K6" s="860">
        <v>42917</v>
      </c>
      <c r="L6" s="860">
        <v>42948</v>
      </c>
      <c r="M6" s="860">
        <v>42979</v>
      </c>
      <c r="N6" s="860">
        <v>43009</v>
      </c>
      <c r="O6" s="860">
        <v>43040</v>
      </c>
      <c r="P6" s="1045">
        <f>'Dec''17'!O7</f>
        <v>43070</v>
      </c>
      <c r="Q6" s="860">
        <f>'Dec''17'!P7</f>
        <v>42705</v>
      </c>
      <c r="R6" s="909" t="s">
        <v>9</v>
      </c>
      <c r="W6" s="344" t="s">
        <v>1918</v>
      </c>
    </row>
    <row r="7" spans="1:23" hidden="1"/>
    <row r="8" spans="1:23">
      <c r="A8" s="312" t="s">
        <v>959</v>
      </c>
      <c r="B8" s="384" t="s">
        <v>745</v>
      </c>
      <c r="E8" s="937"/>
    </row>
    <row r="9" spans="1:23">
      <c r="C9" s="312" t="s">
        <v>784</v>
      </c>
      <c r="E9" s="897">
        <v>7350000</v>
      </c>
      <c r="F9" s="420">
        <v>7350000</v>
      </c>
      <c r="G9" s="420">
        <v>7350000</v>
      </c>
      <c r="H9" s="420">
        <v>7350000</v>
      </c>
      <c r="I9" s="420">
        <v>9602300</v>
      </c>
      <c r="J9" s="903">
        <v>9602300</v>
      </c>
      <c r="K9" s="420">
        <v>11602300</v>
      </c>
      <c r="L9" s="346">
        <v>11602300</v>
      </c>
      <c r="M9" s="346">
        <v>10850000</v>
      </c>
      <c r="N9" s="346">
        <v>10850000</v>
      </c>
      <c r="O9" s="346">
        <v>10850000</v>
      </c>
      <c r="P9" s="1046">
        <f>SUMIF('Trial Balance'!$A:$A,'Detail WBS''1217'!S9,'Trial Balance'!$H:$H)+SUMIF('Trial Balance'!$A:$A,'Detail WBS''1217'!T9,'Trial Balance'!$H:$H)+SUMIF('Trial Balance'!$A:$A,'Detail WBS''1217'!U9,'Trial Balance'!$H:$H)+SUMIF('Trial Balance'!$A:$A,'Detail WBS''1217'!V9,'Trial Balance'!$H:$H)</f>
        <v>0</v>
      </c>
      <c r="Q9" s="346">
        <f>'2016'!J8</f>
        <v>11109400</v>
      </c>
      <c r="R9" s="938">
        <f>(P9-Q9)/Q9</f>
        <v>-1</v>
      </c>
      <c r="S9" t="s">
        <v>1455</v>
      </c>
      <c r="T9" t="s">
        <v>1457</v>
      </c>
      <c r="U9" t="s">
        <v>1453</v>
      </c>
      <c r="W9" s="344">
        <v>12850000</v>
      </c>
    </row>
    <row r="10" spans="1:23">
      <c r="C10" s="312" t="s">
        <v>118</v>
      </c>
      <c r="E10" s="897"/>
      <c r="F10" s="420"/>
      <c r="G10" s="420"/>
      <c r="H10" s="420"/>
      <c r="I10" s="420"/>
      <c r="J10" s="903"/>
      <c r="K10" s="420"/>
      <c r="L10" s="346"/>
      <c r="M10" s="346"/>
      <c r="N10" s="346"/>
      <c r="O10" s="346"/>
      <c r="R10" s="938"/>
    </row>
    <row r="11" spans="1:23">
      <c r="C11" s="393"/>
      <c r="D11" s="312" t="s">
        <v>783</v>
      </c>
      <c r="E11" s="897"/>
      <c r="F11" s="420"/>
      <c r="G11" s="420"/>
      <c r="H11" s="420"/>
      <c r="I11" s="420"/>
      <c r="J11" s="903"/>
      <c r="K11" s="420"/>
      <c r="M11" s="346"/>
      <c r="N11" s="346"/>
      <c r="O11" s="346"/>
      <c r="R11" s="938"/>
    </row>
    <row r="12" spans="1:23">
      <c r="C12" s="393"/>
      <c r="D12" s="309" t="s">
        <v>602</v>
      </c>
      <c r="E12" s="903">
        <v>461445559.41000003</v>
      </c>
      <c r="F12" s="420">
        <v>162227411.41</v>
      </c>
      <c r="G12" s="420">
        <v>326916778.39999998</v>
      </c>
      <c r="H12" s="420">
        <v>629690223.57999992</v>
      </c>
      <c r="I12" s="420">
        <v>169686739.91999984</v>
      </c>
      <c r="J12" s="903">
        <f>ROUND(153098840.01,0)</f>
        <v>153098840</v>
      </c>
      <c r="K12" s="420">
        <v>462368592.07999992</v>
      </c>
      <c r="L12" s="346">
        <v>435343163.25999999</v>
      </c>
      <c r="M12" s="346">
        <v>207198911.95000005</v>
      </c>
      <c r="N12" s="346">
        <v>262895654.18000001</v>
      </c>
      <c r="O12" s="346">
        <v>299730959.44000006</v>
      </c>
      <c r="P12" s="1046">
        <f>SUMIF('Trial Balance'!$A:$A,'Detail WBS''1217'!S12,'Trial Balance'!$H:$H)+SUMIF('Trial Balance'!$A:$A,'Detail WBS''1217'!T12,'Trial Balance'!$H:$H)+SUMIF('Trial Balance'!$A:$A,'Detail WBS''1217'!U12,'Trial Balance'!$H:$H)+SUMIF('Trial Balance'!$A:$A,'Detail WBS''1217'!V12,'Trial Balance'!$H:$H)</f>
        <v>0</v>
      </c>
      <c r="Q12" s="347">
        <f>'2016'!J11</f>
        <v>251759152.41</v>
      </c>
      <c r="R12" s="938">
        <f>(P12-Q12)/Q12</f>
        <v>-1</v>
      </c>
      <c r="S12" t="s">
        <v>1435</v>
      </c>
      <c r="W12" s="344">
        <v>380197515.30000007</v>
      </c>
    </row>
    <row r="13" spans="1:23">
      <c r="C13" s="393"/>
      <c r="D13" s="309" t="s">
        <v>605</v>
      </c>
      <c r="E13" s="903">
        <v>60195817.859999999</v>
      </c>
      <c r="F13" s="420">
        <v>20584204.859999999</v>
      </c>
      <c r="G13" s="420">
        <v>16058255.07</v>
      </c>
      <c r="H13" s="420">
        <v>43870182.070000052</v>
      </c>
      <c r="I13" s="420">
        <v>3284319.0700000525</v>
      </c>
      <c r="J13" s="903">
        <v>19565518.070000052</v>
      </c>
      <c r="K13" s="420">
        <v>3378006.0700000525</v>
      </c>
      <c r="L13" s="346">
        <v>44871128.070000052</v>
      </c>
      <c r="M13" s="346">
        <v>141022363.07000005</v>
      </c>
      <c r="N13" s="346">
        <v>40173707.069999933</v>
      </c>
      <c r="O13" s="346">
        <v>46529777.069999933</v>
      </c>
      <c r="P13" s="1046">
        <f>SUMIF('Trial Balance'!$A:$A,'Detail WBS''1217'!S13,'Trial Balance'!$H:$H)+SUMIF('Trial Balance'!$A:$A,'Detail WBS''1217'!T13,'Trial Balance'!$H:$H)+SUMIF('Trial Balance'!$A:$A,'Detail WBS''1217'!U13,'Trial Balance'!$H:$H)+SUMIF('Trial Balance'!$A:$A,'Detail WBS''1217'!V13,'Trial Balance'!$H:$H)</f>
        <v>0</v>
      </c>
      <c r="Q13" s="347">
        <f>'2016'!J12</f>
        <v>34538002.859999999</v>
      </c>
      <c r="R13" s="938">
        <f>(P13-Q13)/Q13</f>
        <v>-1</v>
      </c>
      <c r="S13" t="s">
        <v>1437</v>
      </c>
      <c r="W13" s="344">
        <v>145571649.06999993</v>
      </c>
    </row>
    <row r="14" spans="1:23">
      <c r="C14" s="393"/>
      <c r="D14" s="309" t="s">
        <v>607</v>
      </c>
      <c r="E14" s="903">
        <v>50244615.960000001</v>
      </c>
      <c r="F14" s="420">
        <v>35419607.960000001</v>
      </c>
      <c r="G14" s="420">
        <v>73653398.569999993</v>
      </c>
      <c r="H14" s="420">
        <v>8334799.4700000286</v>
      </c>
      <c r="I14" s="420">
        <v>40760344.920000076</v>
      </c>
      <c r="J14" s="903">
        <v>21743528.160000086</v>
      </c>
      <c r="K14" s="420">
        <v>28955027.750000119</v>
      </c>
      <c r="L14" s="346">
        <v>19610010.010000229</v>
      </c>
      <c r="M14" s="346">
        <v>36608417.700000286</v>
      </c>
      <c r="N14" s="346">
        <v>249546867.27999997</v>
      </c>
      <c r="O14" s="346">
        <v>35660235.639999866</v>
      </c>
      <c r="P14" s="1046">
        <f>SUMIF('Trial Balance'!$A:$A,'Detail WBS''1217'!S14,'Trial Balance'!$H:$H)+SUMIF('Trial Balance'!$A:$A,'Detail WBS''1217'!T14,'Trial Balance'!$H:$H)+SUMIF('Trial Balance'!$A:$A,'Detail WBS''1217'!U14,'Trial Balance'!$H:$H)+SUMIF('Trial Balance'!$A:$A,'Detail WBS''1217'!V14,'Trial Balance'!$H:$H)</f>
        <v>0</v>
      </c>
      <c r="Q14" s="347">
        <f>'2016'!J13</f>
        <v>29887563.960000001</v>
      </c>
      <c r="R14" s="938">
        <f>(P14-Q14)/Q14</f>
        <v>-1</v>
      </c>
      <c r="S14" t="s">
        <v>1439</v>
      </c>
      <c r="W14" s="344">
        <v>21566729.199999809</v>
      </c>
    </row>
    <row r="15" spans="1:23">
      <c r="C15" s="393"/>
      <c r="D15" s="309" t="s">
        <v>609</v>
      </c>
      <c r="E15" s="903">
        <v>12607136.060000001</v>
      </c>
      <c r="F15" s="420">
        <v>16678147.060000001</v>
      </c>
      <c r="G15" s="420">
        <v>22925042.879999999</v>
      </c>
      <c r="H15" s="420">
        <v>15788801.399999976</v>
      </c>
      <c r="I15" s="420">
        <v>32047485.110000014</v>
      </c>
      <c r="J15" s="903">
        <f>ROUND(28165852.77,0)</f>
        <v>28165853</v>
      </c>
      <c r="K15" s="420">
        <v>12752172.609999955</v>
      </c>
      <c r="L15" s="346">
        <v>15432559.429999948</v>
      </c>
      <c r="M15" s="346">
        <v>12887713.169999838</v>
      </c>
      <c r="N15" s="346">
        <v>8136699.1699999571</v>
      </c>
      <c r="O15" s="346">
        <v>6731794.1700000763</v>
      </c>
      <c r="P15" s="1046">
        <f>SUMIF('Trial Balance'!$A:$A,'Detail WBS''1217'!S15,'Trial Balance'!$H:$H)+SUMIF('Trial Balance'!$A:$A,'Detail WBS''1217'!T15,'Trial Balance'!$H:$H)+SUMIF('Trial Balance'!$A:$A,'Detail WBS''1217'!U15,'Trial Balance'!$H:$H)+SUMIF('Trial Balance'!$A:$A,'Detail WBS''1217'!V15,'Trial Balance'!$H:$H)</f>
        <v>0</v>
      </c>
      <c r="Q15" s="347">
        <f>'2016'!J14</f>
        <v>9577649.0600000005</v>
      </c>
      <c r="R15" s="938">
        <f>(P15-Q15)/Q15</f>
        <v>-1</v>
      </c>
      <c r="S15" t="s">
        <v>1441</v>
      </c>
      <c r="W15" s="344">
        <v>6539918.6100000739</v>
      </c>
    </row>
    <row r="16" spans="1:23">
      <c r="C16" s="393"/>
      <c r="D16" s="309" t="s">
        <v>611</v>
      </c>
      <c r="E16" s="903">
        <v>2883731699.8400002</v>
      </c>
      <c r="F16" s="420">
        <v>284989489.83999997</v>
      </c>
      <c r="G16" s="420">
        <v>18360095.59</v>
      </c>
      <c r="H16" s="420">
        <v>691847353.95000029</v>
      </c>
      <c r="I16" s="420">
        <v>254477058.95000029</v>
      </c>
      <c r="J16" s="903">
        <v>258019174.71999979</v>
      </c>
      <c r="K16" s="440">
        <v>419975844.61999989</v>
      </c>
      <c r="L16" s="347">
        <v>412294397.2699995</v>
      </c>
      <c r="M16" s="347">
        <v>48284107.729999542</v>
      </c>
      <c r="N16" s="347">
        <v>1724911321.4499998</v>
      </c>
      <c r="O16" s="347">
        <v>472606672.46999979</v>
      </c>
      <c r="P16" s="1046">
        <f>SUMIF('Trial Balance'!$A:$A,'Detail WBS''1217'!S16,'Trial Balance'!$H:$H)+SUMIF('Trial Balance'!$A:$A,'Detail WBS''1217'!T16,'Trial Balance'!$H:$H)+SUMIF('Trial Balance'!$A:$A,'Detail WBS''1217'!U16,'Trial Balance'!$H:$H)+SUMIF('Trial Balance'!$A:$A,'Detail WBS''1217'!V16,'Trial Balance'!$H:$H)</f>
        <v>0</v>
      </c>
      <c r="Q16" s="347">
        <f>'2016'!J15</f>
        <v>1255925080.8399999</v>
      </c>
      <c r="R16" s="938">
        <f>(P16-Q16)/Q16</f>
        <v>-1</v>
      </c>
      <c r="S16" t="s">
        <v>1443</v>
      </c>
      <c r="W16" s="344">
        <v>1019904872.8399998</v>
      </c>
    </row>
    <row r="17" spans="1:23">
      <c r="C17" s="393"/>
      <c r="D17" s="309" t="s">
        <v>1375</v>
      </c>
      <c r="E17" s="941"/>
      <c r="F17" s="440"/>
      <c r="G17" s="440"/>
      <c r="H17" s="440"/>
      <c r="I17" s="440"/>
      <c r="J17" s="941"/>
      <c r="K17" s="440">
        <v>30359.090000033379</v>
      </c>
      <c r="L17" s="347">
        <v>21368548.090000033</v>
      </c>
      <c r="M17" s="347">
        <v>34447298.139999986</v>
      </c>
      <c r="N17" s="347">
        <v>5289150.1399999857</v>
      </c>
      <c r="O17" s="347">
        <v>6511080.1399998665</v>
      </c>
      <c r="P17" s="1046">
        <f>SUMIF('Trial Balance'!$A:$A,'Detail WBS''1217'!S17,'Trial Balance'!$H:$H)+SUMIF('Trial Balance'!$A:$A,'Detail WBS''1217'!T17,'Trial Balance'!$H:$H)+SUMIF('Trial Balance'!$A:$A,'Detail WBS''1217'!U17,'Trial Balance'!$H:$H)+SUMIF('Trial Balance'!$A:$A,'Detail WBS''1217'!V17,'Trial Balance'!$H:$H)</f>
        <v>0</v>
      </c>
      <c r="Q17" s="347"/>
      <c r="R17" s="955">
        <v>1</v>
      </c>
      <c r="S17" t="s">
        <v>1445</v>
      </c>
      <c r="W17" s="344">
        <v>2907693.319999814</v>
      </c>
    </row>
    <row r="18" spans="1:23">
      <c r="C18" s="393"/>
      <c r="D18" s="309" t="s">
        <v>1426</v>
      </c>
      <c r="E18" s="941"/>
      <c r="F18" s="440"/>
      <c r="G18" s="440"/>
      <c r="H18" s="440"/>
      <c r="I18" s="440"/>
      <c r="J18" s="941"/>
      <c r="K18" s="440"/>
      <c r="L18" s="347"/>
      <c r="M18" s="347"/>
      <c r="N18" s="926"/>
      <c r="O18" s="347"/>
      <c r="P18" s="1046">
        <f>SUMIF('Trial Balance'!$A:$A,'Detail WBS''1217'!S18,'Trial Balance'!$H:$H)+SUMIF('Trial Balance'!$A:$A,'Detail WBS''1217'!T18,'Trial Balance'!$H:$H)+SUMIF('Trial Balance'!$A:$A,'Detail WBS''1217'!U18,'Trial Balance'!$H:$H)+SUMIF('Trial Balance'!$A:$A,'Detail WBS''1217'!V18,'Trial Balance'!$H:$H)</f>
        <v>0</v>
      </c>
      <c r="Q18" s="347"/>
      <c r="R18" s="955"/>
      <c r="S18" t="s">
        <v>1447</v>
      </c>
      <c r="W18" s="344">
        <v>5000000</v>
      </c>
    </row>
    <row r="19" spans="1:23">
      <c r="C19" s="393"/>
      <c r="D19" s="309" t="s">
        <v>1427</v>
      </c>
      <c r="E19" s="904"/>
      <c r="F19" s="442"/>
      <c r="G19" s="442"/>
      <c r="H19" s="442"/>
      <c r="I19" s="442"/>
      <c r="J19" s="904"/>
      <c r="K19" s="442"/>
      <c r="L19" s="358"/>
      <c r="M19" s="358"/>
      <c r="N19" s="1096"/>
      <c r="O19" s="358"/>
      <c r="P19" s="1048">
        <f>SUMIF('Trial Balance'!$A:$A,'Detail WBS''1217'!S19,'Trial Balance'!$H:$H)+SUMIF('Trial Balance'!$A:$A,'Detail WBS''1217'!T19,'Trial Balance'!$H:$H)+SUMIF('Trial Balance'!$A:$A,'Detail WBS''1217'!U19,'Trial Balance'!$H:$H)+SUMIF('Trial Balance'!$A:$A,'Detail WBS''1217'!V19,'Trial Balance'!$H:$H)</f>
        <v>0</v>
      </c>
      <c r="Q19" s="358"/>
      <c r="R19" s="939"/>
      <c r="S19" t="s">
        <v>1901</v>
      </c>
      <c r="W19" s="344">
        <v>2000000</v>
      </c>
    </row>
    <row r="20" spans="1:23">
      <c r="C20" s="393"/>
      <c r="D20" s="342" t="s">
        <v>937</v>
      </c>
      <c r="E20" s="903">
        <f>SUM(E12:E19)</f>
        <v>3468224829.1300001</v>
      </c>
      <c r="F20" s="420">
        <f t="shared" ref="F20:Q20" si="0">SUM(F12:F19)</f>
        <v>519898861.13</v>
      </c>
      <c r="G20" s="420">
        <f t="shared" si="0"/>
        <v>457913570.50999993</v>
      </c>
      <c r="H20" s="420">
        <f t="shared" si="0"/>
        <v>1389531360.4700003</v>
      </c>
      <c r="I20" s="420">
        <f t="shared" si="0"/>
        <v>500255947.97000027</v>
      </c>
      <c r="J20" s="903">
        <f t="shared" si="0"/>
        <v>480592913.94999993</v>
      </c>
      <c r="K20" s="420">
        <f t="shared" si="0"/>
        <v>927460002.21999991</v>
      </c>
      <c r="L20" s="346">
        <f t="shared" si="0"/>
        <v>948919806.12999976</v>
      </c>
      <c r="M20" s="346">
        <f t="shared" si="0"/>
        <v>480448811.75999975</v>
      </c>
      <c r="N20" s="346">
        <f t="shared" si="0"/>
        <v>2290953399.2899995</v>
      </c>
      <c r="O20" s="346">
        <f t="shared" si="0"/>
        <v>867770518.92999959</v>
      </c>
      <c r="P20" s="1046">
        <f t="shared" si="0"/>
        <v>0</v>
      </c>
      <c r="Q20" s="346">
        <f t="shared" si="0"/>
        <v>1581687449.1299999</v>
      </c>
      <c r="R20" s="938">
        <f>(P20-Q20)/Q20</f>
        <v>-1</v>
      </c>
      <c r="W20" s="344">
        <v>1583688378.3399992</v>
      </c>
    </row>
    <row r="21" spans="1:23">
      <c r="D21" s="312" t="s">
        <v>785</v>
      </c>
      <c r="E21" s="903"/>
      <c r="F21" s="420"/>
      <c r="G21" s="420"/>
      <c r="H21" s="420"/>
      <c r="I21" s="420"/>
      <c r="J21" s="903"/>
      <c r="K21" s="420"/>
      <c r="Q21" s="345"/>
      <c r="R21" s="938"/>
    </row>
    <row r="22" spans="1:23">
      <c r="D22" s="309" t="s">
        <v>617</v>
      </c>
      <c r="E22" s="903">
        <v>97610316</v>
      </c>
      <c r="F22" s="420">
        <v>178690036</v>
      </c>
      <c r="G22" s="420">
        <v>249854788.19999999</v>
      </c>
      <c r="H22" s="420">
        <v>327495432.40999997</v>
      </c>
      <c r="I22" s="420">
        <v>398391146.64999998</v>
      </c>
      <c r="J22" s="903">
        <v>474768008.47999996</v>
      </c>
      <c r="K22" s="420">
        <v>501987591.20999998</v>
      </c>
      <c r="L22" s="346">
        <v>532328134.77999997</v>
      </c>
      <c r="M22" s="346">
        <v>549497993.77999997</v>
      </c>
      <c r="N22" s="346">
        <v>561229072.77999997</v>
      </c>
      <c r="O22" s="346">
        <v>25694329.919999957</v>
      </c>
      <c r="P22" s="1046">
        <f>SUMIF('Trial Balance'!$A:$A,'Detail WBS''1217'!S22,'Trial Balance'!$H:$H)+SUMIF('Trial Balance'!$A:$A,'Detail WBS''1217'!T22,'Trial Balance'!$H:$H)+SUMIF('Trial Balance'!$A:$A,'Detail WBS''1217'!U22,'Trial Balance'!$H:$H)+SUMIF('Trial Balance'!$A:$A,'Detail WBS''1217'!V22,'Trial Balance'!$H:$H)</f>
        <v>0</v>
      </c>
      <c r="Q22" s="346">
        <f>'2016'!J18</f>
        <v>22149649</v>
      </c>
      <c r="R22" s="938">
        <f>(P22-Q22)/Q22</f>
        <v>-1</v>
      </c>
      <c r="S22" t="s">
        <v>1449</v>
      </c>
      <c r="W22" s="344">
        <v>33147756.119999956</v>
      </c>
    </row>
    <row r="23" spans="1:23">
      <c r="D23" s="309" t="s">
        <v>619</v>
      </c>
      <c r="E23" s="903">
        <v>220830385.80000001</v>
      </c>
      <c r="F23" s="420">
        <v>222887558.80000001</v>
      </c>
      <c r="G23" s="420">
        <v>158431848.28999999</v>
      </c>
      <c r="H23" s="420">
        <v>171974273.39999998</v>
      </c>
      <c r="I23" s="420">
        <v>107742113.05999997</v>
      </c>
      <c r="J23" s="903">
        <v>109431967.37</v>
      </c>
      <c r="K23" s="442">
        <v>111118216.27000001</v>
      </c>
      <c r="L23" s="358">
        <v>47091914.220000014</v>
      </c>
      <c r="M23" s="358">
        <v>49297205.220000014</v>
      </c>
      <c r="N23" s="358">
        <v>51252758.219999999</v>
      </c>
      <c r="O23" s="358">
        <v>526692067.72000003</v>
      </c>
      <c r="P23" s="1048">
        <f>SUMIF('Trial Balance'!$A:$A,'Detail WBS''1217'!S23,'Trial Balance'!$H:$H)+SUMIF('Trial Balance'!$A:$A,'Detail WBS''1217'!T23,'Trial Balance'!$H:$H)+SUMIF('Trial Balance'!$A:$A,'Detail WBS''1217'!U23,'Trial Balance'!$H:$H)+SUMIF('Trial Balance'!$A:$A,'Detail WBS''1217'!V23,'Trial Balance'!$H:$H)</f>
        <v>0</v>
      </c>
      <c r="Q23" s="358">
        <f>'2016'!J19</f>
        <v>234873103.80000001</v>
      </c>
      <c r="R23" s="939">
        <f>(P23-Q23)/Q23</f>
        <v>-1</v>
      </c>
      <c r="S23" t="s">
        <v>1451</v>
      </c>
      <c r="W23" s="344">
        <v>529716774.48000002</v>
      </c>
    </row>
    <row r="24" spans="1:23">
      <c r="D24" s="343" t="s">
        <v>938</v>
      </c>
      <c r="E24" s="923">
        <f t="shared" ref="E24:N24" si="1">E22+E23</f>
        <v>318440701.80000001</v>
      </c>
      <c r="F24" s="923">
        <f t="shared" si="1"/>
        <v>401577594.80000001</v>
      </c>
      <c r="G24" s="923">
        <f t="shared" si="1"/>
        <v>408286636.49000001</v>
      </c>
      <c r="H24" s="923">
        <f t="shared" si="1"/>
        <v>499469705.80999994</v>
      </c>
      <c r="I24" s="923">
        <f t="shared" si="1"/>
        <v>506133259.70999992</v>
      </c>
      <c r="J24" s="940">
        <f t="shared" si="1"/>
        <v>584199975.8499999</v>
      </c>
      <c r="K24" s="420">
        <f t="shared" si="1"/>
        <v>613105807.48000002</v>
      </c>
      <c r="L24" s="346">
        <f t="shared" si="1"/>
        <v>579420049</v>
      </c>
      <c r="M24" s="346">
        <f t="shared" si="1"/>
        <v>598795199</v>
      </c>
      <c r="N24" s="346">
        <f t="shared" si="1"/>
        <v>612481831</v>
      </c>
      <c r="O24" s="346">
        <v>552386397.63999999</v>
      </c>
      <c r="P24" s="1046">
        <f>P22+P23</f>
        <v>0</v>
      </c>
      <c r="Q24" s="346">
        <f>Q22+Q23</f>
        <v>257022752.80000001</v>
      </c>
      <c r="R24" s="938">
        <f>(P24-Q24)/Q24</f>
        <v>-1</v>
      </c>
      <c r="W24" s="344">
        <v>562864530.60000002</v>
      </c>
    </row>
    <row r="25" spans="1:23">
      <c r="C25" s="312" t="s">
        <v>122</v>
      </c>
      <c r="E25" s="440"/>
      <c r="F25" s="440"/>
      <c r="G25" s="440"/>
      <c r="H25" s="440"/>
      <c r="I25" s="440"/>
      <c r="J25" s="941"/>
      <c r="K25" s="420"/>
      <c r="Q25" s="345"/>
      <c r="R25" s="938"/>
    </row>
    <row r="26" spans="1:23">
      <c r="D26" s="309" t="s">
        <v>786</v>
      </c>
      <c r="E26" s="440">
        <v>1668375000</v>
      </c>
      <c r="F26" s="440">
        <v>1668375000</v>
      </c>
      <c r="G26" s="440">
        <v>1665125000</v>
      </c>
      <c r="H26" s="440">
        <v>1665875000</v>
      </c>
      <c r="I26" s="440">
        <v>1665125000</v>
      </c>
      <c r="J26" s="941">
        <v>1664875000</v>
      </c>
      <c r="K26" s="420">
        <v>1664875000</v>
      </c>
      <c r="L26" s="346">
        <v>1668875000</v>
      </c>
      <c r="M26" s="346">
        <v>2686500000</v>
      </c>
      <c r="N26" s="346">
        <v>2696500000</v>
      </c>
      <c r="O26" s="346">
        <v>2689625000</v>
      </c>
      <c r="P26" s="1046">
        <f>SUMIF('Trial Balance'!$A:$A,'Detail WBS''1217'!S26,'Trial Balance'!$H:$H)+SUMIF('Trial Balance'!$A:$A,'Detail WBS''1217'!T26,'Trial Balance'!$H:$H)+SUMIF('Trial Balance'!$A:$A,'Detail WBS''1217'!U26,'Trial Balance'!$H:$H)+SUMIF('Trial Balance'!$A:$A,'Detail WBS''1217'!V26,'Trial Balance'!$H:$H)</f>
        <v>0</v>
      </c>
      <c r="Q26" s="346">
        <f>'2016'!J22</f>
        <v>1679500000</v>
      </c>
      <c r="R26" s="938">
        <f>(P26-Q26)/Q26</f>
        <v>-1</v>
      </c>
      <c r="S26" t="s">
        <v>1465</v>
      </c>
      <c r="W26" s="344">
        <v>1693500000</v>
      </c>
    </row>
    <row r="27" spans="1:23">
      <c r="D27" s="309" t="s">
        <v>786</v>
      </c>
      <c r="E27" s="442">
        <v>1000000000</v>
      </c>
      <c r="F27" s="442">
        <v>1000000000</v>
      </c>
      <c r="G27" s="442">
        <v>1000000000</v>
      </c>
      <c r="H27" s="442">
        <v>1000000000</v>
      </c>
      <c r="I27" s="442">
        <v>1000000000</v>
      </c>
      <c r="J27" s="904">
        <v>1000000000</v>
      </c>
      <c r="K27" s="442">
        <v>1000000000</v>
      </c>
      <c r="L27" s="358">
        <v>1000000000</v>
      </c>
      <c r="M27" s="358">
        <v>0</v>
      </c>
      <c r="N27" s="358">
        <v>0</v>
      </c>
      <c r="O27" s="358">
        <v>0</v>
      </c>
      <c r="P27" s="1048">
        <f>SUMIF('Trial Balance'!$A:$A,'Detail WBS''1217'!S27,'Trial Balance'!$H:$H)+SUMIF('Trial Balance'!$A:$A,'Detail WBS''1217'!T27,'Trial Balance'!$H:$H)+SUMIF('Trial Balance'!$A:$A,'Detail WBS''1217'!U27,'Trial Balance'!$H:$H)+SUMIF('Trial Balance'!$A:$A,'Detail WBS''1217'!V27,'Trial Balance'!$H:$H)</f>
        <v>0</v>
      </c>
      <c r="Q27" s="358">
        <f>'2016'!J23</f>
        <v>1000000000</v>
      </c>
      <c r="R27" s="939">
        <f>(P27-Q27)/Q27</f>
        <v>-1</v>
      </c>
      <c r="S27" t="s">
        <v>1467</v>
      </c>
      <c r="W27" s="344">
        <v>1000000000</v>
      </c>
    </row>
    <row r="28" spans="1:23">
      <c r="B28" s="942"/>
      <c r="D28" s="341" t="s">
        <v>939</v>
      </c>
      <c r="E28" s="420">
        <f t="shared" ref="E28:K28" si="2">E9+E20+E24+E26+E27</f>
        <v>6462390530.9300003</v>
      </c>
      <c r="F28" s="420">
        <f t="shared" si="2"/>
        <v>3597201455.9300003</v>
      </c>
      <c r="G28" s="420">
        <f t="shared" si="2"/>
        <v>3538675207</v>
      </c>
      <c r="H28" s="420">
        <f t="shared" si="2"/>
        <v>4562226066.2800007</v>
      </c>
      <c r="I28" s="420">
        <f t="shared" si="2"/>
        <v>3681116507.6800003</v>
      </c>
      <c r="J28" s="903">
        <f t="shared" si="2"/>
        <v>3739270189.7999997</v>
      </c>
      <c r="K28" s="420">
        <f t="shared" si="2"/>
        <v>4217043109.6999998</v>
      </c>
      <c r="L28" s="346">
        <f>L9+L20+L24+L26+L27</f>
        <v>4208817155.1299996</v>
      </c>
      <c r="M28" s="346">
        <f>M9+M20+M24+M26+M27</f>
        <v>3776594010.7599998</v>
      </c>
      <c r="N28" s="346">
        <f>N9+N20+N24+N26+N27</f>
        <v>5610785230.289999</v>
      </c>
      <c r="O28" s="346">
        <v>4120631916.5699997</v>
      </c>
      <c r="P28" s="1046">
        <f>P9+P20+P24+P26+P27</f>
        <v>0</v>
      </c>
      <c r="Q28" s="346">
        <f>Q9+Q20+Q24+Q26+Q27</f>
        <v>4529319601.9300003</v>
      </c>
      <c r="R28" s="938">
        <f>(P28-Q28)/Q28</f>
        <v>-1</v>
      </c>
      <c r="W28" s="344">
        <v>4852902908.9399986</v>
      </c>
    </row>
    <row r="29" spans="1:23">
      <c r="A29" s="312" t="s">
        <v>960</v>
      </c>
      <c r="B29" s="312" t="s">
        <v>746</v>
      </c>
      <c r="E29" s="420"/>
      <c r="F29" s="420"/>
      <c r="G29" s="420"/>
      <c r="H29" s="420"/>
      <c r="I29" s="420"/>
      <c r="J29" s="420"/>
      <c r="K29" s="420"/>
      <c r="R29" s="938"/>
    </row>
    <row r="30" spans="1:23">
      <c r="B30" s="890" t="s">
        <v>747</v>
      </c>
      <c r="E30" s="420"/>
      <c r="F30" s="420"/>
      <c r="G30" s="420"/>
      <c r="H30" s="420"/>
      <c r="I30" s="420"/>
      <c r="J30" s="420"/>
      <c r="K30" s="420"/>
      <c r="R30" s="938"/>
    </row>
    <row r="31" spans="1:23">
      <c r="B31" s="890"/>
      <c r="D31" s="312" t="s">
        <v>783</v>
      </c>
      <c r="E31" s="903">
        <f>ROUND(2434237431.09,0)</f>
        <v>2434237431</v>
      </c>
      <c r="F31" s="420">
        <v>2418897051.0200005</v>
      </c>
      <c r="G31" s="420">
        <f>ROUND(2578237485.41,0)</f>
        <v>2578237485</v>
      </c>
      <c r="H31" s="420">
        <v>2314712880.5400004</v>
      </c>
      <c r="I31" s="903">
        <v>2421138738.5</v>
      </c>
      <c r="J31" s="420">
        <v>2178291414.3199997</v>
      </c>
      <c r="K31" s="420">
        <v>2301912924.9099998</v>
      </c>
      <c r="L31" s="346">
        <v>2108458628.73</v>
      </c>
      <c r="M31" s="346">
        <v>2202301359.4400001</v>
      </c>
      <c r="N31" s="346">
        <v>2142484781.3999999</v>
      </c>
      <c r="O31" s="346">
        <v>2080682290.8200002</v>
      </c>
      <c r="P31" s="1046">
        <f>SUMIFS('Trial Balance'!$H:$H,'Trial Balance'!$A:$A,'Detail WBS''1217'!S32,'Trial Balance'!$C:$C,'Detail WBS''1217'!T32)</f>
        <v>0</v>
      </c>
      <c r="Q31" s="346">
        <f>'2016'!J27</f>
        <v>2268288352.0900002</v>
      </c>
      <c r="R31" s="938">
        <f>(P31-Q31)/Q31</f>
        <v>-1</v>
      </c>
      <c r="S31" t="s">
        <v>1471</v>
      </c>
      <c r="W31" s="344">
        <v>2301648293.3299994</v>
      </c>
    </row>
    <row r="32" spans="1:23">
      <c r="B32" s="890"/>
      <c r="D32" s="312" t="s">
        <v>1399</v>
      </c>
      <c r="E32" s="442"/>
      <c r="F32" s="442"/>
      <c r="G32" s="442"/>
      <c r="H32" s="442"/>
      <c r="I32" s="904">
        <v>76413511.5</v>
      </c>
      <c r="J32" s="442">
        <v>32845160.86999999</v>
      </c>
      <c r="K32" s="442">
        <v>29079153.850000001</v>
      </c>
      <c r="L32" s="358">
        <v>11238341.109999988</v>
      </c>
      <c r="M32" s="358">
        <v>8439924.7199999876</v>
      </c>
      <c r="N32" s="358">
        <v>8032010.7300000004</v>
      </c>
      <c r="O32" s="358">
        <v>7453462.5600000005</v>
      </c>
      <c r="P32" s="1048">
        <f>SUMIFS('Trial Balance'!$H:$H,'Trial Balance'!$A:$A,'Detail WBS''1217'!S33,'Trial Balance'!$C:$C,'Detail WBS''1217'!T33)</f>
        <v>0</v>
      </c>
      <c r="Q32" s="358">
        <f>'2016'!J28</f>
        <v>76214233</v>
      </c>
      <c r="R32" s="939">
        <f>(P32-Q32)/Q32</f>
        <v>-1</v>
      </c>
      <c r="S32" s="1128" t="s">
        <v>1471</v>
      </c>
      <c r="T32" s="312" t="s">
        <v>1919</v>
      </c>
      <c r="W32" s="344">
        <v>15678628.380000001</v>
      </c>
    </row>
    <row r="33" spans="1:23">
      <c r="B33" s="890"/>
      <c r="D33" s="943" t="s">
        <v>958</v>
      </c>
      <c r="E33" s="420">
        <f t="shared" ref="E33:N33" si="3">E31+E32</f>
        <v>2434237431</v>
      </c>
      <c r="F33" s="420">
        <f t="shared" si="3"/>
        <v>2418897051.0200005</v>
      </c>
      <c r="G33" s="420">
        <f t="shared" si="3"/>
        <v>2578237485</v>
      </c>
      <c r="H33" s="420">
        <f t="shared" si="3"/>
        <v>2314712880.5400004</v>
      </c>
      <c r="I33" s="903">
        <f t="shared" si="3"/>
        <v>2497552250</v>
      </c>
      <c r="J33" s="420">
        <f t="shared" si="3"/>
        <v>2211136575.1899996</v>
      </c>
      <c r="K33" s="420">
        <f t="shared" si="3"/>
        <v>2330992078.7599998</v>
      </c>
      <c r="L33" s="346">
        <f t="shared" si="3"/>
        <v>2119696969.8399999</v>
      </c>
      <c r="M33" s="346">
        <f t="shared" si="3"/>
        <v>2210741284.1599998</v>
      </c>
      <c r="N33" s="346">
        <f t="shared" si="3"/>
        <v>2150516792.1299996</v>
      </c>
      <c r="O33" s="346">
        <v>2088135753.3800001</v>
      </c>
      <c r="P33" s="842">
        <f>P31+P32</f>
        <v>0</v>
      </c>
      <c r="Q33" s="346">
        <f>Q31+Q32</f>
        <v>2344502585.0900002</v>
      </c>
      <c r="R33" s="938">
        <f>(P33-Q33)/Q33</f>
        <v>-1</v>
      </c>
      <c r="S33" s="346"/>
      <c r="W33" s="344">
        <v>2317326921.7099996</v>
      </c>
    </row>
    <row r="34" spans="1:23">
      <c r="A34" s="312" t="s">
        <v>961</v>
      </c>
      <c r="B34" s="312" t="s">
        <v>757</v>
      </c>
      <c r="E34" s="420"/>
      <c r="F34" s="420"/>
      <c r="G34" s="420"/>
      <c r="H34" s="420"/>
      <c r="I34" s="420"/>
      <c r="J34" s="420">
        <v>133867889.90000001</v>
      </c>
      <c r="K34" s="420">
        <v>3363548.9000000954</v>
      </c>
      <c r="M34" s="346">
        <v>-9.9999904632568359E-2</v>
      </c>
      <c r="N34" s="346">
        <v>-9.9999904632568359E-2</v>
      </c>
      <c r="O34" s="346">
        <v>-9.9999904632568359E-2</v>
      </c>
      <c r="P34" s="1046">
        <f>'TB''1217'!H23</f>
        <v>0</v>
      </c>
      <c r="Q34" s="346">
        <f>'2016'!I30</f>
        <v>1007550362</v>
      </c>
      <c r="R34" s="938">
        <f>(P34-Q34)/Q34</f>
        <v>-1</v>
      </c>
      <c r="W34" s="344">
        <v>0</v>
      </c>
    </row>
    <row r="35" spans="1:23">
      <c r="E35" s="420"/>
      <c r="F35" s="420"/>
      <c r="G35" s="420"/>
      <c r="H35" s="420"/>
      <c r="I35" s="420"/>
      <c r="J35" s="420"/>
      <c r="K35" s="420"/>
      <c r="P35" s="1049"/>
      <c r="Q35" s="931"/>
      <c r="R35" s="938"/>
      <c r="S35" s="931"/>
      <c r="T35" s="359"/>
      <c r="U35" s="359"/>
    </row>
    <row r="36" spans="1:23">
      <c r="A36" s="312" t="s">
        <v>962</v>
      </c>
      <c r="B36" s="312" t="s">
        <v>797</v>
      </c>
      <c r="E36" s="420"/>
      <c r="F36" s="420"/>
      <c r="G36" s="420"/>
      <c r="H36" s="420"/>
      <c r="I36" s="420"/>
      <c r="J36" s="420"/>
      <c r="K36" s="420"/>
      <c r="Q36" s="853"/>
      <c r="R36" s="938"/>
    </row>
    <row r="37" spans="1:23">
      <c r="C37" s="944" t="s">
        <v>788</v>
      </c>
      <c r="E37" s="420"/>
      <c r="F37" s="420"/>
      <c r="G37" s="420"/>
      <c r="H37" s="420"/>
      <c r="I37" s="420"/>
      <c r="J37" s="420"/>
      <c r="K37" s="420"/>
      <c r="P37" s="1046">
        <f>SUMIFS('Trial Balance'!$H:$H,'Trial Balance'!$A:$A,'Detail WBS''1217'!S37,'Trial Balance'!$C:$C,'Detail WBS''1217'!T37)</f>
        <v>0</v>
      </c>
      <c r="Q37" s="856"/>
      <c r="R37" s="938"/>
      <c r="S37" s="983" t="s">
        <v>1930</v>
      </c>
    </row>
    <row r="38" spans="1:23">
      <c r="D38" s="945" t="s">
        <v>789</v>
      </c>
      <c r="E38" s="946">
        <v>5246257500</v>
      </c>
      <c r="F38" s="946">
        <v>4734427500</v>
      </c>
      <c r="G38" s="946">
        <v>4435860000</v>
      </c>
      <c r="H38" s="946">
        <v>4563817500</v>
      </c>
      <c r="I38" s="946">
        <v>5587477500</v>
      </c>
      <c r="J38" s="946">
        <v>4947690000</v>
      </c>
      <c r="K38" s="946">
        <v>4435860000</v>
      </c>
      <c r="L38" s="946">
        <v>4162884000</v>
      </c>
      <c r="M38" s="946">
        <v>4819732500</v>
      </c>
      <c r="N38" s="946">
        <v>4990342500</v>
      </c>
      <c r="O38" s="946">
        <v>4990342500</v>
      </c>
      <c r="P38" s="1046">
        <f>SUMIFS('Trial Balance'!$H:$H,'Trial Balance'!$A:$A,'Detail WBS''1217'!S38,'Trial Balance'!$C:$C,'Detail WBS''1217'!T38)</f>
        <v>0</v>
      </c>
      <c r="Q38" s="420">
        <f>'2016'!J34</f>
        <v>5246257500</v>
      </c>
      <c r="R38" s="938">
        <f>(P38-Q38)/Q38</f>
        <v>-1</v>
      </c>
      <c r="S38" t="s">
        <v>1511</v>
      </c>
      <c r="T38" s="312" t="s">
        <v>1923</v>
      </c>
      <c r="W38" s="344">
        <v>5032995000</v>
      </c>
    </row>
    <row r="39" spans="1:23">
      <c r="D39" s="945" t="s">
        <v>790</v>
      </c>
      <c r="E39" s="946">
        <v>1702651500</v>
      </c>
      <c r="F39" s="946">
        <v>1682581500</v>
      </c>
      <c r="G39" s="946">
        <v>1856475000</v>
      </c>
      <c r="H39" s="946">
        <v>1831387500</v>
      </c>
      <c r="I39" s="946">
        <v>1906650000</v>
      </c>
      <c r="J39" s="946">
        <v>1846440000</v>
      </c>
      <c r="K39" s="946">
        <v>1806300000</v>
      </c>
      <c r="L39" s="946">
        <v>1495215000</v>
      </c>
      <c r="M39" s="946">
        <v>1324620000</v>
      </c>
      <c r="N39" s="946">
        <v>1565460000</v>
      </c>
      <c r="O39" s="946">
        <v>1304550000</v>
      </c>
      <c r="P39" s="1046">
        <f>SUMIFS('Trial Balance'!$H:$H,'Trial Balance'!$A:$A,'Detail WBS''1217'!S39,'Trial Balance'!$C:$C,'Detail WBS''1217'!T39)</f>
        <v>0</v>
      </c>
      <c r="Q39" s="420">
        <f>'2016'!J35</f>
        <v>1761142500</v>
      </c>
      <c r="R39" s="938">
        <f>(P39-Q39)/Q39</f>
        <v>-1</v>
      </c>
      <c r="S39" t="s">
        <v>1511</v>
      </c>
      <c r="T39" s="312" t="s">
        <v>1924</v>
      </c>
      <c r="W39" s="344">
        <v>1289497500</v>
      </c>
    </row>
    <row r="40" spans="1:23">
      <c r="C40" s="947" t="s">
        <v>791</v>
      </c>
      <c r="E40" s="420"/>
      <c r="F40" s="420"/>
      <c r="G40" s="420"/>
      <c r="H40" s="420"/>
      <c r="I40" s="420"/>
      <c r="J40" s="420"/>
      <c r="K40" s="420"/>
      <c r="L40" s="420"/>
      <c r="M40" s="420"/>
      <c r="N40" s="420"/>
      <c r="O40" s="420"/>
      <c r="P40" s="842"/>
      <c r="Q40" s="426"/>
      <c r="R40" s="938"/>
    </row>
    <row r="41" spans="1:23">
      <c r="D41" s="948" t="s">
        <v>792</v>
      </c>
      <c r="E41" s="949">
        <v>4779</v>
      </c>
      <c r="F41" s="949">
        <v>3888</v>
      </c>
      <c r="G41" s="949">
        <v>4374</v>
      </c>
      <c r="H41" s="949">
        <v>4212</v>
      </c>
      <c r="I41" s="949">
        <v>4050</v>
      </c>
      <c r="J41" s="949">
        <v>4050</v>
      </c>
      <c r="K41" s="949">
        <v>4050</v>
      </c>
      <c r="L41" s="949">
        <v>4050</v>
      </c>
      <c r="M41" s="949">
        <v>4050</v>
      </c>
      <c r="N41" s="949">
        <v>4050</v>
      </c>
      <c r="O41" s="949">
        <v>4050</v>
      </c>
      <c r="P41" s="1046">
        <f>SUMIFS('Trial Balance'!$H:$H,'Trial Balance'!$A:$A,'Detail WBS''1217'!S41,'Trial Balance'!$C:$C,'Detail WBS''1217'!T41)</f>
        <v>0</v>
      </c>
      <c r="Q41" s="426">
        <f>'2016'!J37</f>
        <v>4293</v>
      </c>
      <c r="R41" s="938">
        <f t="shared" ref="R41:R46" si="4">(P41-Q41)/Q41</f>
        <v>-1</v>
      </c>
      <c r="S41" s="1128" t="s">
        <v>1511</v>
      </c>
      <c r="T41" s="312" t="s">
        <v>1925</v>
      </c>
      <c r="W41" s="344">
        <v>4050</v>
      </c>
    </row>
    <row r="42" spans="1:23">
      <c r="D42" s="948" t="s">
        <v>793</v>
      </c>
      <c r="E42" s="949">
        <v>12656149500</v>
      </c>
      <c r="F42" s="949">
        <v>12656149500</v>
      </c>
      <c r="G42" s="949">
        <v>12656149500</v>
      </c>
      <c r="H42" s="949">
        <v>12656149500</v>
      </c>
      <c r="I42" s="949">
        <v>12656149500</v>
      </c>
      <c r="J42" s="949">
        <v>12656149500</v>
      </c>
      <c r="K42" s="949">
        <v>12656149500</v>
      </c>
      <c r="L42" s="949">
        <v>12656149500</v>
      </c>
      <c r="M42" s="949">
        <v>12656149500</v>
      </c>
      <c r="N42" s="949">
        <v>12656149500</v>
      </c>
      <c r="O42" s="949">
        <v>12656149500</v>
      </c>
      <c r="P42" s="1046">
        <f>SUMIFS('Trial Balance'!$H:$H,'Trial Balance'!$A:$A,'Detail WBS''1217'!S42,'Trial Balance'!$C:$C,'Detail WBS''1217'!T42)</f>
        <v>0</v>
      </c>
      <c r="Q42" s="426">
        <f>'2016'!J38</f>
        <v>12656149500</v>
      </c>
      <c r="R42" s="938">
        <f t="shared" si="4"/>
        <v>-1</v>
      </c>
      <c r="S42" s="1128" t="s">
        <v>1511</v>
      </c>
      <c r="T42" s="312" t="s">
        <v>1926</v>
      </c>
      <c r="W42" s="344">
        <v>12656149500</v>
      </c>
    </row>
    <row r="43" spans="1:23">
      <c r="D43" s="948" t="s">
        <v>794</v>
      </c>
      <c r="E43" s="949">
        <v>669595500</v>
      </c>
      <c r="F43" s="949">
        <v>656401500</v>
      </c>
      <c r="G43" s="949">
        <v>669595500</v>
      </c>
      <c r="H43" s="949">
        <v>672894000</v>
      </c>
      <c r="I43" s="949">
        <v>666297000</v>
      </c>
      <c r="J43" s="949">
        <v>646506000</v>
      </c>
      <c r="K43" s="949">
        <v>653103000</v>
      </c>
      <c r="L43" s="949">
        <v>643207500</v>
      </c>
      <c r="M43" s="949">
        <v>636610500</v>
      </c>
      <c r="N43" s="949">
        <v>636610500</v>
      </c>
      <c r="O43" s="949">
        <v>616819500</v>
      </c>
      <c r="P43" s="1046">
        <f>SUMIFS('Trial Balance'!$H:$H,'Trial Balance'!$A:$A,'Detail WBS''1217'!S43,'Trial Balance'!$C:$C,'Detail WBS''1217'!T43)</f>
        <v>0</v>
      </c>
      <c r="Q43" s="426">
        <f>'2016'!J39</f>
        <v>689386500</v>
      </c>
      <c r="R43" s="938">
        <f t="shared" si="4"/>
        <v>-1</v>
      </c>
      <c r="S43" s="1128" t="s">
        <v>1511</v>
      </c>
      <c r="T43" s="312" t="s">
        <v>1927</v>
      </c>
      <c r="W43" s="344">
        <v>514566000</v>
      </c>
    </row>
    <row r="44" spans="1:23">
      <c r="D44" s="948" t="s">
        <v>795</v>
      </c>
      <c r="E44" s="949">
        <v>498875000</v>
      </c>
      <c r="F44" s="949">
        <v>482625000</v>
      </c>
      <c r="G44" s="949">
        <v>459875000</v>
      </c>
      <c r="H44" s="949">
        <v>442000000</v>
      </c>
      <c r="I44" s="949">
        <v>407875000</v>
      </c>
      <c r="J44" s="949">
        <v>414375000</v>
      </c>
      <c r="K44" s="949">
        <v>414375000</v>
      </c>
      <c r="L44" s="949">
        <v>412750000</v>
      </c>
      <c r="M44" s="949">
        <v>424125000</v>
      </c>
      <c r="N44" s="949">
        <v>419250000</v>
      </c>
      <c r="O44" s="949">
        <v>440375000</v>
      </c>
      <c r="P44" s="1046">
        <f>SUMIFS('Trial Balance'!$H:$H,'Trial Balance'!$A:$A,'Detail WBS''1217'!S44,'Trial Balance'!$C:$C,'Detail WBS''1217'!T44)</f>
        <v>0</v>
      </c>
      <c r="Q44" s="426">
        <f>'2016'!J40</f>
        <v>507000000</v>
      </c>
      <c r="R44" s="938">
        <f t="shared" si="4"/>
        <v>-1</v>
      </c>
      <c r="S44" s="1128" t="s">
        <v>1511</v>
      </c>
      <c r="T44" s="312" t="s">
        <v>1928</v>
      </c>
      <c r="W44" s="344">
        <v>414375000</v>
      </c>
    </row>
    <row r="45" spans="1:23">
      <c r="D45" s="948" t="s">
        <v>796</v>
      </c>
      <c r="E45" s="950">
        <v>322500000</v>
      </c>
      <c r="F45" s="950">
        <v>305300000</v>
      </c>
      <c r="G45" s="950">
        <v>288100000</v>
      </c>
      <c r="H45" s="950">
        <v>288100000</v>
      </c>
      <c r="I45" s="950">
        <v>266600000</v>
      </c>
      <c r="J45" s="950">
        <v>253700000</v>
      </c>
      <c r="K45" s="950">
        <v>215000000</v>
      </c>
      <c r="L45" s="950">
        <v>219300000</v>
      </c>
      <c r="M45" s="950">
        <v>219300000</v>
      </c>
      <c r="N45" s="950">
        <v>223600000</v>
      </c>
      <c r="O45" s="950">
        <v>215000000</v>
      </c>
      <c r="P45" s="1048">
        <f>SUMIFS('Trial Balance'!$H:$H,'Trial Balance'!$A:$A,'Detail WBS''1217'!S45,'Trial Balance'!$C:$C,'Detail WBS''1217'!T45)</f>
        <v>0</v>
      </c>
      <c r="Q45" s="851">
        <f>'2016'!J41</f>
        <v>296700000</v>
      </c>
      <c r="R45" s="939">
        <f t="shared" si="4"/>
        <v>-1</v>
      </c>
      <c r="S45" s="1128" t="s">
        <v>1511</v>
      </c>
      <c r="T45" s="312" t="s">
        <v>1929</v>
      </c>
      <c r="W45" s="344">
        <v>219300000</v>
      </c>
    </row>
    <row r="46" spans="1:23">
      <c r="D46" s="951" t="s">
        <v>944</v>
      </c>
      <c r="E46" s="952">
        <f>SUM(E38:E45)</f>
        <v>21096033779</v>
      </c>
      <c r="F46" s="952">
        <f t="shared" ref="F46:M46" si="5">SUM(F38:F45)</f>
        <v>20517488888</v>
      </c>
      <c r="G46" s="952">
        <f t="shared" si="5"/>
        <v>20366059374</v>
      </c>
      <c r="H46" s="952">
        <f t="shared" si="5"/>
        <v>20454352712</v>
      </c>
      <c r="I46" s="952">
        <f t="shared" si="5"/>
        <v>21491053050</v>
      </c>
      <c r="J46" s="952">
        <f t="shared" si="5"/>
        <v>20764864550</v>
      </c>
      <c r="K46" s="952">
        <f t="shared" si="5"/>
        <v>20180791550</v>
      </c>
      <c r="L46" s="952">
        <f t="shared" si="5"/>
        <v>19589510050</v>
      </c>
      <c r="M46" s="952">
        <f t="shared" si="5"/>
        <v>20080541550</v>
      </c>
      <c r="N46" s="952">
        <f>SUM(N38:N45)</f>
        <v>20491416550</v>
      </c>
      <c r="O46" s="952">
        <v>20223240550</v>
      </c>
      <c r="P46" s="1046">
        <f>SUM(P38:P45)</f>
        <v>0</v>
      </c>
      <c r="Q46" s="856">
        <f>SUM(Q38:Q45)</f>
        <v>21156640293</v>
      </c>
      <c r="R46" s="938">
        <f t="shared" si="4"/>
        <v>-1</v>
      </c>
      <c r="W46" s="344">
        <v>20126887050</v>
      </c>
    </row>
    <row r="47" spans="1:23">
      <c r="A47" s="312" t="s">
        <v>963</v>
      </c>
      <c r="B47" s="312" t="s">
        <v>921</v>
      </c>
      <c r="E47" s="420"/>
      <c r="F47" s="420"/>
      <c r="G47" s="420"/>
      <c r="H47" s="420"/>
      <c r="I47" s="420"/>
      <c r="J47" s="420"/>
      <c r="K47" s="420"/>
      <c r="Q47" s="856"/>
      <c r="R47" s="938"/>
    </row>
    <row r="48" spans="1:23">
      <c r="C48" s="309" t="s">
        <v>157</v>
      </c>
      <c r="E48" s="420">
        <v>1714600507</v>
      </c>
      <c r="F48" s="420">
        <v>4735721210</v>
      </c>
      <c r="G48" s="420">
        <v>4759266261</v>
      </c>
      <c r="H48" s="420">
        <v>4085239194</v>
      </c>
      <c r="I48" s="420">
        <v>4112281908</v>
      </c>
      <c r="J48" s="420">
        <v>4358925838.0199986</v>
      </c>
      <c r="K48" s="420">
        <v>2886978456.0199986</v>
      </c>
      <c r="L48" s="420">
        <v>3902735995.0199986</v>
      </c>
      <c r="M48" s="440">
        <v>3923831820.0199986</v>
      </c>
      <c r="N48" s="440">
        <v>2669670063.02</v>
      </c>
      <c r="O48" s="440">
        <v>3188222898.0200005</v>
      </c>
      <c r="P48" s="1046">
        <f>SUMIFS('Trial Balance'!$H:$H,'Trial Balance'!$A:$A,'Detail WBS''1217'!S49,'Trial Balance'!$C:$C,'Detail WBS''1217'!T49)</f>
        <v>0</v>
      </c>
      <c r="Q48" s="856">
        <f>'2016'!J44</f>
        <v>1705766794</v>
      </c>
      <c r="R48" s="938">
        <f>(P48-Q48)/Q48</f>
        <v>-1</v>
      </c>
      <c r="S48" t="s">
        <v>1519</v>
      </c>
      <c r="W48" s="344">
        <v>2202211863.0200005</v>
      </c>
    </row>
    <row r="49" spans="1:25">
      <c r="C49" s="309" t="s">
        <v>159</v>
      </c>
      <c r="E49" s="420">
        <v>2516504311</v>
      </c>
      <c r="F49" s="420">
        <v>2538623093</v>
      </c>
      <c r="G49" s="420">
        <v>2531386588</v>
      </c>
      <c r="H49" s="420">
        <v>2541968641</v>
      </c>
      <c r="I49" s="420">
        <v>2518108705</v>
      </c>
      <c r="J49" s="420">
        <v>0</v>
      </c>
      <c r="K49" s="420">
        <v>0</v>
      </c>
      <c r="L49" s="420"/>
      <c r="M49" s="440"/>
      <c r="N49" s="440"/>
      <c r="O49" s="440"/>
      <c r="P49" s="842"/>
      <c r="Q49" s="856">
        <f>'2016'!J45</f>
        <v>2500725944</v>
      </c>
      <c r="R49" s="938"/>
    </row>
    <row r="50" spans="1:25">
      <c r="C50" s="309" t="s">
        <v>160</v>
      </c>
      <c r="E50" s="420"/>
      <c r="F50" s="420"/>
      <c r="G50" s="420"/>
      <c r="H50" s="420"/>
      <c r="I50" s="420"/>
      <c r="J50" s="420"/>
      <c r="K50" s="420"/>
      <c r="L50" s="420"/>
      <c r="M50" s="440"/>
      <c r="P50" s="1050"/>
      <c r="Q50" s="856">
        <f>'2016'!J46</f>
        <v>0</v>
      </c>
      <c r="R50" s="938"/>
    </row>
    <row r="51" spans="1:25">
      <c r="C51" s="309" t="s">
        <v>161</v>
      </c>
      <c r="E51" s="420"/>
      <c r="F51" s="420"/>
      <c r="G51" s="420"/>
      <c r="H51" s="420"/>
      <c r="I51" s="420"/>
      <c r="J51" s="420"/>
      <c r="K51" s="420"/>
      <c r="L51" s="420"/>
      <c r="M51" s="440"/>
      <c r="N51" s="440"/>
      <c r="O51" s="440"/>
      <c r="P51" s="842"/>
      <c r="Q51" s="856">
        <f>'2016'!J47</f>
        <v>0</v>
      </c>
      <c r="R51" s="938"/>
    </row>
    <row r="52" spans="1:25">
      <c r="C52" s="309" t="s">
        <v>163</v>
      </c>
      <c r="E52" s="420">
        <v>290292092</v>
      </c>
      <c r="F52" s="420">
        <v>284304595</v>
      </c>
      <c r="G52" s="420">
        <v>273267982</v>
      </c>
      <c r="H52" s="420">
        <v>268179023</v>
      </c>
      <c r="I52" s="420">
        <v>263334602</v>
      </c>
      <c r="J52" s="420">
        <v>250411667.47999954</v>
      </c>
      <c r="K52" s="420">
        <v>252177884.47999954</v>
      </c>
      <c r="L52" s="420">
        <v>252897411.47999954</v>
      </c>
      <c r="M52" s="440">
        <v>236520589.47999954</v>
      </c>
      <c r="N52" s="440">
        <v>224991273.47999999</v>
      </c>
      <c r="O52" s="440">
        <v>251312483.48000002</v>
      </c>
      <c r="P52" s="1046">
        <f>SUMIFS('Trial Balance'!$H:$H,'Trial Balance'!$A:$A,'Detail WBS''1217'!S53,'Trial Balance'!$C:$C,'Detail WBS''1217'!T53)</f>
        <v>0</v>
      </c>
      <c r="Q52" s="856">
        <f>'2016'!J48</f>
        <v>284214746</v>
      </c>
      <c r="R52" s="938">
        <f>(P52-Q52)/Q52</f>
        <v>-1</v>
      </c>
      <c r="S52" s="1128" t="s">
        <v>1519</v>
      </c>
      <c r="T52" s="312" t="s">
        <v>1906</v>
      </c>
      <c r="W52" s="344">
        <v>230707848.48000002</v>
      </c>
    </row>
    <row r="53" spans="1:25">
      <c r="C53" s="309" t="s">
        <v>165</v>
      </c>
      <c r="E53" s="420">
        <v>302026049</v>
      </c>
      <c r="F53" s="420">
        <v>286370658</v>
      </c>
      <c r="G53" s="420">
        <v>275780519</v>
      </c>
      <c r="H53" s="420">
        <v>269218936</v>
      </c>
      <c r="I53" s="420">
        <v>263599782</v>
      </c>
      <c r="J53" s="420">
        <v>259433171.4100008</v>
      </c>
      <c r="K53" s="420">
        <v>240768502.4100008</v>
      </c>
      <c r="L53" s="420">
        <v>226149801.4100008</v>
      </c>
      <c r="M53" s="440">
        <v>213523730.4100008</v>
      </c>
      <c r="N53" s="440">
        <v>-2.5900000035762787</v>
      </c>
      <c r="O53" s="440">
        <v>-2.5900000035762787</v>
      </c>
      <c r="P53" s="1046">
        <f>SUMIFS('Trial Balance'!$H:$H,'Trial Balance'!$A:$A,'Detail WBS''1217'!S54,'Trial Balance'!$C:$C,'Detail WBS''1217'!T54)</f>
        <v>0</v>
      </c>
      <c r="Q53" s="856">
        <f>'2016'!J49</f>
        <v>285555994</v>
      </c>
      <c r="R53" s="938">
        <f>(P53-Q53)/Q53</f>
        <v>-1</v>
      </c>
      <c r="S53" s="1128" t="s">
        <v>1519</v>
      </c>
      <c r="T53" s="312" t="s">
        <v>1906</v>
      </c>
      <c r="W53" s="344">
        <v>-3.5762788286319847E-9</v>
      </c>
    </row>
    <row r="54" spans="1:25">
      <c r="C54" s="309" t="s">
        <v>166</v>
      </c>
      <c r="E54" s="420">
        <v>5039785000</v>
      </c>
      <c r="F54" s="420">
        <v>5096255000</v>
      </c>
      <c r="G54" s="420">
        <v>5130905000</v>
      </c>
      <c r="H54" s="420">
        <v>5130905000</v>
      </c>
      <c r="I54" s="420">
        <v>5130905000</v>
      </c>
      <c r="J54" s="420">
        <v>5158805000</v>
      </c>
      <c r="K54" s="420">
        <v>5158803500</v>
      </c>
      <c r="L54" s="420">
        <v>5158803500</v>
      </c>
      <c r="M54" s="440">
        <v>5158640000</v>
      </c>
      <c r="N54" s="440">
        <v>5158637500</v>
      </c>
      <c r="O54" s="440">
        <v>5158637500</v>
      </c>
      <c r="P54" s="1046">
        <f>SUMIFS('Trial Balance'!$H:$H,'Trial Balance'!$A:$A,'Detail WBS''1217'!S55,'Trial Balance'!$C:$C,'Detail WBS''1217'!T55)</f>
        <v>0</v>
      </c>
      <c r="Q54" s="856">
        <f>'2016'!J50</f>
        <v>5000000000</v>
      </c>
      <c r="R54" s="938">
        <v>1</v>
      </c>
      <c r="S54" s="1128" t="s">
        <v>1519</v>
      </c>
      <c r="T54" s="312" t="s">
        <v>1906</v>
      </c>
      <c r="W54" s="344">
        <v>5157357000</v>
      </c>
    </row>
    <row r="55" spans="1:25">
      <c r="C55" s="309" t="s">
        <v>169</v>
      </c>
      <c r="E55" s="420"/>
      <c r="F55" s="420">
        <v>250188400</v>
      </c>
      <c r="G55" s="420">
        <v>251294975</v>
      </c>
      <c r="H55" s="420"/>
      <c r="I55" s="420"/>
      <c r="J55" s="420"/>
      <c r="K55" s="420"/>
      <c r="L55" s="420"/>
      <c r="M55" s="440"/>
      <c r="N55" s="440"/>
      <c r="O55" s="440"/>
      <c r="P55" s="842"/>
      <c r="Q55" s="856">
        <f>'2016'!J51</f>
        <v>0</v>
      </c>
      <c r="R55" s="938"/>
    </row>
    <row r="56" spans="1:25">
      <c r="C56" s="309" t="s">
        <v>168</v>
      </c>
      <c r="E56" s="420">
        <v>649478056</v>
      </c>
      <c r="F56" s="420">
        <v>-506551</v>
      </c>
      <c r="G56" s="420"/>
      <c r="H56" s="420"/>
      <c r="I56" s="420"/>
      <c r="J56" s="420"/>
      <c r="K56" s="420"/>
      <c r="L56" s="420"/>
      <c r="M56" s="442"/>
      <c r="N56" s="442"/>
      <c r="O56" s="442"/>
      <c r="P56" s="974"/>
      <c r="Q56" s="930">
        <f>'2016'!J52</f>
        <v>0</v>
      </c>
      <c r="R56" s="939"/>
    </row>
    <row r="57" spans="1:25">
      <c r="C57" s="309"/>
      <c r="D57" s="951" t="s">
        <v>945</v>
      </c>
      <c r="E57" s="953">
        <f t="shared" ref="E57:Q57" si="6">SUM(E48:E56)</f>
        <v>10512686015</v>
      </c>
      <c r="F57" s="953">
        <f t="shared" si="6"/>
        <v>13190956405</v>
      </c>
      <c r="G57" s="953">
        <f t="shared" si="6"/>
        <v>13221901325</v>
      </c>
      <c r="H57" s="953">
        <f t="shared" si="6"/>
        <v>12295510794</v>
      </c>
      <c r="I57" s="953">
        <f t="shared" si="6"/>
        <v>12288229997</v>
      </c>
      <c r="J57" s="953">
        <f t="shared" si="6"/>
        <v>10027575676.91</v>
      </c>
      <c r="K57" s="953">
        <f t="shared" si="6"/>
        <v>8538728342.9099989</v>
      </c>
      <c r="L57" s="953">
        <f t="shared" si="6"/>
        <v>9540586707.9099998</v>
      </c>
      <c r="M57" s="953">
        <f t="shared" si="6"/>
        <v>9532516139.9099998</v>
      </c>
      <c r="N57" s="954">
        <f t="shared" si="6"/>
        <v>8053298833.9099998</v>
      </c>
      <c r="O57" s="954">
        <v>8598172878.9099998</v>
      </c>
      <c r="P57" s="1051">
        <f t="shared" si="6"/>
        <v>0</v>
      </c>
      <c r="Q57" s="857">
        <f t="shared" si="6"/>
        <v>9776263478</v>
      </c>
      <c r="R57" s="938">
        <f>(P57-Q57)/Q57</f>
        <v>-1</v>
      </c>
      <c r="W57" s="344">
        <v>7590276711.5</v>
      </c>
    </row>
    <row r="58" spans="1:25">
      <c r="A58" s="312" t="s">
        <v>964</v>
      </c>
      <c r="B58" s="312" t="s">
        <v>750</v>
      </c>
      <c r="E58" s="440"/>
      <c r="F58" s="440"/>
      <c r="G58" s="440"/>
      <c r="H58" s="440"/>
      <c r="I58" s="440"/>
      <c r="J58" s="440"/>
      <c r="K58" s="440"/>
      <c r="L58" s="359"/>
      <c r="M58" s="359"/>
      <c r="N58" s="359"/>
      <c r="O58" s="359"/>
      <c r="Q58" s="857"/>
      <c r="R58" s="938"/>
      <c r="U58" s="359"/>
      <c r="V58" s="440"/>
      <c r="W58" s="1169"/>
      <c r="X58" s="359"/>
      <c r="Y58" s="359"/>
    </row>
    <row r="59" spans="1:25">
      <c r="C59" s="312" t="s">
        <v>798</v>
      </c>
      <c r="E59" s="440"/>
      <c r="F59" s="440"/>
      <c r="G59" s="440"/>
      <c r="H59" s="440">
        <v>181009400.10000002</v>
      </c>
      <c r="I59" s="440">
        <v>227169586.35000002</v>
      </c>
      <c r="J59" s="440">
        <v>264107094.81</v>
      </c>
      <c r="K59" s="440">
        <v>307183194</v>
      </c>
      <c r="L59" s="440">
        <v>358664507</v>
      </c>
      <c r="M59" s="440">
        <v>360416034</v>
      </c>
      <c r="N59" s="440">
        <v>360416034.63</v>
      </c>
      <c r="O59" s="440">
        <v>360396931.63</v>
      </c>
      <c r="P59" s="1046">
        <f>SUMIF('Trial Balance'!$A:$A,'Detail WBS''1217'!S59,'Trial Balance'!$H:$H)+SUMIF('Trial Balance'!$A:$A,'Detail WBS''1217'!T59,'Trial Balance'!$H:$H)+SUMIF('Trial Balance'!$A:$A,'Detail WBS''1217'!U59,'Trial Balance'!$H:$H)+SUMIF('Trial Balance'!$A:$A,'Detail WBS''1217'!V59,'Trial Balance'!$H:$H)</f>
        <v>0</v>
      </c>
      <c r="Q59" s="925">
        <f>'2016'!J55</f>
        <v>462926911.44</v>
      </c>
      <c r="R59" s="938">
        <f>(P59-Q59)/Q59</f>
        <v>-1</v>
      </c>
      <c r="S59" t="s">
        <v>1617</v>
      </c>
      <c r="U59" s="347"/>
      <c r="V59" s="440"/>
      <c r="W59" s="1169">
        <v>360444016</v>
      </c>
      <c r="X59" s="347"/>
      <c r="Y59" s="955"/>
    </row>
    <row r="60" spans="1:25">
      <c r="C60" s="312" t="s">
        <v>799</v>
      </c>
      <c r="E60" s="440"/>
      <c r="F60" s="440"/>
      <c r="G60" s="440"/>
      <c r="H60" s="440"/>
      <c r="I60" s="440">
        <v>0</v>
      </c>
      <c r="J60" s="440">
        <v>0</v>
      </c>
      <c r="K60" s="440">
        <v>0</v>
      </c>
      <c r="L60" s="440"/>
      <c r="M60" s="440">
        <v>0</v>
      </c>
      <c r="N60" s="440">
        <v>0</v>
      </c>
      <c r="O60" s="440">
        <v>0</v>
      </c>
      <c r="P60" s="1046">
        <f>SUMIF('Trial Balance'!$A:$A,'Detail WBS''1217'!S60,'Trial Balance'!$H:$H)+SUMIF('Trial Balance'!$A:$A,'Detail WBS''1217'!T60,'Trial Balance'!$H:$H)+SUMIF('Trial Balance'!$A:$A,'Detail WBS''1217'!U60,'Trial Balance'!$H:$H)+SUMIF('Trial Balance'!$A:$A,'Detail WBS''1217'!V60,'Trial Balance'!$H:$H)</f>
        <v>0</v>
      </c>
      <c r="Q60" s="925">
        <f>'2016'!J56</f>
        <v>633807825</v>
      </c>
      <c r="R60" s="938">
        <f>(P60-Q60)/Q60</f>
        <v>-1</v>
      </c>
      <c r="S60" t="s">
        <v>1619</v>
      </c>
      <c r="U60" s="359"/>
      <c r="V60" s="440"/>
      <c r="W60" s="1169">
        <v>0</v>
      </c>
      <c r="X60" s="347"/>
      <c r="Y60" s="955"/>
    </row>
    <row r="61" spans="1:25">
      <c r="C61" s="312" t="s">
        <v>176</v>
      </c>
      <c r="E61" s="442"/>
      <c r="F61" s="442"/>
      <c r="G61" s="442"/>
      <c r="H61" s="442"/>
      <c r="I61" s="442">
        <v>0</v>
      </c>
      <c r="J61" s="442">
        <v>0</v>
      </c>
      <c r="K61" s="442">
        <v>0</v>
      </c>
      <c r="L61" s="442"/>
      <c r="M61" s="442">
        <v>9.9999904632568359E-3</v>
      </c>
      <c r="N61" s="442">
        <v>0.32999992370605469</v>
      </c>
      <c r="O61" s="442">
        <v>0.32999992370605469</v>
      </c>
      <c r="P61" s="1048">
        <f>SUMIF('Trial Balance'!$A:$A,'Detail WBS''1217'!S61,'Trial Balance'!$H:$H)+SUMIF('Trial Balance'!$A:$A,'Detail WBS''1217'!T61,'Trial Balance'!$H:$H)+SUMIF('Trial Balance'!$A:$A,'Detail WBS''1217'!U61,'Trial Balance'!$H:$H)+SUMIF('Trial Balance'!$A:$A,'Detail WBS''1217'!V61,'Trial Balance'!$H:$H)</f>
        <v>0</v>
      </c>
      <c r="Q61" s="956">
        <f>'2016'!J57</f>
        <v>0</v>
      </c>
      <c r="R61" s="939"/>
      <c r="S61" t="s">
        <v>1621</v>
      </c>
      <c r="U61" s="359"/>
      <c r="V61" s="440"/>
      <c r="W61" s="1169">
        <v>0</v>
      </c>
      <c r="X61" s="347"/>
      <c r="Y61" s="955"/>
    </row>
    <row r="62" spans="1:25">
      <c r="D62" s="951" t="s">
        <v>946</v>
      </c>
      <c r="E62" s="346">
        <f t="shared" ref="E62:M62" si="7">SUM(E59:E61)</f>
        <v>0</v>
      </c>
      <c r="F62" s="346">
        <f t="shared" si="7"/>
        <v>0</v>
      </c>
      <c r="G62" s="346">
        <f t="shared" si="7"/>
        <v>0</v>
      </c>
      <c r="H62" s="346">
        <f t="shared" si="7"/>
        <v>181009400.10000002</v>
      </c>
      <c r="I62" s="346">
        <f t="shared" si="7"/>
        <v>227169586.35000002</v>
      </c>
      <c r="J62" s="346">
        <f t="shared" si="7"/>
        <v>264107094.81</v>
      </c>
      <c r="K62" s="346">
        <f t="shared" si="7"/>
        <v>307183194</v>
      </c>
      <c r="L62" s="346">
        <f t="shared" si="7"/>
        <v>358664507</v>
      </c>
      <c r="M62" s="346">
        <f t="shared" si="7"/>
        <v>360416034.00999999</v>
      </c>
      <c r="N62" s="346">
        <f>SUM(N59:N61)</f>
        <v>360416034.95999992</v>
      </c>
      <c r="O62" s="346">
        <v>360396931.95999992</v>
      </c>
      <c r="P62" s="1046">
        <f>SUM(P59:P61)</f>
        <v>0</v>
      </c>
      <c r="Q62" s="346">
        <f t="shared" ref="Q62" si="8">SUM(Q59:Q61)</f>
        <v>1096734736.4400001</v>
      </c>
      <c r="R62" s="938">
        <f>(P62-Q62)/Q62</f>
        <v>-1</v>
      </c>
      <c r="U62" s="359"/>
      <c r="V62" s="440"/>
      <c r="W62" s="1169">
        <v>360444016</v>
      </c>
      <c r="X62" s="347"/>
      <c r="Y62" s="955"/>
    </row>
    <row r="63" spans="1:25">
      <c r="A63" s="312" t="s">
        <v>965</v>
      </c>
      <c r="B63" s="312" t="s">
        <v>751</v>
      </c>
      <c r="E63" s="420"/>
      <c r="F63" s="420"/>
      <c r="G63" s="420"/>
      <c r="H63" s="420"/>
      <c r="I63" s="420"/>
      <c r="J63" s="420"/>
      <c r="K63" s="420"/>
      <c r="Q63" s="857"/>
      <c r="R63" s="938"/>
      <c r="U63" s="359"/>
      <c r="V63" s="440"/>
      <c r="W63" s="1169"/>
      <c r="X63" s="359"/>
      <c r="Y63" s="359"/>
    </row>
    <row r="64" spans="1:25">
      <c r="C64" s="312" t="s">
        <v>922</v>
      </c>
      <c r="E64" s="903">
        <v>27451090</v>
      </c>
      <c r="F64" s="420"/>
      <c r="G64" s="420">
        <v>26134611.670000002</v>
      </c>
      <c r="H64" s="420">
        <v>26134611.670000002</v>
      </c>
      <c r="I64" s="903">
        <v>26134611.670000002</v>
      </c>
      <c r="J64" s="420">
        <v>26134611.68</v>
      </c>
      <c r="K64" s="420">
        <v>182802395.5</v>
      </c>
      <c r="L64" s="903">
        <v>154513213.5</v>
      </c>
      <c r="M64" s="903">
        <v>154513213.67000002</v>
      </c>
      <c r="N64" s="903">
        <v>140368622.66999999</v>
      </c>
      <c r="O64" s="903">
        <v>126224031.66999999</v>
      </c>
      <c r="P64" s="1046">
        <f>SUMIF('Trial Balance'!$A:$A,'Detail WBS''1217'!S64,'Trial Balance'!$H:$H)+SUMIF('Trial Balance'!$A:$A,'Detail WBS''1217'!T64,'Trial Balance'!$H:$H)+SUMIF('Trial Balance'!$A:$A,'Detail WBS''1217'!U64,'Trial Balance'!$H:$H)+SUMIF('Trial Balance'!$A:$A,'Detail WBS''1217'!V64,'Trial Balance'!$H:$H)</f>
        <v>0</v>
      </c>
      <c r="Q64" s="857">
        <f>'2016'!J60</f>
        <v>7131900</v>
      </c>
      <c r="R64" s="938">
        <f>(P64-Q64)/Q64</f>
        <v>-1</v>
      </c>
      <c r="S64" t="s">
        <v>1587</v>
      </c>
      <c r="U64" s="359"/>
      <c r="V64" s="440"/>
      <c r="W64" s="1169">
        <v>112079440.53999999</v>
      </c>
      <c r="X64" s="359"/>
      <c r="Y64" s="359"/>
    </row>
    <row r="65" spans="1:23">
      <c r="C65" s="312" t="s">
        <v>923</v>
      </c>
      <c r="E65" s="903">
        <v>69636587.980000004</v>
      </c>
      <c r="F65" s="420">
        <v>58285320.960000001</v>
      </c>
      <c r="G65" s="420">
        <v>53722687.630000003</v>
      </c>
      <c r="H65" s="420">
        <v>49743582.630000003</v>
      </c>
      <c r="I65" s="903">
        <v>45180949.630000003</v>
      </c>
      <c r="J65" s="420">
        <v>39769737.540000007</v>
      </c>
      <c r="K65" s="420">
        <v>36684031.540000007</v>
      </c>
      <c r="L65" s="903">
        <v>33730924.540000007</v>
      </c>
      <c r="M65" s="903">
        <v>61026859.539999992</v>
      </c>
      <c r="N65" s="903">
        <v>77030649.540000007</v>
      </c>
      <c r="O65" s="903">
        <v>71461939.540000007</v>
      </c>
      <c r="P65" s="1046">
        <f>SUMIF('Trial Balance'!$A:$A,'Detail WBS''1217'!S65,'Trial Balance'!$H:$H)+SUMIF('Trial Balance'!$A:$A,'Detail WBS''1217'!T65,'Trial Balance'!$H:$H)+SUMIF('Trial Balance'!$A:$A,'Detail WBS''1217'!U65,'Trial Balance'!$H:$H)+SUMIF('Trial Balance'!$A:$A,'Detail WBS''1217'!V65,'Trial Balance'!$H:$H)</f>
        <v>0</v>
      </c>
      <c r="Q65" s="857">
        <f>'2016'!J61</f>
        <v>67977220.960000008</v>
      </c>
      <c r="R65" s="938">
        <f>(P65-Q65)/Q65</f>
        <v>-1</v>
      </c>
      <c r="S65" t="s">
        <v>1589</v>
      </c>
      <c r="W65" s="344">
        <v>65893229.540000007</v>
      </c>
    </row>
    <row r="66" spans="1:23">
      <c r="C66" s="312" t="s">
        <v>924</v>
      </c>
      <c r="E66" s="903">
        <v>9068000</v>
      </c>
      <c r="F66" s="420">
        <v>9068000</v>
      </c>
      <c r="G66" s="420">
        <v>9068000</v>
      </c>
      <c r="H66" s="420">
        <v>9068000</v>
      </c>
      <c r="I66" s="903">
        <v>9068000</v>
      </c>
      <c r="J66" s="420">
        <v>9068000</v>
      </c>
      <c r="K66" s="420">
        <v>8010067</v>
      </c>
      <c r="L66" s="903">
        <v>7858934</v>
      </c>
      <c r="M66" s="903">
        <v>7707801</v>
      </c>
      <c r="N66" s="903">
        <v>7556668</v>
      </c>
      <c r="O66" s="903">
        <v>7405535</v>
      </c>
      <c r="P66" s="1046">
        <f>SUMIF('Trial Balance'!$A:$A,'Detail WBS''1217'!S66,'Trial Balance'!$H:$H)+SUMIF('Trial Balance'!$A:$A,'Detail WBS''1217'!T66,'Trial Balance'!$H:$H)+SUMIF('Trial Balance'!$A:$A,'Detail WBS''1217'!U66,'Trial Balance'!$H:$H)+SUMIF('Trial Balance'!$A:$A,'Detail WBS''1217'!V66,'Trial Balance'!$H:$H)</f>
        <v>0</v>
      </c>
      <c r="Q66" s="857">
        <f>'2016'!J62</f>
        <v>9068000</v>
      </c>
      <c r="R66" s="938"/>
      <c r="S66" t="s">
        <v>1600</v>
      </c>
      <c r="W66" s="344">
        <v>7254402</v>
      </c>
    </row>
    <row r="67" spans="1:23">
      <c r="C67" s="312" t="s">
        <v>800</v>
      </c>
      <c r="E67" s="903">
        <v>2616842407</v>
      </c>
      <c r="F67" s="420">
        <v>2503066651</v>
      </c>
      <c r="G67" s="420">
        <v>2332403017</v>
      </c>
      <c r="H67" s="420">
        <v>2307397631.6700001</v>
      </c>
      <c r="I67" s="903">
        <v>2307397631.6700001</v>
      </c>
      <c r="J67" s="420">
        <v>2161739383</v>
      </c>
      <c r="K67" s="420">
        <v>2104851505</v>
      </c>
      <c r="L67" s="903">
        <v>2047963627</v>
      </c>
      <c r="M67" s="903">
        <v>1991075749</v>
      </c>
      <c r="N67" s="903">
        <v>2047963627</v>
      </c>
      <c r="O67" s="903">
        <v>1991075749</v>
      </c>
      <c r="P67" s="1046">
        <f>SUMIFS('Trial Balance'!$H:$H,'Trial Balance'!$A:$A,'Detail WBS''1217'!S68,'Trial Balance'!$C:$C,'Detail WBS''1217'!T68)</f>
        <v>0</v>
      </c>
      <c r="Q67" s="857">
        <f>'2016'!J63</f>
        <v>2616842407</v>
      </c>
      <c r="R67" s="938">
        <f t="shared" ref="R67:R74" si="9">(P67-Q67)/Q67</f>
        <v>-1</v>
      </c>
      <c r="S67" t="s">
        <v>1603</v>
      </c>
      <c r="W67" s="344">
        <v>1934187871</v>
      </c>
    </row>
    <row r="68" spans="1:23">
      <c r="C68" s="312" t="s">
        <v>1061</v>
      </c>
      <c r="E68" s="903">
        <v>79127219</v>
      </c>
      <c r="F68" s="420">
        <v>50148147</v>
      </c>
      <c r="G68" s="420">
        <v>43879628</v>
      </c>
      <c r="H68" s="420">
        <v>37611109.600000001</v>
      </c>
      <c r="I68" s="903">
        <v>31342591.200000003</v>
      </c>
      <c r="J68" s="420">
        <v>102748147.14</v>
      </c>
      <c r="K68" s="420">
        <v>89522571.120000005</v>
      </c>
      <c r="L68" s="903">
        <v>56922222.780000001</v>
      </c>
      <c r="M68" s="903">
        <v>70028481.140000001</v>
      </c>
      <c r="N68" s="903">
        <v>134390333.13999999</v>
      </c>
      <c r="O68" s="903">
        <v>217887134.13999999</v>
      </c>
      <c r="P68" s="1046">
        <f>SUMIFS('Trial Balance'!$H:$H,'Trial Balance'!$A:$A,'Detail WBS''1217'!S69,'Trial Balance'!$C:$C,'Detail WBS''1217'!T69)</f>
        <v>0</v>
      </c>
      <c r="Q68" s="925">
        <f>'2016'!J64</f>
        <v>94519543</v>
      </c>
      <c r="R68" s="938">
        <f t="shared" si="9"/>
        <v>-1</v>
      </c>
      <c r="S68" s="1128" t="s">
        <v>1603</v>
      </c>
      <c r="W68" s="344">
        <v>201036338</v>
      </c>
    </row>
    <row r="69" spans="1:23">
      <c r="C69" s="312" t="s">
        <v>1062</v>
      </c>
      <c r="E69" s="903">
        <v>1192046760</v>
      </c>
      <c r="F69" s="420">
        <v>1192046760</v>
      </c>
      <c r="G69" s="420">
        <v>1194265344</v>
      </c>
      <c r="H69" s="420">
        <v>1192046760</v>
      </c>
      <c r="I69" s="903">
        <v>2031105694</v>
      </c>
      <c r="J69" s="420">
        <v>1192046760</v>
      </c>
      <c r="K69" s="420">
        <v>3098986169</v>
      </c>
      <c r="L69" s="903">
        <v>1192046760</v>
      </c>
      <c r="M69" s="903">
        <v>1192046760</v>
      </c>
      <c r="N69" s="903">
        <v>1192046760</v>
      </c>
      <c r="O69" s="903">
        <v>1192046760</v>
      </c>
      <c r="P69" s="1046">
        <f>SUMIF('Trial Balance'!$A:$A,'Detail WBS''1217'!S69,'Trial Balance'!$H:$H)+SUMIF('Trial Balance'!$A:$A,'Detail WBS''1217'!T69,'Trial Balance'!$H:$H)+SUMIF('Trial Balance'!$A:$A,'Detail WBS''1217'!U69,'Trial Balance'!$H:$H)+SUMIF('Trial Balance'!$A:$A,'Detail WBS''1217'!V69,'Trial Balance'!$H:$H)</f>
        <v>0</v>
      </c>
      <c r="Q69" s="925">
        <f>'2016'!J65</f>
        <v>1192046760</v>
      </c>
      <c r="R69" s="938">
        <f t="shared" si="9"/>
        <v>-1</v>
      </c>
      <c r="S69" t="s">
        <v>1612</v>
      </c>
      <c r="W69" s="344">
        <v>1192046760</v>
      </c>
    </row>
    <row r="70" spans="1:23">
      <c r="C70" s="312" t="s">
        <v>801</v>
      </c>
      <c r="E70" s="903">
        <v>7321000</v>
      </c>
      <c r="F70" s="420">
        <v>259883099</v>
      </c>
      <c r="G70" s="420">
        <v>494254677.75</v>
      </c>
      <c r="H70" s="420">
        <f>9316942.51</f>
        <v>9316942.5099999998</v>
      </c>
      <c r="I70" s="903">
        <v>724359976.17999995</v>
      </c>
      <c r="J70" s="420">
        <f>2279076317-0.49</f>
        <v>2279076316.5100002</v>
      </c>
      <c r="K70" s="420">
        <v>1184260614.5</v>
      </c>
      <c r="L70" s="903">
        <v>1763054230.6400001</v>
      </c>
      <c r="M70" s="903">
        <v>1517163127.5900002</v>
      </c>
      <c r="N70" s="903">
        <v>1157751243.5900002</v>
      </c>
      <c r="O70" s="903">
        <v>1761657849.3300002</v>
      </c>
      <c r="P70" s="1046">
        <f>SUMIF('Trial Balance'!$A:$A,'Detail WBS''1217'!S70,'Trial Balance'!$H:$H)+SUMIF('Trial Balance'!$A:$A,'Detail WBS''1217'!T70,'Trial Balance'!$H:$H)+SUMIF('Trial Balance'!$A:$A,'Detail WBS''1217'!U70,'Trial Balance'!$H:$H)+SUMIF('Trial Balance'!$A:$A,'Detail WBS''1217'!V70,'Trial Balance'!$H:$H)</f>
        <v>0</v>
      </c>
      <c r="Q70" s="925">
        <f>'2016'!J66</f>
        <v>29376280</v>
      </c>
      <c r="R70" s="938">
        <f t="shared" si="9"/>
        <v>-1</v>
      </c>
      <c r="S70" t="s">
        <v>1585</v>
      </c>
      <c r="T70" t="s">
        <v>1608</v>
      </c>
      <c r="U70" t="s">
        <v>1610</v>
      </c>
      <c r="V70" t="s">
        <v>1614</v>
      </c>
      <c r="W70" s="344">
        <v>1752894994</v>
      </c>
    </row>
    <row r="71" spans="1:23" ht="14.5">
      <c r="C71" s="312" t="s">
        <v>802</v>
      </c>
      <c r="E71" s="904">
        <v>120274199</v>
      </c>
      <c r="F71" s="442"/>
      <c r="G71" s="442"/>
      <c r="H71" s="442">
        <v>711751576</v>
      </c>
      <c r="I71" s="904"/>
      <c r="J71" s="442">
        <v>1141993420</v>
      </c>
      <c r="K71" s="442"/>
      <c r="L71" s="904">
        <v>1201987864</v>
      </c>
      <c r="M71" s="904">
        <v>1236286581</v>
      </c>
      <c r="N71" s="904">
        <v>1232725431</v>
      </c>
      <c r="O71" s="904">
        <v>1230439431</v>
      </c>
      <c r="P71" s="1048">
        <f>SUMIF('Trial Balance'!$A:$A,'Detail WBS''1217'!S71,'Trial Balance'!$H:$H)+SUMIF('Trial Balance'!$A:$A,'Detail WBS''1217'!T71,'Trial Balance'!$H:$H)+SUMIF('Trial Balance'!$A:$A,'Detail WBS''1217'!U71,'Trial Balance'!$H:$H)+SUMIF('Trial Balance'!$A:$A,'Detail WBS''1217'!V71,'Trial Balance'!$H:$H)</f>
        <v>0</v>
      </c>
      <c r="Q71" s="956">
        <f>'2016'!J67</f>
        <v>123682579</v>
      </c>
      <c r="R71" s="939">
        <f t="shared" si="9"/>
        <v>-1</v>
      </c>
      <c r="S71" s="1152" t="s">
        <v>1916</v>
      </c>
      <c r="T71" s="440"/>
      <c r="U71" s="359"/>
      <c r="V71" s="440"/>
      <c r="W71" s="344">
        <v>1240867431</v>
      </c>
    </row>
    <row r="72" spans="1:23">
      <c r="D72" s="943" t="s">
        <v>947</v>
      </c>
      <c r="E72" s="852">
        <f>SUM(E64:E71)</f>
        <v>4121767262.98</v>
      </c>
      <c r="F72" s="852">
        <f t="shared" ref="F72:M72" si="10">SUM(F64:F71)</f>
        <v>4072497977.96</v>
      </c>
      <c r="G72" s="852">
        <f t="shared" si="10"/>
        <v>4153727966.0500002</v>
      </c>
      <c r="H72" s="852">
        <f t="shared" si="10"/>
        <v>4343070214.0799999</v>
      </c>
      <c r="I72" s="957">
        <f t="shared" si="10"/>
        <v>5174589454.3500004</v>
      </c>
      <c r="J72" s="852">
        <f t="shared" si="10"/>
        <v>6952576375.8699999</v>
      </c>
      <c r="K72" s="852">
        <f t="shared" si="10"/>
        <v>6705117353.6599998</v>
      </c>
      <c r="L72" s="957">
        <f t="shared" si="10"/>
        <v>6458077776.46</v>
      </c>
      <c r="M72" s="957">
        <f t="shared" si="10"/>
        <v>6229848572.9400005</v>
      </c>
      <c r="N72" s="957">
        <f>SUM(N64:N71)</f>
        <v>5989833334.9400005</v>
      </c>
      <c r="O72" s="957">
        <v>6598198429.6800003</v>
      </c>
      <c r="P72" s="1052">
        <f>SUM(P64:P71)</f>
        <v>0</v>
      </c>
      <c r="Q72" s="420">
        <f t="shared" ref="Q72" si="11">SUM(Q64:Q71)</f>
        <v>4140644689.96</v>
      </c>
      <c r="R72" s="938">
        <f t="shared" si="9"/>
        <v>-1</v>
      </c>
      <c r="S72" s="359"/>
      <c r="T72" s="994"/>
      <c r="U72" s="359"/>
      <c r="V72" s="440"/>
      <c r="W72" s="344">
        <v>6506260466.0799999</v>
      </c>
    </row>
    <row r="73" spans="1:23">
      <c r="A73" s="312" t="s">
        <v>975</v>
      </c>
      <c r="B73" s="312" t="s">
        <v>752</v>
      </c>
      <c r="E73" s="420">
        <f>ROUND(1141716065.44,0)</f>
        <v>1141716065</v>
      </c>
      <c r="F73" s="420">
        <v>1186265552.0700002</v>
      </c>
      <c r="G73" s="420">
        <v>1234970307.1900001</v>
      </c>
      <c r="H73" s="420">
        <v>1096734736</v>
      </c>
      <c r="I73" s="420">
        <v>1096734736</v>
      </c>
      <c r="J73" s="420">
        <v>1096734736</v>
      </c>
      <c r="K73" s="420">
        <v>1096734736</v>
      </c>
      <c r="L73" s="420">
        <v>1096734736</v>
      </c>
      <c r="M73" s="420">
        <v>1096734736</v>
      </c>
      <c r="N73" s="420">
        <v>1096734736</v>
      </c>
      <c r="O73" s="420">
        <v>1096734736</v>
      </c>
      <c r="P73" s="1046">
        <f>SUMIF('Trial Balance'!$A:$A,'Detail WBS''1217'!S73,'Trial Balance'!$H:$H)+SUMIF('Trial Balance'!$A:$A,'Detail WBS''1217'!T73,'Trial Balance'!$H:$H)+SUMIF('Trial Balance'!$A:$A,'Detail WBS''1217'!U73,'Trial Balance'!$H:$H)+SUMIF('Trial Balance'!$A:$A,'Detail WBS''1217'!V73,'Trial Balance'!$H:$H)</f>
        <v>0</v>
      </c>
      <c r="Q73" s="432">
        <f>'2016'!J69</f>
        <v>0</v>
      </c>
      <c r="R73" s="938">
        <v>1</v>
      </c>
      <c r="S73" t="s">
        <v>1623</v>
      </c>
      <c r="T73" s="359"/>
      <c r="U73" s="359"/>
      <c r="V73" s="440"/>
      <c r="W73" s="344">
        <v>1096734736</v>
      </c>
    </row>
    <row r="74" spans="1:23">
      <c r="A74" s="312" t="s">
        <v>966</v>
      </c>
      <c r="B74" s="312" t="s">
        <v>753</v>
      </c>
      <c r="E74" s="420">
        <v>1595015775</v>
      </c>
      <c r="F74" s="420">
        <v>1595015775</v>
      </c>
      <c r="G74" s="420">
        <v>1956832177</v>
      </c>
      <c r="H74" s="420">
        <v>1829602677</v>
      </c>
      <c r="I74" s="420">
        <v>1829602677</v>
      </c>
      <c r="J74" s="420">
        <v>1829602677</v>
      </c>
      <c r="K74" s="420">
        <v>1829602677</v>
      </c>
      <c r="L74" s="420">
        <v>1829602677</v>
      </c>
      <c r="M74" s="420">
        <v>1788001927</v>
      </c>
      <c r="N74" s="420">
        <v>1788001927</v>
      </c>
      <c r="O74" s="420">
        <v>1788001927</v>
      </c>
      <c r="P74" s="1046">
        <f>SUMIF('Trial Balance'!$A:$A,'Detail WBS''1217'!S74,'Trial Balance'!$H:$H)+SUMIF('Trial Balance'!$A:$A,'Detail WBS''1217'!T74,'Trial Balance'!$H:$H)+SUMIF('Trial Balance'!$A:$A,'Detail WBS''1217'!U74,'Trial Balance'!$H:$H)+SUMIF('Trial Balance'!$A:$A,'Detail WBS''1217'!V74,'Trial Balance'!$H:$H)</f>
        <v>0</v>
      </c>
      <c r="Q74" s="432">
        <f>'2016'!J70</f>
        <v>1595015775.0329108</v>
      </c>
      <c r="R74" s="938">
        <f t="shared" si="9"/>
        <v>-1</v>
      </c>
      <c r="S74" s="921" t="s">
        <v>1625</v>
      </c>
      <c r="T74" s="921" t="s">
        <v>1645</v>
      </c>
      <c r="U74" s="1108"/>
      <c r="V74" s="440"/>
      <c r="W74" s="344">
        <v>1788001927</v>
      </c>
    </row>
    <row r="75" spans="1:23">
      <c r="A75" s="312" t="s">
        <v>967</v>
      </c>
      <c r="B75" s="312" t="s">
        <v>756</v>
      </c>
      <c r="E75" s="420"/>
      <c r="F75" s="420"/>
      <c r="G75" s="420"/>
      <c r="H75" s="420"/>
      <c r="I75" s="420"/>
      <c r="J75" s="420"/>
      <c r="K75" s="420"/>
      <c r="R75" s="938"/>
    </row>
    <row r="76" spans="1:23">
      <c r="C76" s="265" t="s">
        <v>805</v>
      </c>
      <c r="E76" s="420"/>
      <c r="F76" s="420"/>
      <c r="G76" s="420"/>
      <c r="H76" s="420"/>
      <c r="I76" s="420"/>
      <c r="J76" s="420"/>
      <c r="K76" s="420"/>
      <c r="Q76" s="857"/>
      <c r="R76" s="938"/>
    </row>
    <row r="77" spans="1:23">
      <c r="C77" s="958"/>
      <c r="D77" s="312" t="s">
        <v>807</v>
      </c>
      <c r="E77" s="420">
        <v>316913500</v>
      </c>
      <c r="F77" s="420">
        <v>316913500</v>
      </c>
      <c r="G77" s="420">
        <v>316913500</v>
      </c>
      <c r="H77" s="420">
        <v>316913500</v>
      </c>
      <c r="I77" s="420">
        <v>316913500</v>
      </c>
      <c r="J77" s="420">
        <v>316913500</v>
      </c>
      <c r="K77" s="420">
        <v>316913500</v>
      </c>
      <c r="L77" s="420">
        <v>316913500</v>
      </c>
      <c r="M77" s="420">
        <v>316913500</v>
      </c>
      <c r="N77" s="420">
        <v>316913500</v>
      </c>
      <c r="O77" s="420">
        <v>316913500</v>
      </c>
      <c r="P77" s="1046">
        <f>SUMIFS('Trial Balance'!$H:$H,'Trial Balance'!$A:$A,'Detail WBS''1217'!S78,'Trial Balance'!$C:$C,'Detail WBS''1217'!T78)</f>
        <v>0</v>
      </c>
      <c r="Q77" s="432">
        <f>'2016'!J73</f>
        <v>316913500</v>
      </c>
      <c r="R77" s="938">
        <f>(P77-Q77)/Q77</f>
        <v>-1</v>
      </c>
      <c r="S77" s="1172" t="s">
        <v>1576</v>
      </c>
      <c r="W77" s="344">
        <v>316913500</v>
      </c>
    </row>
    <row r="78" spans="1:23">
      <c r="D78" s="265" t="s">
        <v>808</v>
      </c>
      <c r="E78" s="432">
        <v>1188265898</v>
      </c>
      <c r="F78" s="432">
        <v>1188265898</v>
      </c>
      <c r="G78" s="432">
        <v>1234735273</v>
      </c>
      <c r="H78" s="432">
        <v>1234735273</v>
      </c>
      <c r="I78" s="432">
        <v>1234735273</v>
      </c>
      <c r="J78" s="432">
        <v>1234735273</v>
      </c>
      <c r="K78" s="432">
        <v>1237754142</v>
      </c>
      <c r="L78" s="432">
        <v>1237754142</v>
      </c>
      <c r="M78" s="432">
        <v>1237754142</v>
      </c>
      <c r="N78" s="432">
        <v>1237754142</v>
      </c>
      <c r="O78" s="432">
        <v>1384754142</v>
      </c>
      <c r="P78" s="1046">
        <f>SUMIFS('Trial Balance'!$H:$H,'Trial Balance'!$A:$A,'Detail WBS''1217'!S79,'Trial Balance'!$C:$C,'Detail WBS''1217'!T79)</f>
        <v>0</v>
      </c>
      <c r="Q78" s="432">
        <f>'2016'!J74</f>
        <v>1238335273</v>
      </c>
      <c r="R78" s="938">
        <f>(P78-Q78)/Q78</f>
        <v>-1</v>
      </c>
      <c r="S78" s="1171" t="s">
        <v>1576</v>
      </c>
      <c r="T78" t="s">
        <v>1569</v>
      </c>
      <c r="W78" s="344">
        <v>1384754142</v>
      </c>
    </row>
    <row r="79" spans="1:23">
      <c r="D79" s="265" t="s">
        <v>809</v>
      </c>
      <c r="E79" s="432">
        <v>3750000</v>
      </c>
      <c r="F79" s="432">
        <v>3750000</v>
      </c>
      <c r="G79" s="432">
        <v>3750000</v>
      </c>
      <c r="H79" s="432">
        <v>3750000</v>
      </c>
      <c r="I79" s="432">
        <v>3750000</v>
      </c>
      <c r="J79" s="432">
        <v>3750000</v>
      </c>
      <c r="K79" s="432">
        <v>3750000</v>
      </c>
      <c r="L79" s="432">
        <v>3750000</v>
      </c>
      <c r="M79" s="432">
        <v>3750000</v>
      </c>
      <c r="N79" s="432">
        <v>3750000</v>
      </c>
      <c r="O79" s="432">
        <v>3750000</v>
      </c>
      <c r="P79" s="1046">
        <f>SUMIFS('Trial Balance'!$H:$H,'Trial Balance'!$A:$A,'Detail WBS''1217'!S80,'Trial Balance'!$C:$C,'Detail WBS''1217'!T80)</f>
        <v>0</v>
      </c>
      <c r="Q79" s="432"/>
      <c r="R79" s="938">
        <v>1</v>
      </c>
      <c r="S79" t="s">
        <v>1573</v>
      </c>
      <c r="W79" s="344">
        <v>3750000</v>
      </c>
    </row>
    <row r="80" spans="1:23">
      <c r="D80" s="265" t="s">
        <v>806</v>
      </c>
      <c r="E80" s="432"/>
      <c r="F80" s="432"/>
      <c r="G80" s="432"/>
      <c r="H80" s="432"/>
      <c r="I80" s="432"/>
      <c r="J80" s="432"/>
      <c r="K80" s="432"/>
      <c r="L80" s="432"/>
      <c r="M80" s="432"/>
      <c r="N80" s="432"/>
      <c r="O80" s="432"/>
      <c r="P80" s="1052"/>
      <c r="Q80" s="432"/>
      <c r="R80" s="938"/>
    </row>
    <row r="81" spans="1:31">
      <c r="D81" s="265" t="s">
        <v>810</v>
      </c>
      <c r="E81" s="432">
        <v>52929375</v>
      </c>
      <c r="F81" s="432">
        <v>49329375</v>
      </c>
      <c r="G81" s="432">
        <v>753441219</v>
      </c>
      <c r="H81" s="432">
        <v>753441219</v>
      </c>
      <c r="I81" s="432">
        <v>753441219</v>
      </c>
      <c r="J81" s="432">
        <v>792243467</v>
      </c>
      <c r="K81" s="432">
        <v>792575279</v>
      </c>
      <c r="L81" s="432">
        <v>812783491</v>
      </c>
      <c r="M81" s="432">
        <v>3460000</v>
      </c>
      <c r="N81" s="432">
        <v>3460000</v>
      </c>
      <c r="O81" s="432">
        <v>3460000</v>
      </c>
      <c r="P81" s="1046">
        <f>SUMIFS('Trial Balance'!$H:$H,'Trial Balance'!$A:$A,'Detail WBS''1217'!S82,'Trial Balance'!$C:$C,'Detail WBS''1217'!T82)</f>
        <v>0</v>
      </c>
      <c r="Q81" s="445"/>
      <c r="R81" s="938">
        <v>1</v>
      </c>
      <c r="S81" s="1128" t="s">
        <v>1573</v>
      </c>
      <c r="W81" s="344">
        <v>3460000</v>
      </c>
    </row>
    <row r="82" spans="1:31">
      <c r="C82" s="265" t="s">
        <v>1060</v>
      </c>
      <c r="E82" s="442"/>
      <c r="F82" s="442"/>
      <c r="G82" s="442"/>
      <c r="H82" s="442"/>
      <c r="I82" s="442"/>
      <c r="J82" s="442"/>
      <c r="K82" s="442"/>
      <c r="L82" s="442"/>
      <c r="M82" s="442">
        <v>977443847</v>
      </c>
      <c r="N82" s="442">
        <v>1185893388</v>
      </c>
      <c r="O82" s="442">
        <v>1761092619</v>
      </c>
      <c r="P82" s="1048">
        <f>SUMIF('Trial Balance'!$A:$A,'Detail WBS''1217'!S82,'Trial Balance'!$H:$H)+SUMIF('Trial Balance'!$A:$A,'Detail WBS''1217'!T82,'Trial Balance'!$H:$H)+SUMIF('Trial Balance'!$A:$A,'Detail WBS''1217'!U82,'Trial Balance'!$H:$H)+SUMIF('Trial Balance'!$A:$A,'Detail WBS''1217'!V82,'Trial Balance'!$H:$H)</f>
        <v>0</v>
      </c>
      <c r="Q82" s="446">
        <f>'2016'!J77</f>
        <v>85860000</v>
      </c>
      <c r="R82" s="939">
        <f>(P82-Q82)/Q82</f>
        <v>-1</v>
      </c>
      <c r="S82" s="921" t="s">
        <v>1629</v>
      </c>
      <c r="T82" s="921" t="s">
        <v>1631</v>
      </c>
      <c r="W82" s="344">
        <v>1576254452</v>
      </c>
    </row>
    <row r="83" spans="1:31">
      <c r="D83" s="959" t="s">
        <v>948</v>
      </c>
      <c r="E83" s="420">
        <f t="shared" ref="E83:M83" si="12">SUM(E77:E82)</f>
        <v>1561858773</v>
      </c>
      <c r="F83" s="420">
        <f t="shared" si="12"/>
        <v>1558258773</v>
      </c>
      <c r="G83" s="420">
        <f t="shared" si="12"/>
        <v>2308839992</v>
      </c>
      <c r="H83" s="420">
        <f t="shared" si="12"/>
        <v>2308839992</v>
      </c>
      <c r="I83" s="420">
        <f t="shared" si="12"/>
        <v>2308839992</v>
      </c>
      <c r="J83" s="420">
        <f t="shared" si="12"/>
        <v>2347642240</v>
      </c>
      <c r="K83" s="420">
        <f t="shared" si="12"/>
        <v>2350992921</v>
      </c>
      <c r="L83" s="420">
        <f t="shared" si="12"/>
        <v>2371201133</v>
      </c>
      <c r="M83" s="420">
        <f t="shared" si="12"/>
        <v>2539321489</v>
      </c>
      <c r="N83" s="420">
        <f>SUM(N77:N82)</f>
        <v>2747771030</v>
      </c>
      <c r="O83" s="420">
        <v>3469970261</v>
      </c>
      <c r="P83" s="842">
        <f>SUM(P77:P82)</f>
        <v>0</v>
      </c>
      <c r="Q83" s="420">
        <f>SUM(Q77:Q82)</f>
        <v>1641108773</v>
      </c>
      <c r="R83" s="938">
        <f>(P83-Q83)/Q83</f>
        <v>-1</v>
      </c>
      <c r="W83" s="344">
        <v>3285132094</v>
      </c>
    </row>
    <row r="84" spans="1:31">
      <c r="A84" s="312" t="s">
        <v>968</v>
      </c>
      <c r="B84" s="312" t="s">
        <v>957</v>
      </c>
      <c r="D84" s="265"/>
      <c r="E84" s="432"/>
      <c r="F84" s="432"/>
      <c r="G84" s="432"/>
      <c r="H84" s="432"/>
      <c r="I84" s="432"/>
      <c r="J84" s="432"/>
      <c r="K84" s="432"/>
      <c r="L84" s="432"/>
      <c r="M84" s="432"/>
      <c r="N84" s="432"/>
      <c r="O84" s="432"/>
      <c r="P84" s="842"/>
      <c r="Q84" s="432"/>
      <c r="R84" s="938"/>
    </row>
    <row r="85" spans="1:31">
      <c r="B85" s="359"/>
      <c r="C85" s="359"/>
      <c r="D85" s="359"/>
      <c r="E85" s="440"/>
      <c r="F85" s="440"/>
      <c r="G85" s="440"/>
      <c r="H85" s="440"/>
      <c r="I85" s="440"/>
      <c r="J85" s="440"/>
      <c r="K85" s="440"/>
      <c r="L85" s="440"/>
      <c r="M85" s="440"/>
      <c r="N85" s="440"/>
      <c r="O85" s="440"/>
      <c r="P85" s="1054"/>
      <c r="Q85" s="961"/>
      <c r="R85" s="938"/>
      <c r="S85" s="346"/>
      <c r="U85" s="359"/>
      <c r="V85" s="440"/>
      <c r="W85" s="1170"/>
      <c r="X85" s="963"/>
      <c r="Y85" s="906"/>
      <c r="Z85" s="962"/>
      <c r="AA85" s="964"/>
      <c r="AB85" s="359"/>
    </row>
    <row r="86" spans="1:31">
      <c r="B86" s="359" t="s">
        <v>754</v>
      </c>
      <c r="C86" s="359"/>
      <c r="D86" s="359"/>
      <c r="E86" s="440"/>
      <c r="F86" s="440"/>
      <c r="G86" s="440"/>
      <c r="H86" s="440"/>
      <c r="I86" s="440"/>
      <c r="J86" s="440"/>
      <c r="K86" s="440"/>
      <c r="L86" s="440"/>
      <c r="M86" s="440"/>
      <c r="N86" s="440"/>
      <c r="O86" s="440"/>
      <c r="P86" s="1053"/>
      <c r="Q86" s="440"/>
      <c r="R86" s="938"/>
      <c r="U86" s="359"/>
      <c r="V86" s="440"/>
      <c r="W86" s="1169"/>
      <c r="X86" s="347"/>
      <c r="Y86" s="347"/>
      <c r="Z86" s="347"/>
      <c r="AA86" s="965"/>
      <c r="AB86" s="359"/>
    </row>
    <row r="87" spans="1:31">
      <c r="B87" s="359"/>
      <c r="C87" s="359" t="s">
        <v>803</v>
      </c>
      <c r="D87" s="359"/>
      <c r="E87" s="440">
        <v>6342752256.1999998</v>
      </c>
      <c r="F87" s="440">
        <v>6342752256.1999998</v>
      </c>
      <c r="G87" s="440">
        <v>6342752256.1999998</v>
      </c>
      <c r="H87" s="440">
        <v>6342752256.1999998</v>
      </c>
      <c r="I87" s="440">
        <v>6342752256</v>
      </c>
      <c r="J87" s="440">
        <v>6363752256</v>
      </c>
      <c r="K87" s="440">
        <v>6363752256</v>
      </c>
      <c r="L87" s="440">
        <v>6418361125</v>
      </c>
      <c r="M87" s="440">
        <v>6418361125.1999998</v>
      </c>
      <c r="N87" s="440">
        <v>6418361125.1999998</v>
      </c>
      <c r="O87" s="440">
        <v>6418361125.1999998</v>
      </c>
      <c r="P87" s="1046">
        <f>SUMIFS('Trial Balance'!$H:$H,'Trial Balance'!$A:$A,'Detail WBS''1217'!S88,'Trial Balance'!$C:$C,'Detail WBS''1217'!T88)</f>
        <v>0</v>
      </c>
      <c r="Q87" s="440">
        <f>'2016'!J81</f>
        <v>6342752256.1999998</v>
      </c>
      <c r="R87" s="938">
        <f t="shared" ref="R87:R99" si="13">(P87-Q87)/Q87</f>
        <v>-1</v>
      </c>
      <c r="S87" t="s">
        <v>1532</v>
      </c>
      <c r="T87" s="386"/>
      <c r="U87" s="994"/>
      <c r="V87" s="440"/>
      <c r="W87" s="1169">
        <v>6418361125.1999998</v>
      </c>
      <c r="X87" s="347"/>
      <c r="Y87" s="347"/>
      <c r="Z87" s="347"/>
      <c r="AA87" s="965"/>
      <c r="AB87" s="869"/>
    </row>
    <row r="88" spans="1:31">
      <c r="B88" s="359"/>
      <c r="C88" s="926" t="s">
        <v>689</v>
      </c>
      <c r="D88" s="359"/>
      <c r="E88" s="440">
        <v>3107100000</v>
      </c>
      <c r="F88" s="440">
        <v>3107100000</v>
      </c>
      <c r="G88" s="440">
        <v>3107100000</v>
      </c>
      <c r="H88" s="440">
        <v>3107100000</v>
      </c>
      <c r="I88" s="440">
        <v>3107100000</v>
      </c>
      <c r="J88" s="440">
        <v>3107100000</v>
      </c>
      <c r="K88" s="440">
        <v>3107100000</v>
      </c>
      <c r="L88" s="440">
        <v>3107100000</v>
      </c>
      <c r="M88" s="440">
        <v>3107100000</v>
      </c>
      <c r="N88" s="440">
        <v>3106921715</v>
      </c>
      <c r="O88" s="440">
        <v>3107100000</v>
      </c>
      <c r="P88" s="1046">
        <f>SUMIF('Trial Balance'!$A:$A,'Detail WBS''1217'!S88,'Trial Balance'!$H:$H)+SUMIF('Trial Balance'!$A:$A,'Detail WBS''1217'!T88,'Trial Balance'!$H:$H)+SUMIF('Trial Balance'!$A:$A,'Detail WBS''1217'!U88,'Trial Balance'!$H:$H)+SUMIF('Trial Balance'!$A:$A,'Detail WBS''1217'!V88,'Trial Balance'!$H:$H)</f>
        <v>0</v>
      </c>
      <c r="Q88" s="440">
        <f>'2016'!J82</f>
        <v>3107100000</v>
      </c>
      <c r="R88" s="938">
        <f t="shared" si="13"/>
        <v>-1</v>
      </c>
      <c r="S88" t="s">
        <v>1529</v>
      </c>
      <c r="T88" s="386"/>
      <c r="U88" s="994"/>
      <c r="V88" s="445"/>
      <c r="W88" s="1169">
        <v>3107100000</v>
      </c>
      <c r="X88" s="347"/>
      <c r="Y88" s="347"/>
      <c r="Z88" s="347"/>
      <c r="AA88" s="965"/>
      <c r="AB88" s="869"/>
    </row>
    <row r="89" spans="1:31">
      <c r="B89" s="359"/>
      <c r="C89" s="926" t="s">
        <v>933</v>
      </c>
      <c r="D89" s="359"/>
      <c r="E89" s="440">
        <v>2174732990.8000002</v>
      </c>
      <c r="F89" s="440">
        <v>2178802990.8000002</v>
      </c>
      <c r="G89" s="440">
        <v>3114738462.8000002</v>
      </c>
      <c r="H89" s="440">
        <v>2750901212.8000002</v>
      </c>
      <c r="I89" s="440">
        <v>2758215212.8000002</v>
      </c>
      <c r="J89" s="440">
        <v>2801671882.8000002</v>
      </c>
      <c r="K89" s="440">
        <v>2801671882.8000002</v>
      </c>
      <c r="L89" s="440">
        <v>2805746648.8000002</v>
      </c>
      <c r="M89" s="440">
        <v>2812835367.8000002</v>
      </c>
      <c r="N89" s="440">
        <v>2812835367.8000002</v>
      </c>
      <c r="O89" s="440">
        <v>2834510367.8000002</v>
      </c>
      <c r="P89" s="1046">
        <f>SUMIF('Trial Balance'!$A:$A,'Detail WBS''1217'!S89,'Trial Balance'!$H:$H)+SUMIF('Trial Balance'!$A:$A,'Detail WBS''1217'!T89,'Trial Balance'!$H:$H)+SUMIF('Trial Balance'!$A:$A,'Detail WBS''1217'!U89,'Trial Balance'!$H:$H)+SUMIF('Trial Balance'!$A:$A,'Detail WBS''1217'!V89,'Trial Balance'!$H:$H)</f>
        <v>0</v>
      </c>
      <c r="Q89" s="440">
        <f>'2016'!J83</f>
        <v>2747988612.8000002</v>
      </c>
      <c r="R89" s="938">
        <f t="shared" si="13"/>
        <v>-1</v>
      </c>
      <c r="S89" t="s">
        <v>1527</v>
      </c>
      <c r="T89" s="386"/>
      <c r="U89" s="994"/>
      <c r="V89" s="445"/>
      <c r="W89" s="1169">
        <v>2844610368.8000002</v>
      </c>
      <c r="X89" s="347"/>
      <c r="Y89" s="347"/>
      <c r="Z89" s="347"/>
      <c r="AA89" s="965"/>
      <c r="AB89" s="869"/>
    </row>
    <row r="90" spans="1:31">
      <c r="B90" s="359"/>
      <c r="C90" s="926" t="s">
        <v>934</v>
      </c>
      <c r="D90" s="359"/>
      <c r="E90" s="440">
        <v>935935472</v>
      </c>
      <c r="F90" s="440">
        <v>934778072</v>
      </c>
      <c r="G90" s="440"/>
      <c r="H90" s="440">
        <v>362679850</v>
      </c>
      <c r="I90" s="440">
        <v>496458565</v>
      </c>
      <c r="J90" s="440">
        <v>496458565</v>
      </c>
      <c r="K90" s="440">
        <v>496458565</v>
      </c>
      <c r="L90" s="440">
        <v>496458565</v>
      </c>
      <c r="M90" s="440">
        <v>496458565</v>
      </c>
      <c r="N90" s="440">
        <v>496458565</v>
      </c>
      <c r="O90" s="440">
        <v>496458565</v>
      </c>
      <c r="P90" s="1046">
        <f>SUMIFS('Trial Balance'!$H:$H,'Trial Balance'!$A:$A,'Detail WBS''1217'!S91,'Trial Balance'!$C:$C,'Detail WBS''1217'!T91)</f>
        <v>0</v>
      </c>
      <c r="Q90" s="440">
        <f>'2016'!J84</f>
        <v>362679850</v>
      </c>
      <c r="R90" s="938">
        <f t="shared" si="13"/>
        <v>-1</v>
      </c>
      <c r="S90" s="1128" t="s">
        <v>1532</v>
      </c>
      <c r="T90" s="386"/>
      <c r="U90" s="994"/>
      <c r="V90" s="445"/>
      <c r="W90" s="1169">
        <v>503918565</v>
      </c>
      <c r="X90" s="347"/>
      <c r="Y90" s="347"/>
      <c r="Z90" s="347"/>
      <c r="AA90" s="965"/>
      <c r="AB90" s="869"/>
    </row>
    <row r="91" spans="1:31">
      <c r="B91" s="359"/>
      <c r="C91" s="926" t="s">
        <v>804</v>
      </c>
      <c r="D91" s="359"/>
      <c r="E91" s="440">
        <v>1516900000</v>
      </c>
      <c r="F91" s="440">
        <v>1516900000</v>
      </c>
      <c r="G91" s="440">
        <v>1516900000</v>
      </c>
      <c r="H91" s="440">
        <v>1516900000</v>
      </c>
      <c r="I91" s="440">
        <v>1516900000</v>
      </c>
      <c r="J91" s="440">
        <v>1516900000</v>
      </c>
      <c r="K91" s="440">
        <v>1516900000</v>
      </c>
      <c r="L91" s="440">
        <v>1516900000</v>
      </c>
      <c r="M91" s="440">
        <v>1516900000</v>
      </c>
      <c r="N91" s="440">
        <v>2122078285</v>
      </c>
      <c r="O91" s="440">
        <v>2121900000</v>
      </c>
      <c r="P91" s="1046">
        <f>SUMIF('Trial Balance'!$A:$A,'Detail WBS''1217'!S91,'Trial Balance'!$H:$H)+SUMIF('Trial Balance'!$A:$A,'Detail WBS''1217'!T91,'Trial Balance'!$H:$H)+SUMIF('Trial Balance'!$A:$A,'Detail WBS''1217'!U91,'Trial Balance'!$H:$H)+SUMIF('Trial Balance'!$A:$A,'Detail WBS''1217'!V91,'Trial Balance'!$H:$H)</f>
        <v>0</v>
      </c>
      <c r="Q91" s="442">
        <f>'2016'!J85</f>
        <v>1516900000</v>
      </c>
      <c r="R91" s="939">
        <f t="shared" si="13"/>
        <v>-1</v>
      </c>
      <c r="S91" t="s">
        <v>1546</v>
      </c>
      <c r="T91" s="386"/>
      <c r="U91" s="994"/>
      <c r="V91" s="445"/>
      <c r="W91" s="1169">
        <v>2121900000</v>
      </c>
      <c r="X91" s="347"/>
      <c r="Y91" s="347"/>
      <c r="Z91" s="347"/>
      <c r="AA91" s="965"/>
      <c r="AB91" s="869"/>
    </row>
    <row r="92" spans="1:31">
      <c r="B92" s="359"/>
      <c r="C92" s="926"/>
      <c r="D92" s="966" t="s">
        <v>943</v>
      </c>
      <c r="E92" s="967">
        <f>SUM(E87:E91)</f>
        <v>14077420719</v>
      </c>
      <c r="F92" s="967">
        <f t="shared" ref="F92:Q92" si="14">SUM(F87:F91)</f>
        <v>14080333319</v>
      </c>
      <c r="G92" s="967">
        <f t="shared" si="14"/>
        <v>14081490719</v>
      </c>
      <c r="H92" s="967">
        <f t="shared" si="14"/>
        <v>14080333319</v>
      </c>
      <c r="I92" s="967">
        <f t="shared" si="14"/>
        <v>14221426033.799999</v>
      </c>
      <c r="J92" s="967">
        <f t="shared" si="14"/>
        <v>14285882703.799999</v>
      </c>
      <c r="K92" s="967">
        <f t="shared" si="14"/>
        <v>14285882703.799999</v>
      </c>
      <c r="L92" s="967">
        <f t="shared" si="14"/>
        <v>14344566338.799999</v>
      </c>
      <c r="M92" s="967">
        <f t="shared" si="14"/>
        <v>14351655058</v>
      </c>
      <c r="N92" s="967">
        <f t="shared" si="14"/>
        <v>14956655058</v>
      </c>
      <c r="O92" s="967">
        <v>14978330058</v>
      </c>
      <c r="P92" s="1055">
        <f t="shared" si="14"/>
        <v>0</v>
      </c>
      <c r="Q92" s="440">
        <f t="shared" si="14"/>
        <v>14077420719</v>
      </c>
      <c r="R92" s="938">
        <f t="shared" si="13"/>
        <v>-1</v>
      </c>
      <c r="U92" s="869"/>
      <c r="V92" s="445"/>
      <c r="W92" s="1169">
        <v>14995890059</v>
      </c>
      <c r="X92" s="347"/>
      <c r="Y92" s="347"/>
      <c r="Z92" s="347"/>
      <c r="AA92" s="965"/>
      <c r="AB92" s="359"/>
    </row>
    <row r="93" spans="1:31">
      <c r="B93" s="359"/>
      <c r="C93" s="359" t="s">
        <v>811</v>
      </c>
      <c r="D93" s="359"/>
      <c r="E93" s="440">
        <v>3505953946.4499998</v>
      </c>
      <c r="F93" s="440">
        <v>3594558331.4499998</v>
      </c>
      <c r="G93" s="440">
        <v>3683162716.4499998</v>
      </c>
      <c r="H93" s="440">
        <v>3771767101.4499998</v>
      </c>
      <c r="I93" s="440">
        <v>3860371486</v>
      </c>
      <c r="J93" s="440">
        <v>3953542853.3800001</v>
      </c>
      <c r="K93" s="440">
        <v>4044091342.3800001</v>
      </c>
      <c r="L93" s="440">
        <v>4138699103.3800001</v>
      </c>
      <c r="M93" s="440">
        <v>4227329120.8299999</v>
      </c>
      <c r="N93" s="440">
        <v>4234330595.8299999</v>
      </c>
      <c r="O93" s="440">
        <v>4412718215.8299999</v>
      </c>
      <c r="P93" s="1046">
        <f>-SUMIF('Trial Balance'!$A:$A,'Detail WBS''1217'!S93,'Trial Balance'!$H:$H)-SUMIF('Trial Balance'!$A:$A,'Detail WBS''1217'!T93,'Trial Balance'!$H:$H)-SUMIF('Trial Balance'!$A:$A,'Detail WBS''1217'!U93,'Trial Balance'!$H:$H)-SUMIF('Trial Balance'!$A:$A,'Detail WBS''1217'!V93,'Trial Balance'!$H:$H)</f>
        <v>0</v>
      </c>
      <c r="Q93" s="445">
        <f>'2016'!J87</f>
        <v>3416523519.4499998</v>
      </c>
      <c r="R93" s="938">
        <f t="shared" si="13"/>
        <v>-1</v>
      </c>
      <c r="S93" t="s">
        <v>1553</v>
      </c>
      <c r="T93" s="386"/>
      <c r="U93" s="440"/>
      <c r="V93" s="440"/>
      <c r="W93" s="1169">
        <v>4502605721.8299999</v>
      </c>
      <c r="X93" s="968"/>
      <c r="Y93" s="347"/>
      <c r="Z93" s="347"/>
      <c r="AA93" s="965"/>
      <c r="AB93" s="359"/>
      <c r="AE93" s="386"/>
    </row>
    <row r="94" spans="1:31">
      <c r="B94" s="359"/>
      <c r="C94" s="926" t="s">
        <v>812</v>
      </c>
      <c r="D94" s="359"/>
      <c r="E94" s="440">
        <v>2452316664.9299998</v>
      </c>
      <c r="F94" s="440">
        <v>2492476664.9299998</v>
      </c>
      <c r="G94" s="440">
        <v>2532636664.9299998</v>
      </c>
      <c r="H94" s="440">
        <v>2572796664.9299998</v>
      </c>
      <c r="I94" s="440">
        <v>2612956665</v>
      </c>
      <c r="J94" s="440">
        <v>2653116665</v>
      </c>
      <c r="K94" s="440">
        <v>2693276665</v>
      </c>
      <c r="L94" s="440">
        <v>2733436665</v>
      </c>
      <c r="M94" s="440">
        <v>2773596664.9299998</v>
      </c>
      <c r="N94" s="440">
        <v>2813756664.9299998</v>
      </c>
      <c r="O94" s="440">
        <v>2853916664.9299998</v>
      </c>
      <c r="P94" s="1046">
        <f>-SUMIF('Trial Balance'!$A:$A,'Detail WBS''1217'!S94,'Trial Balance'!$H:$H)-SUMIF('Trial Balance'!$A:$A,'Detail WBS''1217'!T94,'Trial Balance'!$H:$H)-SUMIF('Trial Balance'!$A:$A,'Detail WBS''1217'!U94,'Trial Balance'!$H:$H)-SUMIF('Trial Balance'!$A:$A,'Detail WBS''1217'!V94,'Trial Balance'!$H:$H)</f>
        <v>0</v>
      </c>
      <c r="Q94" s="445">
        <f>'2016'!J88</f>
        <v>2412156664.9299998</v>
      </c>
      <c r="R94" s="938">
        <f t="shared" si="13"/>
        <v>-1</v>
      </c>
      <c r="S94" s="921" t="s">
        <v>1550</v>
      </c>
      <c r="T94" s="386"/>
      <c r="U94" s="440"/>
      <c r="V94" s="445"/>
      <c r="W94" s="1169">
        <v>2886276664.9299998</v>
      </c>
      <c r="X94" s="968"/>
      <c r="Y94" s="347"/>
      <c r="Z94" s="347"/>
      <c r="AA94" s="965"/>
      <c r="AB94" s="359"/>
      <c r="AE94" s="386"/>
    </row>
    <row r="95" spans="1:31">
      <c r="B95" s="359"/>
      <c r="C95" s="926" t="s">
        <v>940</v>
      </c>
      <c r="D95" s="359"/>
      <c r="E95" s="440">
        <v>1712399676.6800001</v>
      </c>
      <c r="F95" s="440">
        <v>1725614564.6800001</v>
      </c>
      <c r="G95" s="440">
        <v>2515875639.04</v>
      </c>
      <c r="H95" s="440">
        <v>2167189728.0300002</v>
      </c>
      <c r="I95" s="440">
        <v>2174984735.2799997</v>
      </c>
      <c r="J95" s="440">
        <v>2202908874.2799997</v>
      </c>
      <c r="K95" s="440">
        <v>2228167429.2799997</v>
      </c>
      <c r="L95" s="440">
        <v>2238855311.2799997</v>
      </c>
      <c r="M95" s="440">
        <v>2335628882.2800002</v>
      </c>
      <c r="N95" s="440">
        <v>2398327046.2800002</v>
      </c>
      <c r="O95" s="440">
        <v>2445451806.2800002</v>
      </c>
      <c r="P95" s="1046">
        <f>-SUMIF('Trial Balance'!$A:$A,'Detail WBS''1217'!S95,'Trial Balance'!$H:$H)-SUMIF('Trial Balance'!$A:$A,'Detail WBS''1217'!T95,'Trial Balance'!$H:$H)-SUMIF('Trial Balance'!$A:$A,'Detail WBS''1217'!U95,'Trial Balance'!$H:$H)-SUMIF('Trial Balance'!$A:$A,'Detail WBS''1217'!V95,'Trial Balance'!$H:$H)</f>
        <v>0</v>
      </c>
      <c r="Q95" s="445">
        <f>'2016'!J89</f>
        <v>2086319893.0600002</v>
      </c>
      <c r="R95" s="938">
        <f t="shared" si="13"/>
        <v>-1</v>
      </c>
      <c r="S95" t="s">
        <v>1548</v>
      </c>
      <c r="T95" s="386"/>
      <c r="U95" s="440"/>
      <c r="V95" s="445"/>
      <c r="W95" s="1169">
        <v>2492930121.7799997</v>
      </c>
      <c r="X95" s="968"/>
      <c r="Y95" s="347"/>
      <c r="Z95" s="347"/>
      <c r="AA95" s="965"/>
      <c r="AB95" s="359"/>
      <c r="AE95" s="386"/>
    </row>
    <row r="96" spans="1:31">
      <c r="B96" s="359"/>
      <c r="C96" s="926" t="s">
        <v>941</v>
      </c>
      <c r="E96" s="440">
        <v>758520638</v>
      </c>
      <c r="F96" s="440">
        <v>781444381</v>
      </c>
      <c r="G96" s="440"/>
      <c r="H96" s="440">
        <v>357427025.00999975</v>
      </c>
      <c r="I96" s="440">
        <v>358612646.00999999</v>
      </c>
      <c r="J96" s="440">
        <v>359217088.00999999</v>
      </c>
      <c r="K96" s="440">
        <v>359797363.00999999</v>
      </c>
      <c r="L96" s="440">
        <v>360177888.00999999</v>
      </c>
      <c r="M96" s="440">
        <v>360558413.00999999</v>
      </c>
      <c r="N96" s="440">
        <v>360938938.00999999</v>
      </c>
      <c r="O96" s="440">
        <v>361302497.00999999</v>
      </c>
      <c r="P96" s="1046">
        <f>SUMIFS('Trial Balance'!$H:$H,'Trial Balance'!$A:$A,'Detail WBS''1217'!S97,'Trial Balance'!$C:$C,'Detail WBS''1217'!T97)</f>
        <v>0</v>
      </c>
      <c r="Q96" s="445">
        <f>'2016'!J90</f>
        <v>354249188.00999999</v>
      </c>
      <c r="R96" s="938">
        <f t="shared" si="13"/>
        <v>-1</v>
      </c>
      <c r="S96" s="1128" t="s">
        <v>1553</v>
      </c>
      <c r="T96" s="386"/>
      <c r="U96" s="440"/>
      <c r="V96" s="445"/>
      <c r="W96" s="1169">
        <v>361592621.00999999</v>
      </c>
      <c r="X96" s="968"/>
      <c r="Y96" s="347"/>
      <c r="Z96" s="347"/>
      <c r="AA96" s="965"/>
      <c r="AB96" s="359"/>
      <c r="AE96" s="386"/>
    </row>
    <row r="97" spans="1:31">
      <c r="B97" s="359"/>
      <c r="C97" s="926" t="s">
        <v>813</v>
      </c>
      <c r="D97" s="359"/>
      <c r="E97" s="442">
        <v>246971669</v>
      </c>
      <c r="F97" s="442">
        <v>272253336</v>
      </c>
      <c r="G97" s="442">
        <v>297535003</v>
      </c>
      <c r="H97" s="442">
        <v>322816670</v>
      </c>
      <c r="I97" s="442">
        <v>348098337</v>
      </c>
      <c r="J97" s="442">
        <v>373380004</v>
      </c>
      <c r="K97" s="442">
        <v>398661671</v>
      </c>
      <c r="L97" s="442">
        <v>423943338</v>
      </c>
      <c r="M97" s="442">
        <v>449225005</v>
      </c>
      <c r="N97" s="442">
        <v>474506672</v>
      </c>
      <c r="O97" s="442">
        <v>519955005</v>
      </c>
      <c r="P97" s="1048">
        <f>-SUMIF('Trial Balance'!$A:$A,'Detail WBS''1217'!S97,'Trial Balance'!$H:$H)-SUMIF('Trial Balance'!$A:$A,'Detail WBS''1217'!T97,'Trial Balance'!$H:$H)-SUMIF('Trial Balance'!$A:$A,'Detail WBS''1217'!U97,'Trial Balance'!$H:$H)-SUMIF('Trial Balance'!$A:$A,'Detail WBS''1217'!V97,'Trial Balance'!$H:$H)</f>
        <v>0</v>
      </c>
      <c r="Q97" s="445">
        <f>'2016'!J91</f>
        <v>221690002</v>
      </c>
      <c r="R97" s="939">
        <f t="shared" si="13"/>
        <v>-1</v>
      </c>
      <c r="S97" t="s">
        <v>1567</v>
      </c>
      <c r="T97" s="386"/>
      <c r="U97" s="440"/>
      <c r="V97" s="445"/>
      <c r="W97" s="1169">
        <v>545236672</v>
      </c>
      <c r="X97" s="968"/>
      <c r="Y97" s="347"/>
      <c r="Z97" s="347"/>
      <c r="AA97" s="965"/>
      <c r="AB97" s="359"/>
      <c r="AE97" s="386"/>
    </row>
    <row r="98" spans="1:31">
      <c r="B98" s="359"/>
      <c r="C98" s="926"/>
      <c r="D98" s="966" t="s">
        <v>942</v>
      </c>
      <c r="E98" s="969">
        <f>SUM(E93:E97)</f>
        <v>8676162595.0599995</v>
      </c>
      <c r="F98" s="969">
        <f t="shared" ref="F98:L98" si="15">SUM(F93:F97)</f>
        <v>8866347278.0599995</v>
      </c>
      <c r="G98" s="969">
        <f t="shared" si="15"/>
        <v>9029210023.4199982</v>
      </c>
      <c r="H98" s="969">
        <f t="shared" si="15"/>
        <v>9191997189.4200001</v>
      </c>
      <c r="I98" s="969">
        <f t="shared" si="15"/>
        <v>9355023869.289999</v>
      </c>
      <c r="J98" s="969">
        <f t="shared" si="15"/>
        <v>9542165484.6700001</v>
      </c>
      <c r="K98" s="969">
        <f t="shared" si="15"/>
        <v>9723994470.6700001</v>
      </c>
      <c r="L98" s="969">
        <f t="shared" si="15"/>
        <v>9895112305.6700001</v>
      </c>
      <c r="M98" s="969">
        <f t="shared" ref="M98:P98" si="16">SUM(M93:M97)</f>
        <v>10146338086.050001</v>
      </c>
      <c r="N98" s="969">
        <f t="shared" si="16"/>
        <v>10281859917.050001</v>
      </c>
      <c r="O98" s="969">
        <v>10593344189.050001</v>
      </c>
      <c r="P98" s="1056">
        <f t="shared" si="16"/>
        <v>0</v>
      </c>
      <c r="Q98" s="967">
        <f>SUM(Q93:Q97)</f>
        <v>8490939267.4499998</v>
      </c>
      <c r="R98" s="938">
        <f t="shared" si="13"/>
        <v>-1</v>
      </c>
      <c r="S98" s="408"/>
      <c r="U98" s="359"/>
      <c r="V98" s="445"/>
      <c r="W98" s="1169">
        <v>10788641801.550001</v>
      </c>
      <c r="X98" s="347"/>
      <c r="Y98" s="347"/>
      <c r="Z98" s="347"/>
      <c r="AA98" s="965"/>
      <c r="AB98" s="359"/>
    </row>
    <row r="99" spans="1:31">
      <c r="B99" s="359"/>
      <c r="C99" s="926"/>
      <c r="D99" s="970" t="s">
        <v>814</v>
      </c>
      <c r="E99" s="971">
        <f>E92-E98</f>
        <v>5401258123.9400005</v>
      </c>
      <c r="F99" s="971">
        <f t="shared" ref="F99:Q99" si="17">F92-F98</f>
        <v>5213986040.9400005</v>
      </c>
      <c r="G99" s="971">
        <f t="shared" si="17"/>
        <v>5052280695.5800018</v>
      </c>
      <c r="H99" s="971">
        <f t="shared" si="17"/>
        <v>4888336129.5799999</v>
      </c>
      <c r="I99" s="971">
        <f t="shared" si="17"/>
        <v>4866402164.5100002</v>
      </c>
      <c r="J99" s="971">
        <f t="shared" si="17"/>
        <v>4743717219.1299992</v>
      </c>
      <c r="K99" s="971">
        <f t="shared" si="17"/>
        <v>4561888233.1299992</v>
      </c>
      <c r="L99" s="971">
        <f t="shared" si="17"/>
        <v>4449454033.1299992</v>
      </c>
      <c r="M99" s="971">
        <f t="shared" si="17"/>
        <v>4205316971.9499989</v>
      </c>
      <c r="N99" s="971">
        <f t="shared" si="17"/>
        <v>4674795140.9499989</v>
      </c>
      <c r="O99" s="971">
        <v>4384985868.9499989</v>
      </c>
      <c r="P99" s="1057">
        <f t="shared" si="17"/>
        <v>0</v>
      </c>
      <c r="Q99" s="472">
        <f t="shared" si="17"/>
        <v>5586481451.5500002</v>
      </c>
      <c r="R99" s="938">
        <f t="shared" si="13"/>
        <v>-1</v>
      </c>
      <c r="S99" s="408"/>
      <c r="U99" s="359"/>
      <c r="V99" s="445"/>
      <c r="W99" s="1169">
        <v>4207248257.4499989</v>
      </c>
      <c r="X99" s="347"/>
      <c r="Y99" s="347"/>
      <c r="Z99" s="347"/>
      <c r="AA99" s="965"/>
      <c r="AB99" s="359"/>
    </row>
    <row r="100" spans="1:31">
      <c r="B100" s="359"/>
      <c r="C100" s="926"/>
      <c r="D100" s="359"/>
      <c r="E100" s="440"/>
      <c r="F100" s="440"/>
      <c r="G100" s="440"/>
      <c r="H100" s="440"/>
      <c r="I100" s="440"/>
      <c r="J100" s="440"/>
      <c r="K100" s="440"/>
      <c r="L100" s="440"/>
      <c r="M100" s="440"/>
      <c r="N100" s="440"/>
      <c r="O100" s="440"/>
      <c r="P100" s="1053"/>
      <c r="Q100" s="445"/>
      <c r="R100" s="938"/>
      <c r="S100" s="408"/>
      <c r="U100" s="359"/>
      <c r="V100" s="445"/>
      <c r="W100" s="1169"/>
      <c r="X100" s="925"/>
      <c r="Y100" s="347"/>
      <c r="Z100" s="347"/>
      <c r="AA100" s="965"/>
      <c r="AB100" s="359"/>
    </row>
    <row r="101" spans="1:31">
      <c r="A101" s="312" t="s">
        <v>969</v>
      </c>
      <c r="B101" s="359" t="s">
        <v>755</v>
      </c>
      <c r="C101" s="359"/>
      <c r="D101" s="359"/>
      <c r="E101" s="440"/>
      <c r="F101" s="440"/>
      <c r="G101" s="440"/>
      <c r="H101" s="440"/>
      <c r="I101" s="440"/>
      <c r="J101" s="440"/>
      <c r="K101" s="440"/>
      <c r="L101" s="440"/>
      <c r="M101" s="440"/>
      <c r="N101" s="440"/>
      <c r="O101" s="440"/>
      <c r="P101" s="1053"/>
      <c r="Q101" s="445"/>
      <c r="R101" s="938"/>
      <c r="S101" s="408"/>
      <c r="U101" s="359"/>
      <c r="V101" s="440"/>
      <c r="W101" s="1169"/>
      <c r="X101" s="925"/>
      <c r="Y101" s="347"/>
      <c r="Z101" s="347"/>
      <c r="AA101" s="965"/>
      <c r="AB101" s="359"/>
    </row>
    <row r="102" spans="1:31">
      <c r="B102" s="359"/>
      <c r="C102" s="359" t="s">
        <v>253</v>
      </c>
      <c r="D102" s="359"/>
      <c r="E102" s="440">
        <v>909338500</v>
      </c>
      <c r="F102" s="440">
        <v>909338500</v>
      </c>
      <c r="G102" s="440">
        <v>909338500</v>
      </c>
      <c r="H102" s="440">
        <v>909338500</v>
      </c>
      <c r="I102" s="440">
        <v>909338500</v>
      </c>
      <c r="J102" s="440">
        <v>909338500</v>
      </c>
      <c r="K102" s="440">
        <v>909338500</v>
      </c>
      <c r="L102" s="440">
        <v>909338500</v>
      </c>
      <c r="M102" s="440">
        <v>909338500</v>
      </c>
      <c r="N102" s="440">
        <v>909338500</v>
      </c>
      <c r="O102" s="440">
        <v>909338500</v>
      </c>
      <c r="P102" s="1046">
        <f>SUMIF('Trial Balance'!$A:$A,'Detail WBS''1217'!S102,'Trial Balance'!$H:$H)+SUMIF('Trial Balance'!$A:$A,'Detail WBS''1217'!T102,'Trial Balance'!$H:$H)+SUMIF('Trial Balance'!$A:$A,'Detail WBS''1217'!U102,'Trial Balance'!$H:$H)+SUMIF('Trial Balance'!$A:$A,'Detail WBS''1217'!V102,'Trial Balance'!$H:$H)</f>
        <v>0</v>
      </c>
      <c r="Q102" s="445">
        <f>'2016'!J96</f>
        <v>909338500</v>
      </c>
      <c r="R102" s="938">
        <f>(P102-Q102)/Q102</f>
        <v>-1</v>
      </c>
      <c r="S102" t="s">
        <v>1633</v>
      </c>
      <c r="U102" s="359"/>
      <c r="V102" s="440"/>
      <c r="W102" s="1169">
        <v>909338500</v>
      </c>
      <c r="X102" s="925"/>
      <c r="Y102" s="347"/>
      <c r="Z102" s="347"/>
      <c r="AA102" s="965"/>
      <c r="AB102" s="359"/>
    </row>
    <row r="103" spans="1:31">
      <c r="B103" s="359"/>
      <c r="C103" s="359" t="s">
        <v>430</v>
      </c>
      <c r="D103" s="359"/>
      <c r="E103" s="442">
        <v>496336811.66999996</v>
      </c>
      <c r="F103" s="442">
        <v>511492454.06</v>
      </c>
      <c r="G103" s="442">
        <v>526648095.73000002</v>
      </c>
      <c r="H103" s="442">
        <v>541803737.73000002</v>
      </c>
      <c r="I103" s="442">
        <v>556959379.66999996</v>
      </c>
      <c r="J103" s="442">
        <v>572115021.66999996</v>
      </c>
      <c r="K103" s="442">
        <v>587270663.66999996</v>
      </c>
      <c r="L103" s="442">
        <v>594272138.66999996</v>
      </c>
      <c r="M103" s="442">
        <v>601273613.73000002</v>
      </c>
      <c r="N103" s="442">
        <v>601273613.73000002</v>
      </c>
      <c r="O103" s="442">
        <v>615276563.73000002</v>
      </c>
      <c r="P103" s="1048">
        <f>-SUMIF('Trial Balance'!$A:$A,'Detail WBS''1217'!S103,'Trial Balance'!$H:$H)-SUMIF('Trial Balance'!$A:$A,'Detail WBS''1217'!T103,'Trial Balance'!$H:$H)-SUMIF('Trial Balance'!$A:$A,'Detail WBS''1217'!U103,'Trial Balance'!$H:$H)-SUMIF('Trial Balance'!$A:$A,'Detail WBS''1217'!V103,'Trial Balance'!$H:$H)</f>
        <v>0</v>
      </c>
      <c r="Q103" s="446">
        <f>'2016'!J97</f>
        <v>481181169.66999996</v>
      </c>
      <c r="R103" s="938">
        <f>(P103-Q103)/Q103</f>
        <v>-1</v>
      </c>
      <c r="S103" t="s">
        <v>1635</v>
      </c>
      <c r="T103" s="386"/>
      <c r="U103" s="994"/>
      <c r="V103" s="440"/>
      <c r="W103" s="1169">
        <v>622278038.73000002</v>
      </c>
      <c r="X103" s="925"/>
      <c r="Y103" s="347"/>
      <c r="Z103" s="347"/>
      <c r="AA103" s="965"/>
      <c r="AB103" s="359"/>
    </row>
    <row r="104" spans="1:31">
      <c r="B104" s="359"/>
      <c r="C104" s="359"/>
      <c r="D104" s="970" t="s">
        <v>815</v>
      </c>
      <c r="E104" s="971">
        <f>E102-E103</f>
        <v>413001688.33000004</v>
      </c>
      <c r="F104" s="971">
        <f t="shared" ref="F104:L104" si="18">F102-F103</f>
        <v>397846045.94</v>
      </c>
      <c r="G104" s="971">
        <f t="shared" si="18"/>
        <v>382690404.26999998</v>
      </c>
      <c r="H104" s="971">
        <f t="shared" si="18"/>
        <v>367534762.26999998</v>
      </c>
      <c r="I104" s="971">
        <f t="shared" si="18"/>
        <v>352379120.33000004</v>
      </c>
      <c r="J104" s="971">
        <f t="shared" si="18"/>
        <v>337223478.33000004</v>
      </c>
      <c r="K104" s="971">
        <f t="shared" si="18"/>
        <v>322067836.33000004</v>
      </c>
      <c r="L104" s="971">
        <f t="shared" si="18"/>
        <v>315066361.33000004</v>
      </c>
      <c r="M104" s="971">
        <f>M102-M103</f>
        <v>308064886.26999998</v>
      </c>
      <c r="N104" s="971">
        <f>N102-N103</f>
        <v>308064886.26999998</v>
      </c>
      <c r="O104" s="971">
        <v>294061936.26999998</v>
      </c>
      <c r="P104" s="1058">
        <f>P102-P103</f>
        <v>0</v>
      </c>
      <c r="Q104" s="472">
        <f>Q102-Q103</f>
        <v>428157330.33000004</v>
      </c>
      <c r="R104" s="938">
        <f>(P104-Q104)/Q104</f>
        <v>-1</v>
      </c>
      <c r="S104" s="408"/>
      <c r="T104" s="386"/>
      <c r="U104" s="994"/>
      <c r="V104" s="440"/>
      <c r="W104" s="1169">
        <v>287060461.26999998</v>
      </c>
      <c r="X104" s="347"/>
      <c r="Y104" s="347"/>
      <c r="Z104" s="347"/>
      <c r="AA104" s="965"/>
      <c r="AB104" s="359"/>
    </row>
    <row r="105" spans="1:31">
      <c r="B105" s="359"/>
      <c r="E105" s="420"/>
      <c r="F105" s="420"/>
      <c r="G105" s="420"/>
      <c r="H105" s="420"/>
      <c r="I105" s="420"/>
      <c r="J105" s="420"/>
      <c r="K105" s="420"/>
      <c r="L105" s="420"/>
      <c r="M105" s="420"/>
      <c r="N105" s="420"/>
      <c r="O105" s="420"/>
      <c r="P105" s="842"/>
      <c r="Q105" s="420"/>
      <c r="R105" s="938"/>
      <c r="S105" s="346"/>
    </row>
    <row r="106" spans="1:31">
      <c r="A106" s="312" t="s">
        <v>970</v>
      </c>
      <c r="B106" s="359" t="s">
        <v>758</v>
      </c>
      <c r="E106" s="420"/>
      <c r="F106" s="420"/>
      <c r="G106" s="420"/>
      <c r="H106" s="420"/>
      <c r="I106" s="420"/>
      <c r="J106" s="420"/>
      <c r="K106" s="420"/>
      <c r="L106" s="420"/>
      <c r="M106" s="420"/>
      <c r="N106" s="420"/>
      <c r="O106" s="420"/>
      <c r="P106" s="842"/>
      <c r="Q106" s="420"/>
      <c r="R106" s="938"/>
    </row>
    <row r="107" spans="1:31">
      <c r="B107" s="359"/>
      <c r="C107" s="265" t="s">
        <v>819</v>
      </c>
      <c r="E107" s="420">
        <v>1577200168</v>
      </c>
      <c r="F107" s="903">
        <v>1404200329.3</v>
      </c>
      <c r="G107" s="420">
        <v>1144011934</v>
      </c>
      <c r="H107" s="420">
        <v>1186001603</v>
      </c>
      <c r="I107" s="420">
        <v>1190566882</v>
      </c>
      <c r="J107" s="420">
        <v>1325571771.9000001</v>
      </c>
      <c r="K107" s="903">
        <f>ROUND(1453877880.41,0)</f>
        <v>1453877880</v>
      </c>
      <c r="L107" s="903">
        <f>ROUND(1535029935.41,0)</f>
        <v>1535029935</v>
      </c>
      <c r="M107" s="903">
        <v>1726300114.4100001</v>
      </c>
      <c r="N107" s="903">
        <v>1349346036.4100001</v>
      </c>
      <c r="O107" s="903">
        <v>1156598477.4100001</v>
      </c>
      <c r="P107" s="1046">
        <f>-SUMIF('Trial Balance'!$A:$A,'Detail WBS''1217'!S107,'Trial Balance'!$H:$H)-SUMIF('Trial Balance'!$A:$A,'Detail WBS''1217'!T107,'Trial Balance'!$H:$H)-SUMIF('Trial Balance'!$A:$A,'Detail WBS''1217'!U107,'Trial Balance'!$H:$H)-SUMIF('Trial Balance'!$A:$A,'Detail WBS''1217'!V107,'Trial Balance'!$H:$H)</f>
        <v>0</v>
      </c>
      <c r="Q107" s="420">
        <f>'2016'!J104</f>
        <v>604575785</v>
      </c>
      <c r="R107" s="938">
        <f>(P107-Q107)/Q107</f>
        <v>-1</v>
      </c>
      <c r="S107" t="s">
        <v>1649</v>
      </c>
      <c r="W107" s="344">
        <v>1144419468.4100001</v>
      </c>
    </row>
    <row r="108" spans="1:31">
      <c r="B108" s="359"/>
      <c r="C108" s="265" t="s">
        <v>298</v>
      </c>
      <c r="E108" s="420">
        <v>680811316</v>
      </c>
      <c r="F108" s="903">
        <v>680811316</v>
      </c>
      <c r="G108" s="420">
        <v>875841128</v>
      </c>
      <c r="H108" s="420">
        <v>875841128</v>
      </c>
      <c r="I108" s="420">
        <v>875841128</v>
      </c>
      <c r="J108" s="420">
        <v>875841128</v>
      </c>
      <c r="K108" s="903">
        <v>875841128</v>
      </c>
      <c r="L108" s="903">
        <v>875841128</v>
      </c>
      <c r="M108" s="903">
        <v>875841128</v>
      </c>
      <c r="N108" s="903">
        <v>875841128</v>
      </c>
      <c r="O108" s="903">
        <v>875841128</v>
      </c>
      <c r="P108" s="1046">
        <f>-SUMIF('Trial Balance'!$A:$A,'Detail WBS''1217'!S108,'Trial Balance'!$H:$H)-SUMIF('Trial Balance'!$A:$A,'Detail WBS''1217'!T108,'Trial Balance'!$H:$H)-SUMIF('Trial Balance'!$A:$A,'Detail WBS''1217'!U108,'Trial Balance'!$H:$H)-SUMIF('Trial Balance'!$A:$A,'Detail WBS''1217'!V108,'Trial Balance'!$H:$H)</f>
        <v>0</v>
      </c>
      <c r="Q108" s="420">
        <f>'2016'!J105</f>
        <v>680811316</v>
      </c>
      <c r="R108" s="938">
        <f>(P108-Q108)/Q108</f>
        <v>-1</v>
      </c>
      <c r="S108" t="s">
        <v>1651</v>
      </c>
      <c r="W108" s="344">
        <v>1225804654</v>
      </c>
    </row>
    <row r="109" spans="1:31">
      <c r="C109" s="312" t="s">
        <v>820</v>
      </c>
      <c r="E109" s="420">
        <v>5002635000</v>
      </c>
      <c r="F109" s="903">
        <v>5002635000.25</v>
      </c>
      <c r="G109" s="420">
        <v>5832876546</v>
      </c>
      <c r="H109" s="420">
        <v>5571099892</v>
      </c>
      <c r="I109" s="420">
        <v>5002635000</v>
      </c>
      <c r="J109" s="420">
        <v>5002635000</v>
      </c>
      <c r="K109" s="903">
        <v>5008437507</v>
      </c>
      <c r="L109" s="903">
        <v>5007736607</v>
      </c>
      <c r="M109" s="903">
        <v>5143141737</v>
      </c>
      <c r="N109" s="903">
        <v>5007561507</v>
      </c>
      <c r="O109" s="903">
        <v>5016202301</v>
      </c>
      <c r="P109" s="1046">
        <f>-SUMIF('Trial Balance'!$A:$A,'Detail WBS''1217'!S109,'Trial Balance'!$H:$H)-SUMIF('Trial Balance'!$A:$A,'Detail WBS''1217'!T109,'Trial Balance'!$H:$H)-SUMIF('Trial Balance'!$A:$A,'Detail WBS''1217'!U109,'Trial Balance'!$H:$H)-SUMIF('Trial Balance'!$A:$A,'Detail WBS''1217'!V109,'Trial Balance'!$H:$H)</f>
        <v>0</v>
      </c>
      <c r="Q109" s="420">
        <f>'2016'!J106</f>
        <v>5002635000</v>
      </c>
      <c r="R109" s="938">
        <f>(P109-Q109)/Q109</f>
        <v>-1</v>
      </c>
      <c r="S109" t="s">
        <v>1658</v>
      </c>
      <c r="W109" s="344">
        <v>5038565639</v>
      </c>
    </row>
    <row r="110" spans="1:31">
      <c r="C110" s="312" t="s">
        <v>925</v>
      </c>
      <c r="E110" s="442">
        <v>442000599</v>
      </c>
      <c r="F110" s="904">
        <v>442000599</v>
      </c>
      <c r="G110" s="442">
        <v>442000599</v>
      </c>
      <c r="H110" s="442">
        <v>442000599</v>
      </c>
      <c r="I110" s="442">
        <v>442000599</v>
      </c>
      <c r="J110" s="442">
        <v>442000599</v>
      </c>
      <c r="K110" s="904">
        <v>442000599</v>
      </c>
      <c r="L110" s="904">
        <v>442000599</v>
      </c>
      <c r="M110" s="904">
        <v>442000599</v>
      </c>
      <c r="N110" s="904">
        <v>442000599</v>
      </c>
      <c r="O110" s="904">
        <v>442000599</v>
      </c>
      <c r="P110" s="1048">
        <f>SUMIFS('Trial Balance'!$H:$H,'Trial Balance'!$A:$A,'Detail WBS''1217'!S111,'Trial Balance'!$C:$C,'Detail WBS''1217'!T111)</f>
        <v>0</v>
      </c>
      <c r="Q110" s="442">
        <f>'2016'!J107</f>
        <v>442000599</v>
      </c>
      <c r="R110" s="939">
        <f>(P110-Q110)/Q110</f>
        <v>-1</v>
      </c>
      <c r="S110" s="1128" t="s">
        <v>1658</v>
      </c>
      <c r="W110" s="344">
        <v>0</v>
      </c>
    </row>
    <row r="111" spans="1:31">
      <c r="D111" s="943" t="s">
        <v>949</v>
      </c>
      <c r="E111" s="852">
        <f>SUM(E107:E110)</f>
        <v>7702647083</v>
      </c>
      <c r="F111" s="852">
        <f t="shared" ref="F111:L111" si="19">SUM(F107:F110)</f>
        <v>7529647244.5500002</v>
      </c>
      <c r="G111" s="852">
        <f t="shared" si="19"/>
        <v>8294730207</v>
      </c>
      <c r="H111" s="852">
        <f t="shared" si="19"/>
        <v>8074943222</v>
      </c>
      <c r="I111" s="852">
        <f t="shared" si="19"/>
        <v>7511043609</v>
      </c>
      <c r="J111" s="852">
        <f t="shared" si="19"/>
        <v>7646048498.8999996</v>
      </c>
      <c r="K111" s="852">
        <f t="shared" si="19"/>
        <v>7780157114</v>
      </c>
      <c r="L111" s="957">
        <f t="shared" si="19"/>
        <v>7860608269</v>
      </c>
      <c r="M111" s="957">
        <f>SUM(M107:M110)</f>
        <v>8187283578.4099998</v>
      </c>
      <c r="N111" s="957">
        <f>SUM(N107:N110)</f>
        <v>7674749270.4099998</v>
      </c>
      <c r="O111" s="957">
        <v>7490642505.4099998</v>
      </c>
      <c r="P111" s="1052">
        <f>SUM(P107:P110)</f>
        <v>0</v>
      </c>
      <c r="Q111" s="420">
        <f>SUM(Q107:Q110)</f>
        <v>6730022700</v>
      </c>
      <c r="R111" s="938">
        <f>(P111-Q111)/Q111</f>
        <v>-1</v>
      </c>
      <c r="U111" s="905"/>
      <c r="W111" s="344">
        <v>7408789761.4099998</v>
      </c>
    </row>
    <row r="112" spans="1:31">
      <c r="A112" s="312" t="s">
        <v>971</v>
      </c>
      <c r="B112" s="312" t="s">
        <v>759</v>
      </c>
      <c r="E112" s="420"/>
      <c r="F112" s="420"/>
      <c r="G112" s="420"/>
      <c r="H112" s="420"/>
      <c r="I112" s="420"/>
      <c r="J112" s="420"/>
      <c r="K112" s="420"/>
      <c r="L112" s="420"/>
      <c r="M112" s="420"/>
      <c r="N112" s="420"/>
      <c r="O112" s="420"/>
      <c r="P112" s="842"/>
      <c r="Q112" s="420"/>
      <c r="R112" s="938"/>
    </row>
    <row r="113" spans="1:24">
      <c r="C113" s="312" t="s">
        <v>822</v>
      </c>
      <c r="E113" s="420">
        <v>125123137</v>
      </c>
      <c r="F113" s="420">
        <v>126629704</v>
      </c>
      <c r="G113" s="420">
        <v>125599441</v>
      </c>
      <c r="H113" s="420">
        <v>128120270</v>
      </c>
      <c r="I113" s="420">
        <v>312312354</v>
      </c>
      <c r="J113" s="420">
        <v>271221831</v>
      </c>
      <c r="K113" s="420">
        <v>101313711</v>
      </c>
      <c r="L113" s="903">
        <v>140745558</v>
      </c>
      <c r="M113" s="903">
        <v>139128255</v>
      </c>
      <c r="N113" s="903">
        <v>150195501</v>
      </c>
      <c r="O113" s="903">
        <v>137626899</v>
      </c>
      <c r="P113" s="1046">
        <f>-SUMIF('Trial Balance'!$A:$A,'Detail WBS''1217'!S113,'Trial Balance'!$H:$H)-SUMIF('Trial Balance'!$A:$A,'Detail WBS''1217'!T113,'Trial Balance'!$H:$H)-SUMIF('Trial Balance'!$A:$A,'Detail WBS''1217'!U113,'Trial Balance'!$H:$H)-SUMIF('Trial Balance'!$A:$A,'Detail WBS''1217'!V113,'Trial Balance'!$H:$H)</f>
        <v>0</v>
      </c>
      <c r="Q113" s="445">
        <f>'2016'!J110</f>
        <v>182446168</v>
      </c>
      <c r="R113" s="938">
        <f>(P113-Q113)/Q113</f>
        <v>-1</v>
      </c>
      <c r="S113" t="s">
        <v>1637</v>
      </c>
      <c r="W113" s="344">
        <v>220000297.5</v>
      </c>
    </row>
    <row r="114" spans="1:24">
      <c r="C114" s="312" t="s">
        <v>824</v>
      </c>
      <c r="E114" s="420">
        <v>2003749.98</v>
      </c>
      <c r="F114" s="420">
        <v>5766687.9800000004</v>
      </c>
      <c r="G114" s="420">
        <v>3016237.98</v>
      </c>
      <c r="H114" s="420">
        <v>26399928.98</v>
      </c>
      <c r="I114" s="420">
        <v>3238600.9800000004</v>
      </c>
      <c r="J114" s="420">
        <v>19693957.98</v>
      </c>
      <c r="K114" s="420">
        <v>24782685.98</v>
      </c>
      <c r="L114" s="903">
        <v>1398867.9800000004</v>
      </c>
      <c r="M114" s="903">
        <v>5088967.9800000004</v>
      </c>
      <c r="N114" s="903">
        <v>22195082.98</v>
      </c>
      <c r="O114" s="903">
        <v>4910305.9800000004</v>
      </c>
      <c r="P114" s="1046">
        <f>-SUMIF('Trial Balance'!$A:$A,'Detail WBS''1217'!S114,'Trial Balance'!$H:$H)-SUMIF('Trial Balance'!$A:$A,'Detail WBS''1217'!T114,'Trial Balance'!$H:$H)-SUMIF('Trial Balance'!$A:$A,'Detail WBS''1217'!U114,'Trial Balance'!$H:$H)-SUMIF('Trial Balance'!$A:$A,'Detail WBS''1217'!V114,'Trial Balance'!$H:$H)</f>
        <v>0</v>
      </c>
      <c r="Q114" s="445">
        <f>'2016'!J111</f>
        <v>1458293.98</v>
      </c>
      <c r="R114" s="938">
        <f>(P114-Q114)/Q114</f>
        <v>-1</v>
      </c>
      <c r="S114" t="s">
        <v>1639</v>
      </c>
      <c r="W114" s="344">
        <v>11485282.98</v>
      </c>
    </row>
    <row r="115" spans="1:24">
      <c r="C115" s="312" t="s">
        <v>825</v>
      </c>
      <c r="E115" s="420"/>
      <c r="F115" s="420"/>
      <c r="G115" s="420">
        <v>7334640</v>
      </c>
      <c r="H115" s="420"/>
      <c r="I115" s="420">
        <v>7325307</v>
      </c>
      <c r="J115" s="420">
        <v>0</v>
      </c>
      <c r="K115" s="420">
        <v>0</v>
      </c>
      <c r="L115" s="903">
        <v>7328052</v>
      </c>
      <c r="M115" s="903">
        <v>0</v>
      </c>
      <c r="N115" s="903">
        <v>0</v>
      </c>
      <c r="O115" s="903">
        <v>7414794</v>
      </c>
      <c r="P115" s="1046">
        <f>-SUMIF('Trial Balance'!$A:$A,'Detail WBS''1217'!S115,'Trial Balance'!$H:$H)-SUMIF('Trial Balance'!$A:$A,'Detail WBS''1217'!T115,'Trial Balance'!$H:$H)-SUMIF('Trial Balance'!$A:$A,'Detail WBS''1217'!U115,'Trial Balance'!$H:$H)-SUMIF('Trial Balance'!$A:$A,'Detail WBS''1217'!V115,'Trial Balance'!$H:$H)</f>
        <v>0</v>
      </c>
      <c r="Q115" s="445">
        <f>'2016'!J112</f>
        <v>7420284</v>
      </c>
      <c r="R115" s="938"/>
      <c r="S115" t="s">
        <v>1641</v>
      </c>
      <c r="W115" s="344">
        <v>0</v>
      </c>
    </row>
    <row r="116" spans="1:24">
      <c r="C116" s="312" t="s">
        <v>926</v>
      </c>
      <c r="E116" s="420"/>
      <c r="F116" s="420">
        <v>52065350</v>
      </c>
      <c r="G116" s="420">
        <v>54261450</v>
      </c>
      <c r="H116" s="420">
        <v>40446281</v>
      </c>
      <c r="I116" s="420">
        <v>27130726</v>
      </c>
      <c r="J116" s="420">
        <v>27190726</v>
      </c>
      <c r="K116" s="420">
        <v>37662942</v>
      </c>
      <c r="L116" s="903">
        <v>40243482</v>
      </c>
      <c r="M116" s="903">
        <v>7037998</v>
      </c>
      <c r="N116" s="903">
        <v>10140004</v>
      </c>
      <c r="O116" s="903">
        <v>40712601</v>
      </c>
      <c r="P116" s="1046">
        <f>-SUMIF('Trial Balance'!$A:$A,'Detail WBS''1217'!S116,'Trial Balance'!$H:$H)-SUMIF('Trial Balance'!$A:$A,'Detail WBS''1217'!T116,'Trial Balance'!$H:$H)-SUMIF('Trial Balance'!$A:$A,'Detail WBS''1217'!U116,'Trial Balance'!$H:$H)-SUMIF('Trial Balance'!$A:$A,'Detail WBS''1217'!V116,'Trial Balance'!$H:$H)</f>
        <v>0</v>
      </c>
      <c r="Q116" s="445">
        <f>'2016'!J113</f>
        <v>31389884</v>
      </c>
      <c r="R116" s="938">
        <f>(P116-Q116)/Q116</f>
        <v>-1</v>
      </c>
      <c r="S116" s="921" t="s">
        <v>1647</v>
      </c>
      <c r="W116" s="344">
        <v>4227338</v>
      </c>
    </row>
    <row r="117" spans="1:24">
      <c r="C117" s="312" t="s">
        <v>927</v>
      </c>
      <c r="E117" s="420"/>
      <c r="F117" s="420"/>
      <c r="G117" s="420"/>
      <c r="H117" s="420"/>
      <c r="I117" s="420">
        <v>0</v>
      </c>
      <c r="J117" s="420">
        <v>0</v>
      </c>
      <c r="K117" s="420">
        <v>0</v>
      </c>
      <c r="L117" s="903">
        <v>0</v>
      </c>
      <c r="M117" s="903">
        <v>0</v>
      </c>
      <c r="N117" s="903">
        <v>0</v>
      </c>
      <c r="O117" s="903">
        <v>0</v>
      </c>
      <c r="P117" s="1046">
        <f>-SUMIF('Trial Balance'!$A:$A,'Detail WBS''1217'!S117,'Trial Balance'!$H:$H)-SUMIF('Trial Balance'!$A:$A,'Detail WBS''1217'!T117,'Trial Balance'!$H:$H)-SUMIF('Trial Balance'!$A:$A,'Detail WBS''1217'!U117,'Trial Balance'!$H:$H)-SUMIF('Trial Balance'!$A:$A,'Detail WBS''1217'!V117,'Trial Balance'!$H:$H)</f>
        <v>0</v>
      </c>
      <c r="Q117" s="445">
        <f>'2016'!J114</f>
        <v>0</v>
      </c>
      <c r="R117" s="938"/>
      <c r="W117" s="344">
        <v>0</v>
      </c>
    </row>
    <row r="118" spans="1:24">
      <c r="C118" s="312" t="s">
        <v>928</v>
      </c>
      <c r="E118" s="420"/>
      <c r="F118" s="420"/>
      <c r="G118" s="420"/>
      <c r="H118" s="420"/>
      <c r="I118" s="420">
        <v>0</v>
      </c>
      <c r="J118" s="420">
        <v>0</v>
      </c>
      <c r="K118" s="420">
        <v>0</v>
      </c>
      <c r="L118" s="903">
        <v>0</v>
      </c>
      <c r="M118" s="903">
        <v>0</v>
      </c>
      <c r="N118" s="903">
        <v>0</v>
      </c>
      <c r="O118" s="903">
        <v>0</v>
      </c>
      <c r="P118" s="1046">
        <f>-SUMIF('Trial Balance'!$A:$A,'Detail WBS''1217'!S118,'Trial Balance'!$H:$H)-SUMIF('Trial Balance'!$A:$A,'Detail WBS''1217'!T118,'Trial Balance'!$H:$H)-SUMIF('Trial Balance'!$A:$A,'Detail WBS''1217'!U118,'Trial Balance'!$H:$H)-SUMIF('Trial Balance'!$A:$A,'Detail WBS''1217'!V118,'Trial Balance'!$H:$H)</f>
        <v>0</v>
      </c>
      <c r="Q118" s="445">
        <f>'2016'!J115</f>
        <v>0</v>
      </c>
      <c r="R118" s="938"/>
      <c r="W118" s="344">
        <v>0</v>
      </c>
    </row>
    <row r="119" spans="1:24">
      <c r="C119" s="312" t="s">
        <v>823</v>
      </c>
      <c r="E119" s="442">
        <v>203180277.19999999</v>
      </c>
      <c r="F119" s="442">
        <v>129381636</v>
      </c>
      <c r="G119" s="442">
        <v>129399263</v>
      </c>
      <c r="H119" s="442">
        <v>151081681</v>
      </c>
      <c r="I119" s="442">
        <v>254817524.46000016</v>
      </c>
      <c r="J119" s="442">
        <v>81309057.789999962</v>
      </c>
      <c r="K119" s="442">
        <v>156239080.17999995</v>
      </c>
      <c r="L119" s="904">
        <v>164729592.28999984</v>
      </c>
      <c r="M119" s="904">
        <v>165261953.40999985</v>
      </c>
      <c r="N119" s="904">
        <v>180452434.24000001</v>
      </c>
      <c r="O119" s="904">
        <v>136551700.58999991</v>
      </c>
      <c r="P119" s="1048">
        <f>-SUMIF('Trial Balance'!$A:$A,'Detail WBS''1217'!S119,'Trial Balance'!$H:$H)-SUMIF('Trial Balance'!$A:$A,'Detail WBS''1217'!T119,'Trial Balance'!$H:$H)-SUMIF('Trial Balance'!$A:$A,'Detail WBS''1217'!U119,'Trial Balance'!$H:$H)-SUMIF('Trial Balance'!$A:$A,'Detail WBS''1217'!V119,'Trial Balance'!$H:$H)</f>
        <v>0</v>
      </c>
      <c r="Q119" s="446">
        <f>'2016'!J116</f>
        <v>177299958.19999999</v>
      </c>
      <c r="R119" s="939">
        <f>(P119-Q119)/Q119</f>
        <v>-1</v>
      </c>
      <c r="S119" s="921" t="s">
        <v>1643</v>
      </c>
      <c r="W119" s="344">
        <v>174518268.52999997</v>
      </c>
    </row>
    <row r="120" spans="1:24">
      <c r="D120" s="943" t="s">
        <v>950</v>
      </c>
      <c r="E120" s="852">
        <f>SUM(E113:E119)</f>
        <v>330307164.18000001</v>
      </c>
      <c r="F120" s="852">
        <f t="shared" ref="F120:L120" si="20">SUM(F113:F119)</f>
        <v>313843377.98000002</v>
      </c>
      <c r="G120" s="852">
        <f t="shared" si="20"/>
        <v>319611031.98000002</v>
      </c>
      <c r="H120" s="852">
        <f t="shared" si="20"/>
        <v>346048160.98000002</v>
      </c>
      <c r="I120" s="852">
        <f t="shared" si="20"/>
        <v>604824512.44000018</v>
      </c>
      <c r="J120" s="852">
        <f t="shared" si="20"/>
        <v>399415572.76999998</v>
      </c>
      <c r="K120" s="852">
        <f t="shared" si="20"/>
        <v>319998419.15999997</v>
      </c>
      <c r="L120" s="852">
        <f t="shared" si="20"/>
        <v>354445552.26999986</v>
      </c>
      <c r="M120" s="852">
        <f>SUM(M113:M119)</f>
        <v>316517174.38999987</v>
      </c>
      <c r="N120" s="852">
        <f>SUM(N113:N119)</f>
        <v>362983022.22000003</v>
      </c>
      <c r="O120" s="852">
        <v>327216300.56999993</v>
      </c>
      <c r="P120" s="842">
        <f>SUM(P113:P119)</f>
        <v>0</v>
      </c>
      <c r="Q120" s="420">
        <f>SUM(Q113:Q119)</f>
        <v>400014588.17999995</v>
      </c>
      <c r="R120" s="938">
        <f>(P120-Q120)/Q120</f>
        <v>-1</v>
      </c>
      <c r="S120" s="408"/>
      <c r="W120" s="344">
        <v>410231187.00999999</v>
      </c>
    </row>
    <row r="121" spans="1:24">
      <c r="A121" s="312" t="s">
        <v>972</v>
      </c>
      <c r="B121" s="312" t="s">
        <v>821</v>
      </c>
      <c r="E121" s="420"/>
      <c r="F121" s="420"/>
      <c r="G121" s="420"/>
      <c r="H121" s="420"/>
      <c r="I121" s="420"/>
      <c r="J121" s="420"/>
      <c r="K121" s="420"/>
      <c r="L121" s="420"/>
      <c r="M121" s="420"/>
      <c r="N121" s="420"/>
      <c r="O121" s="420"/>
      <c r="P121" s="842"/>
      <c r="Q121" s="432"/>
      <c r="R121" s="938"/>
      <c r="S121" s="408"/>
    </row>
    <row r="122" spans="1:24">
      <c r="C122" s="307" t="s">
        <v>929</v>
      </c>
      <c r="E122" s="420">
        <v>275623414</v>
      </c>
      <c r="F122" s="420">
        <v>264706366</v>
      </c>
      <c r="G122" s="420">
        <v>253648710</v>
      </c>
      <c r="H122" s="420">
        <v>242448634</v>
      </c>
      <c r="I122" s="420">
        <v>231104305</v>
      </c>
      <c r="J122" s="420">
        <v>219613864</v>
      </c>
      <c r="K122" s="420">
        <v>207975429</v>
      </c>
      <c r="L122" s="420">
        <v>196187094</v>
      </c>
      <c r="M122" s="420">
        <v>184246929</v>
      </c>
      <c r="N122" s="420">
        <v>172152978</v>
      </c>
      <c r="O122" s="420">
        <v>149943323</v>
      </c>
      <c r="P122" s="1046">
        <f>SUMIFS('Trial Balance'!$H:$H,'Trial Balance'!$A:$A,'Detail WBS''1217'!S123,'Trial Balance'!$C:$C,'Detail WBS''1217'!T123)</f>
        <v>0</v>
      </c>
      <c r="Q122" s="432">
        <f>'2016'!J119</f>
        <v>286401641</v>
      </c>
      <c r="R122" s="938">
        <f>(P122-Q122)/Q122</f>
        <v>-1</v>
      </c>
      <c r="S122" t="s">
        <v>1653</v>
      </c>
      <c r="T122" s="312" t="s">
        <v>1920</v>
      </c>
      <c r="W122" s="344">
        <v>127450619</v>
      </c>
      <c r="X122" s="1172" t="s">
        <v>1921</v>
      </c>
    </row>
    <row r="123" spans="1:24">
      <c r="C123" s="307" t="s">
        <v>930</v>
      </c>
      <c r="E123" s="420">
        <v>466412013</v>
      </c>
      <c r="F123" s="420">
        <v>453044104</v>
      </c>
      <c r="G123" s="420">
        <v>439503996</v>
      </c>
      <c r="H123" s="420">
        <v>425789471</v>
      </c>
      <c r="I123" s="420">
        <v>411898282</v>
      </c>
      <c r="J123" s="420">
        <v>397828154</v>
      </c>
      <c r="K123" s="420">
        <v>383576781</v>
      </c>
      <c r="L123" s="420">
        <v>369141829</v>
      </c>
      <c r="M123" s="420">
        <v>354520933</v>
      </c>
      <c r="N123" s="420">
        <v>339711698</v>
      </c>
      <c r="O123" s="420">
        <v>324711698</v>
      </c>
      <c r="P123" s="1046">
        <f>SUMIFS('Trial Balance'!$H:$H,'Trial Balance'!$A:$A,'Detail WBS''1217'!S124,'Trial Balance'!$C:$C,'Detail WBS''1217'!T124)</f>
        <v>0</v>
      </c>
      <c r="Q123" s="432">
        <f>'2016'!J120</f>
        <v>479609913</v>
      </c>
      <c r="R123" s="938">
        <f>(P123-Q123)/Q123</f>
        <v>-1</v>
      </c>
      <c r="S123" s="1128" t="s">
        <v>1653</v>
      </c>
      <c r="W123" s="344">
        <v>309518475</v>
      </c>
      <c r="X123" s="1171" t="s">
        <v>1921</v>
      </c>
    </row>
    <row r="124" spans="1:24">
      <c r="C124" s="307" t="s">
        <v>1398</v>
      </c>
      <c r="E124" s="420"/>
      <c r="F124" s="420"/>
      <c r="G124" s="420"/>
      <c r="H124" s="420"/>
      <c r="I124" s="420"/>
      <c r="J124" s="420"/>
      <c r="K124" s="420"/>
      <c r="L124" s="420"/>
      <c r="M124" s="420"/>
      <c r="N124" s="420">
        <v>434574000</v>
      </c>
      <c r="O124" s="420">
        <v>434574000</v>
      </c>
      <c r="P124" s="1046">
        <f>SUMIFS('Trial Balance'!$H:$H,'Trial Balance'!$A:$A,'Detail WBS''1217'!S125,'Trial Balance'!$C:$C,'Detail WBS''1217'!T125)</f>
        <v>0</v>
      </c>
      <c r="Q124" s="432"/>
      <c r="R124" s="938"/>
      <c r="S124" s="1128" t="s">
        <v>1653</v>
      </c>
      <c r="W124" s="344">
        <v>434574000</v>
      </c>
      <c r="X124" s="1171" t="s">
        <v>1921</v>
      </c>
    </row>
    <row r="125" spans="1:24">
      <c r="C125" s="307" t="s">
        <v>931</v>
      </c>
      <c r="E125" s="442"/>
      <c r="F125" s="442"/>
      <c r="G125" s="442"/>
      <c r="H125" s="442"/>
      <c r="I125" s="442">
        <v>704861660</v>
      </c>
      <c r="J125" s="442">
        <v>695418559</v>
      </c>
      <c r="K125" s="442">
        <v>685873199</v>
      </c>
      <c r="L125" s="442">
        <v>676224473</v>
      </c>
      <c r="M125" s="442">
        <v>666471262</v>
      </c>
      <c r="N125" s="442">
        <v>656612434</v>
      </c>
      <c r="O125" s="442">
        <v>646646845</v>
      </c>
      <c r="P125" s="1048">
        <f>SUMIFS('Trial Balance'!$H:$H,'Trial Balance'!$A:$A,'Detail WBS''1217'!S126,'Trial Balance'!$C:$C,'Detail WBS''1217'!T126)</f>
        <v>0</v>
      </c>
      <c r="Q125" s="446">
        <f>'2016'!J121</f>
        <v>0</v>
      </c>
      <c r="R125" s="939">
        <v>1</v>
      </c>
      <c r="S125" s="1128" t="s">
        <v>1653</v>
      </c>
      <c r="W125" s="344">
        <v>636573340</v>
      </c>
      <c r="X125" s="1171" t="s">
        <v>1922</v>
      </c>
    </row>
    <row r="126" spans="1:24">
      <c r="C126" s="307"/>
      <c r="D126" s="943" t="s">
        <v>951</v>
      </c>
      <c r="E126" s="852">
        <f>SUM(E122:E125)</f>
        <v>742035427</v>
      </c>
      <c r="F126" s="852">
        <f t="shared" ref="F126:L126" si="21">SUM(F122:F125)</f>
        <v>717750470</v>
      </c>
      <c r="G126" s="852">
        <f t="shared" si="21"/>
        <v>693152706</v>
      </c>
      <c r="H126" s="852">
        <f t="shared" si="21"/>
        <v>668238105</v>
      </c>
      <c r="I126" s="852">
        <f t="shared" si="21"/>
        <v>1347864247</v>
      </c>
      <c r="J126" s="852">
        <f t="shared" si="21"/>
        <v>1312860577</v>
      </c>
      <c r="K126" s="852">
        <f t="shared" si="21"/>
        <v>1277425409</v>
      </c>
      <c r="L126" s="852">
        <f t="shared" si="21"/>
        <v>1241553396</v>
      </c>
      <c r="M126" s="852">
        <f>SUM(M122:M125)</f>
        <v>1205239124</v>
      </c>
      <c r="N126" s="852">
        <f>SUM(N122:N125)</f>
        <v>1603051110</v>
      </c>
      <c r="O126" s="852">
        <v>1555875866</v>
      </c>
      <c r="P126" s="842">
        <f>SUM(P122:P125)</f>
        <v>0</v>
      </c>
      <c r="Q126" s="420">
        <f t="shared" ref="Q126" si="22">SUM(Q122:Q125)</f>
        <v>766011554</v>
      </c>
      <c r="R126" s="938">
        <f>(P126-Q126)/Q126</f>
        <v>-1</v>
      </c>
      <c r="W126" s="344">
        <v>1508116434</v>
      </c>
    </row>
    <row r="127" spans="1:24">
      <c r="A127" s="312" t="s">
        <v>973</v>
      </c>
      <c r="B127" s="312" t="s">
        <v>760</v>
      </c>
      <c r="E127" s="420"/>
      <c r="F127" s="420"/>
      <c r="G127" s="420"/>
      <c r="H127" s="420"/>
      <c r="I127" s="420"/>
      <c r="J127" s="420"/>
      <c r="K127" s="420"/>
      <c r="L127" s="420"/>
      <c r="M127" s="420"/>
      <c r="N127" s="420"/>
      <c r="O127" s="420">
        <v>0</v>
      </c>
      <c r="P127" s="842">
        <f>-'TB''1217'!H163*0</f>
        <v>0</v>
      </c>
      <c r="Q127" s="420">
        <f>99723434*0</f>
        <v>0</v>
      </c>
      <c r="R127" s="938"/>
      <c r="W127" s="344">
        <v>0</v>
      </c>
    </row>
    <row r="128" spans="1:24">
      <c r="A128" s="312" t="s">
        <v>974</v>
      </c>
      <c r="B128" s="312" t="s">
        <v>103</v>
      </c>
      <c r="E128" s="420"/>
      <c r="F128" s="420"/>
      <c r="G128" s="420"/>
      <c r="H128" s="420"/>
      <c r="I128" s="420"/>
      <c r="J128" s="420"/>
      <c r="K128" s="420"/>
      <c r="L128" s="420"/>
      <c r="M128" s="420"/>
      <c r="N128" s="420"/>
      <c r="O128" s="420"/>
      <c r="P128" s="842"/>
      <c r="Q128" s="432"/>
      <c r="R128" s="938"/>
    </row>
    <row r="129" spans="2:23">
      <c r="B129" s="972" t="s">
        <v>346</v>
      </c>
      <c r="C129" s="359"/>
      <c r="D129" s="359"/>
      <c r="E129" s="440">
        <v>26257500000</v>
      </c>
      <c r="F129" s="440">
        <v>26257500000</v>
      </c>
      <c r="G129" s="440">
        <v>26257500000</v>
      </c>
      <c r="H129" s="440">
        <v>26257500000</v>
      </c>
      <c r="I129" s="440">
        <v>26257500000</v>
      </c>
      <c r="J129" s="440">
        <v>26257500000</v>
      </c>
      <c r="K129" s="440">
        <v>26257500000</v>
      </c>
      <c r="L129" s="440">
        <v>26257500000</v>
      </c>
      <c r="M129" s="440">
        <v>26257500000</v>
      </c>
      <c r="N129" s="440">
        <v>26257500000</v>
      </c>
      <c r="O129" s="440">
        <v>26257500000</v>
      </c>
      <c r="P129" s="1053">
        <v>26257500000</v>
      </c>
      <c r="Q129" s="440">
        <v>26257500000</v>
      </c>
      <c r="R129" s="938">
        <f>(P129-Q129)/Q129</f>
        <v>0</v>
      </c>
      <c r="W129" s="344">
        <v>26257500000</v>
      </c>
    </row>
    <row r="130" spans="2:23">
      <c r="B130" s="972" t="s">
        <v>347</v>
      </c>
      <c r="C130" s="359"/>
      <c r="D130" s="359"/>
      <c r="E130" s="442">
        <v>2500000</v>
      </c>
      <c r="F130" s="442">
        <v>2500000</v>
      </c>
      <c r="G130" s="442">
        <v>2500000</v>
      </c>
      <c r="H130" s="442">
        <v>2500000</v>
      </c>
      <c r="I130" s="442">
        <v>2500000</v>
      </c>
      <c r="J130" s="442">
        <v>2500000</v>
      </c>
      <c r="K130" s="442">
        <v>2500000</v>
      </c>
      <c r="L130" s="442">
        <v>2500000</v>
      </c>
      <c r="M130" s="442">
        <v>2500000</v>
      </c>
      <c r="N130" s="442">
        <v>2500000</v>
      </c>
      <c r="O130" s="442">
        <v>2500000</v>
      </c>
      <c r="P130" s="974">
        <v>2500000</v>
      </c>
      <c r="Q130" s="442">
        <v>2500000</v>
      </c>
      <c r="R130" s="938">
        <f>(P130-Q130)/Q130</f>
        <v>0</v>
      </c>
      <c r="W130" s="344">
        <v>2500000</v>
      </c>
    </row>
    <row r="131" spans="2:23">
      <c r="B131" s="973" t="s">
        <v>130</v>
      </c>
      <c r="C131" s="359"/>
      <c r="D131" s="359"/>
      <c r="E131" s="440">
        <f>E129+E130</f>
        <v>26260000000</v>
      </c>
      <c r="F131" s="440">
        <f t="shared" ref="F131:L131" si="23">F129+F130</f>
        <v>26260000000</v>
      </c>
      <c r="G131" s="440">
        <f t="shared" si="23"/>
        <v>26260000000</v>
      </c>
      <c r="H131" s="440">
        <f t="shared" si="23"/>
        <v>26260000000</v>
      </c>
      <c r="I131" s="440">
        <f t="shared" si="23"/>
        <v>26260000000</v>
      </c>
      <c r="J131" s="440">
        <f t="shared" si="23"/>
        <v>26260000000</v>
      </c>
      <c r="K131" s="440">
        <f t="shared" si="23"/>
        <v>26260000000</v>
      </c>
      <c r="L131" s="440">
        <f t="shared" si="23"/>
        <v>26260000000</v>
      </c>
      <c r="M131" s="440">
        <f>SUM(M129:M130)</f>
        <v>26260000000</v>
      </c>
      <c r="N131" s="440">
        <f>SUM(N129:N130)</f>
        <v>26260000000</v>
      </c>
      <c r="O131" s="440">
        <v>26260000000</v>
      </c>
      <c r="P131" s="1058">
        <f>SUM(P129:P130)</f>
        <v>26260000000</v>
      </c>
      <c r="Q131" s="472">
        <f>SUM(Q129:Q130)</f>
        <v>26260000000</v>
      </c>
      <c r="R131" s="938">
        <f>(P131-Q131)/Q131</f>
        <v>0</v>
      </c>
      <c r="W131" s="344">
        <v>26260000000</v>
      </c>
    </row>
    <row r="132" spans="2:23">
      <c r="E132" s="420"/>
      <c r="F132" s="420"/>
      <c r="G132" s="420"/>
      <c r="H132" s="420"/>
      <c r="I132" s="420"/>
      <c r="J132" s="420"/>
      <c r="K132" s="420"/>
      <c r="L132" s="420"/>
      <c r="M132" s="420"/>
      <c r="N132" s="420"/>
      <c r="O132" s="420"/>
      <c r="P132" s="842"/>
      <c r="Q132" s="420"/>
      <c r="R132" s="938"/>
    </row>
    <row r="133" spans="2:23">
      <c r="E133" s="420"/>
      <c r="F133" s="420"/>
      <c r="G133" s="420"/>
      <c r="H133" s="420"/>
      <c r="I133" s="420"/>
      <c r="J133" s="420"/>
      <c r="K133" s="420"/>
      <c r="L133" s="420"/>
      <c r="M133" s="420"/>
      <c r="N133" s="420"/>
      <c r="O133" s="420"/>
      <c r="P133" s="842"/>
      <c r="Q133" s="420"/>
      <c r="R133" s="938"/>
    </row>
    <row r="134" spans="2:23">
      <c r="E134" s="420"/>
      <c r="F134" s="420"/>
      <c r="G134" s="420"/>
      <c r="H134" s="420"/>
      <c r="I134" s="420"/>
      <c r="J134" s="420"/>
      <c r="K134" s="420"/>
      <c r="L134" s="420"/>
      <c r="M134" s="420"/>
      <c r="N134" s="420"/>
      <c r="O134" s="420"/>
      <c r="P134" s="842"/>
      <c r="Q134" s="420"/>
      <c r="R134" s="938"/>
    </row>
    <row r="135" spans="2:23">
      <c r="E135" s="420"/>
      <c r="F135" s="420"/>
      <c r="G135" s="420"/>
      <c r="H135" s="420"/>
      <c r="I135" s="420"/>
      <c r="J135" s="420"/>
      <c r="K135" s="420"/>
      <c r="L135" s="420"/>
      <c r="M135" s="420"/>
      <c r="N135" s="420"/>
      <c r="O135" s="420"/>
      <c r="P135" s="842"/>
      <c r="Q135" s="420"/>
      <c r="R135" s="938"/>
    </row>
    <row r="136" spans="2:23">
      <c r="E136" s="420"/>
      <c r="F136" s="420"/>
      <c r="G136" s="420"/>
      <c r="H136" s="420"/>
      <c r="I136" s="420"/>
      <c r="J136" s="420"/>
      <c r="K136" s="420"/>
      <c r="L136" s="420"/>
      <c r="M136" s="420"/>
      <c r="N136" s="420"/>
      <c r="O136" s="420"/>
      <c r="P136" s="842"/>
      <c r="Q136" s="420"/>
      <c r="R136" s="938"/>
    </row>
    <row r="137" spans="2:23">
      <c r="E137" s="420"/>
      <c r="F137" s="420"/>
      <c r="G137" s="420"/>
      <c r="H137" s="420"/>
      <c r="I137" s="420"/>
      <c r="J137" s="420"/>
      <c r="K137" s="420"/>
      <c r="L137" s="420"/>
      <c r="M137" s="420"/>
      <c r="N137" s="420"/>
      <c r="O137" s="420"/>
      <c r="P137" s="842"/>
      <c r="Q137" s="420"/>
      <c r="R137" s="938"/>
    </row>
    <row r="138" spans="2:23">
      <c r="E138" s="420"/>
      <c r="F138" s="420"/>
      <c r="G138" s="420"/>
      <c r="H138" s="420"/>
      <c r="I138" s="420"/>
      <c r="J138" s="420"/>
      <c r="K138" s="420"/>
      <c r="L138" s="420"/>
      <c r="M138" s="420"/>
      <c r="N138" s="420"/>
      <c r="O138" s="420"/>
      <c r="P138" s="842"/>
      <c r="Q138" s="420"/>
      <c r="R138" s="938"/>
    </row>
    <row r="139" spans="2:23">
      <c r="E139" s="420"/>
      <c r="F139" s="420"/>
      <c r="G139" s="420"/>
      <c r="H139" s="420"/>
      <c r="I139" s="420"/>
      <c r="J139" s="420"/>
      <c r="K139" s="420"/>
      <c r="L139" s="420"/>
      <c r="M139" s="420"/>
      <c r="N139" s="420"/>
      <c r="O139" s="420"/>
      <c r="P139" s="842"/>
      <c r="Q139" s="420"/>
      <c r="R139" s="938"/>
    </row>
    <row r="140" spans="2:23">
      <c r="E140" s="420"/>
      <c r="F140" s="420"/>
      <c r="G140" s="420"/>
      <c r="H140" s="420"/>
      <c r="I140" s="420"/>
      <c r="J140" s="420"/>
      <c r="K140" s="420"/>
      <c r="L140" s="420"/>
      <c r="M140" s="420"/>
      <c r="N140" s="420"/>
      <c r="O140" s="420"/>
      <c r="P140" s="842"/>
      <c r="Q140" s="420"/>
      <c r="R140" s="938"/>
    </row>
    <row r="141" spans="2:23">
      <c r="E141" s="420"/>
      <c r="F141" s="420"/>
      <c r="G141" s="420"/>
      <c r="H141" s="420"/>
      <c r="I141" s="420"/>
      <c r="J141" s="420"/>
      <c r="K141" s="420"/>
      <c r="L141" s="420"/>
      <c r="M141" s="420"/>
      <c r="N141" s="420"/>
      <c r="O141" s="420"/>
      <c r="P141" s="842"/>
      <c r="Q141" s="420"/>
      <c r="R141" s="938"/>
    </row>
    <row r="142" spans="2:23">
      <c r="E142" s="420"/>
      <c r="F142" s="420"/>
      <c r="G142" s="420"/>
      <c r="H142" s="420"/>
      <c r="I142" s="420"/>
      <c r="J142" s="420"/>
      <c r="K142" s="420"/>
      <c r="L142" s="420"/>
      <c r="M142" s="420"/>
      <c r="N142" s="420"/>
      <c r="O142" s="420"/>
      <c r="P142" s="842"/>
      <c r="Q142" s="420"/>
    </row>
    <row r="143" spans="2:23">
      <c r="E143" s="420"/>
      <c r="F143" s="420"/>
      <c r="G143" s="420"/>
      <c r="H143" s="420"/>
      <c r="I143" s="420"/>
      <c r="J143" s="420"/>
      <c r="K143" s="420"/>
      <c r="L143" s="420"/>
      <c r="M143" s="420"/>
      <c r="N143" s="420"/>
      <c r="O143" s="420"/>
      <c r="P143" s="842"/>
      <c r="Q143" s="420"/>
    </row>
    <row r="144" spans="2:23">
      <c r="E144" s="420"/>
      <c r="F144" s="420"/>
      <c r="G144" s="420"/>
      <c r="H144" s="420"/>
      <c r="I144" s="420"/>
      <c r="J144" s="420"/>
      <c r="K144" s="420"/>
      <c r="L144" s="420"/>
      <c r="M144" s="420"/>
      <c r="N144" s="420"/>
      <c r="O144" s="420"/>
      <c r="P144" s="842"/>
      <c r="Q144" s="420"/>
    </row>
    <row r="145" spans="5:17">
      <c r="E145" s="420"/>
      <c r="F145" s="420"/>
      <c r="G145" s="420"/>
      <c r="H145" s="420"/>
      <c r="I145" s="420"/>
      <c r="J145" s="420"/>
      <c r="K145" s="420"/>
      <c r="L145" s="420"/>
      <c r="M145" s="420"/>
      <c r="N145" s="420"/>
      <c r="O145" s="420"/>
      <c r="P145" s="842"/>
      <c r="Q145" s="420"/>
    </row>
    <row r="146" spans="5:17">
      <c r="E146" s="420"/>
      <c r="F146" s="420"/>
      <c r="G146" s="420"/>
      <c r="H146" s="420"/>
      <c r="I146" s="420"/>
      <c r="J146" s="420"/>
      <c r="K146" s="420"/>
      <c r="L146" s="420"/>
      <c r="M146" s="420"/>
      <c r="N146" s="420"/>
      <c r="O146" s="420"/>
      <c r="P146" s="842"/>
      <c r="Q146" s="420"/>
    </row>
    <row r="147" spans="5:17">
      <c r="E147" s="420"/>
      <c r="F147" s="420"/>
      <c r="G147" s="420"/>
      <c r="H147" s="420"/>
      <c r="I147" s="420"/>
      <c r="J147" s="420"/>
      <c r="K147" s="420"/>
    </row>
    <row r="148" spans="5:17">
      <c r="E148" s="420"/>
      <c r="F148" s="420"/>
      <c r="G148" s="420"/>
      <c r="H148" s="420"/>
      <c r="I148" s="420"/>
      <c r="J148" s="420"/>
      <c r="K148" s="420"/>
    </row>
    <row r="149" spans="5:17">
      <c r="E149" s="420"/>
      <c r="F149" s="420"/>
      <c r="G149" s="420"/>
      <c r="H149" s="420"/>
      <c r="I149" s="420"/>
      <c r="J149" s="420"/>
      <c r="K149" s="420"/>
    </row>
    <row r="150" spans="5:17">
      <c r="E150" s="420"/>
      <c r="F150" s="420"/>
      <c r="G150" s="420"/>
      <c r="H150" s="420"/>
      <c r="I150" s="420"/>
      <c r="J150" s="420"/>
      <c r="K150" s="420"/>
    </row>
  </sheetData>
  <mergeCells count="3">
    <mergeCell ref="B1:R1"/>
    <mergeCell ref="B2:R2"/>
    <mergeCell ref="B3:R3"/>
  </mergeCells>
  <pageMargins left="0.5" right="0" top="0.5" bottom="0.5" header="0" footer="0"/>
  <pageSetup paperSize="9" scale="63" orientation="portrait" r:id="rId1"/>
  <rowBreaks count="1" manualBreakCount="1">
    <brk id="74" max="9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0"/>
  <sheetViews>
    <sheetView topLeftCell="A104" workbookViewId="0">
      <selection activeCell="W61" sqref="W61"/>
    </sheetView>
  </sheetViews>
  <sheetFormatPr defaultColWidth="9.1796875" defaultRowHeight="13"/>
  <cols>
    <col min="1" max="1" width="7.54296875" style="854" bestFit="1" customWidth="1"/>
    <col min="2" max="2" width="41.453125" style="313" bestFit="1" customWidth="1"/>
    <col min="3" max="3" width="2.7265625" style="312" customWidth="1"/>
    <col min="4" max="10" width="13.54296875" style="420" hidden="1" customWidth="1"/>
    <col min="11" max="13" width="13.54296875" style="346" hidden="1" customWidth="1"/>
    <col min="14" max="14" width="12.54296875" style="346" bestFit="1" customWidth="1"/>
    <col min="15" max="15" width="2.1796875" style="921" customWidth="1"/>
    <col min="16" max="16" width="13.54296875" style="1046" bestFit="1" customWidth="1"/>
    <col min="17" max="17" width="14.54296875" style="1046" bestFit="1" customWidth="1"/>
    <col min="18" max="18" width="14.54296875" style="312" hidden="1" customWidth="1"/>
    <col min="19" max="19" width="14.1796875" style="346" hidden="1" customWidth="1"/>
    <col min="20" max="20" width="6.54296875" style="312" hidden="1" customWidth="1"/>
    <col min="21" max="21" width="2.54296875" style="312" hidden="1" customWidth="1"/>
    <col min="22" max="22" width="14.54296875" style="346" hidden="1" customWidth="1"/>
    <col min="23" max="23" width="19.7265625" style="312" bestFit="1" customWidth="1"/>
    <col min="24" max="25" width="12.7265625" style="312" bestFit="1" customWidth="1"/>
    <col min="26" max="26" width="9.1796875" style="312"/>
    <col min="27" max="27" width="17" style="344" bestFit="1" customWidth="1"/>
    <col min="28" max="32" width="9.1796875" style="312"/>
    <col min="33" max="33" width="8.7265625" customWidth="1"/>
    <col min="34" max="16384" width="9.1796875" style="312"/>
  </cols>
  <sheetData>
    <row r="1" spans="1:27">
      <c r="B1" s="1182" t="s">
        <v>0</v>
      </c>
      <c r="C1" s="1182"/>
      <c r="D1" s="1182"/>
      <c r="E1" s="1182"/>
      <c r="F1" s="1182"/>
      <c r="G1" s="1182"/>
      <c r="H1" s="1182"/>
      <c r="I1" s="1182"/>
      <c r="J1" s="1182"/>
      <c r="K1" s="1182"/>
      <c r="L1" s="1182"/>
      <c r="M1" s="1182"/>
      <c r="N1" s="1182"/>
      <c r="O1" s="1182"/>
      <c r="P1" s="1182"/>
      <c r="Q1" s="1182"/>
      <c r="R1" s="1182"/>
      <c r="S1" s="1182"/>
      <c r="T1" s="1182"/>
      <c r="V1" s="312"/>
    </row>
    <row r="2" spans="1:27">
      <c r="B2" s="1182" t="s">
        <v>826</v>
      </c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V2" s="312"/>
    </row>
    <row r="3" spans="1:27">
      <c r="B3" s="1186" t="str">
        <f>'Detail WBS''1217'!B3:R3</f>
        <v>PERIODE 31 DEC 2017 DAN 2016</v>
      </c>
      <c r="C3" s="1186"/>
      <c r="D3" s="1186"/>
      <c r="E3" s="1186"/>
      <c r="F3" s="1186"/>
      <c r="G3" s="1186"/>
      <c r="H3" s="1186"/>
      <c r="I3" s="1186"/>
      <c r="J3" s="1186"/>
      <c r="K3" s="1186"/>
      <c r="L3" s="1186"/>
      <c r="M3" s="1186"/>
      <c r="N3" s="1186"/>
      <c r="O3" s="1186"/>
      <c r="P3" s="1186"/>
      <c r="Q3" s="1186"/>
      <c r="R3" s="1186"/>
      <c r="S3" s="1186"/>
      <c r="T3" s="1186"/>
      <c r="V3" s="312"/>
    </row>
    <row r="4" spans="1:27">
      <c r="B4" s="310"/>
      <c r="C4" s="310"/>
      <c r="D4" s="920"/>
      <c r="E4" s="920"/>
      <c r="F4" s="920"/>
      <c r="G4" s="920"/>
      <c r="H4" s="920"/>
      <c r="I4" s="920"/>
      <c r="J4" s="920"/>
      <c r="K4" s="906"/>
      <c r="L4" s="906"/>
      <c r="M4" s="906"/>
      <c r="N4" s="906"/>
      <c r="P4" s="1044"/>
      <c r="Q4" s="1044"/>
      <c r="R4" s="310"/>
      <c r="S4" s="906"/>
      <c r="V4" s="906"/>
    </row>
    <row r="5" spans="1:27">
      <c r="B5" s="310"/>
      <c r="C5" s="310"/>
      <c r="D5" s="920"/>
      <c r="E5" s="920"/>
      <c r="F5" s="920"/>
      <c r="G5" s="920"/>
      <c r="H5" s="920"/>
      <c r="I5" s="920"/>
      <c r="J5" s="920"/>
      <c r="K5" s="310"/>
      <c r="L5" s="999"/>
      <c r="M5" s="1036"/>
      <c r="N5" s="1042"/>
      <c r="P5" s="1187">
        <f>'Dec''17'!O7</f>
        <v>43070</v>
      </c>
      <c r="Q5" s="1187"/>
      <c r="R5" s="310"/>
      <c r="S5" s="906"/>
      <c r="V5" s="420">
        <f>'Dec''17'!Y7</f>
        <v>0</v>
      </c>
    </row>
    <row r="6" spans="1:27">
      <c r="B6" s="312"/>
      <c r="D6" s="860">
        <v>42736</v>
      </c>
      <c r="E6" s="860">
        <v>75638</v>
      </c>
      <c r="F6" s="860">
        <v>42795</v>
      </c>
      <c r="G6" s="860">
        <v>42826</v>
      </c>
      <c r="H6" s="860">
        <v>42856</v>
      </c>
      <c r="I6" s="860">
        <v>75758</v>
      </c>
      <c r="J6" s="860">
        <v>42917</v>
      </c>
      <c r="K6" s="848" t="s">
        <v>1381</v>
      </c>
      <c r="L6" s="848" t="s">
        <v>1387</v>
      </c>
      <c r="M6" s="848" t="s">
        <v>1400</v>
      </c>
      <c r="N6" s="848" t="s">
        <v>1409</v>
      </c>
      <c r="O6" s="848"/>
      <c r="P6" s="1059" t="s">
        <v>1058</v>
      </c>
      <c r="Q6" s="1059" t="s">
        <v>1059</v>
      </c>
      <c r="R6" s="860">
        <f>'Detail WBS''1217'!Q6</f>
        <v>42705</v>
      </c>
      <c r="S6" s="908" t="s">
        <v>8</v>
      </c>
      <c r="T6" s="909" t="s">
        <v>9</v>
      </c>
      <c r="V6" s="848" t="s">
        <v>1059</v>
      </c>
      <c r="AA6" s="344" t="s">
        <v>1059</v>
      </c>
    </row>
    <row r="7" spans="1:27">
      <c r="B7" s="312"/>
      <c r="O7" s="346"/>
    </row>
    <row r="8" spans="1:27">
      <c r="A8" s="854" t="s">
        <v>976</v>
      </c>
      <c r="B8" s="312" t="s">
        <v>827</v>
      </c>
      <c r="D8" s="420">
        <v>1020333710</v>
      </c>
      <c r="E8" s="420">
        <v>1021364553</v>
      </c>
      <c r="F8" s="420">
        <v>1026763028</v>
      </c>
      <c r="G8" s="420">
        <v>1056786988</v>
      </c>
      <c r="H8" s="420">
        <v>1365450277</v>
      </c>
      <c r="I8" s="420">
        <v>1285186836.29</v>
      </c>
      <c r="J8" s="420">
        <v>1392835208</v>
      </c>
      <c r="K8" s="420">
        <v>1354921922</v>
      </c>
      <c r="L8" s="420">
        <v>1462817476</v>
      </c>
      <c r="M8" s="420">
        <v>1429598567</v>
      </c>
      <c r="N8" s="420">
        <v>340688142.26000023</v>
      </c>
      <c r="O8" s="347"/>
      <c r="P8" s="1047">
        <f>('TB''1217'!J234+'TB''1217'!J237+'TB''1217'!J235)</f>
        <v>870358066.45000005</v>
      </c>
      <c r="Q8" s="1046">
        <f>SUMIF('Trial Balance'!$A:$A,'Detail WPL''1217'!W8,'Trial Balance'!$H:$H)+SUMIF('Trial Balance'!$A:$A,'Detail WPL''1217'!X8,'Trial Balance'!$H:$H)+SUMIF('Trial Balance'!$A:$A,'Detail WPL''1217'!Y8,'Trial Balance'!$H:$H)+SUMIF('Trial Balance'!$A:$A,'Detail WPL''1217'!Z8,'Trial Balance'!$H:$H)</f>
        <v>0</v>
      </c>
      <c r="R8" s="346">
        <f>'2016'!J141+'2016'!J142</f>
        <v>13326202350</v>
      </c>
      <c r="S8" s="346">
        <f t="shared" ref="S8:S18" si="0">Q8-R8</f>
        <v>-13326202350</v>
      </c>
      <c r="T8" s="898">
        <f>S8/R8</f>
        <v>-1</v>
      </c>
      <c r="U8" s="912"/>
      <c r="V8" s="347">
        <f>('TB''1217'!H234+'TB''1217'!H237+'TB''1217'!H235)</f>
        <v>13627104774</v>
      </c>
      <c r="W8" s="921" t="s">
        <v>1727</v>
      </c>
      <c r="X8" s="921" t="s">
        <v>1729</v>
      </c>
      <c r="Y8" s="921" t="s">
        <v>1732</v>
      </c>
      <c r="AA8" s="344">
        <v>13627104774.000002</v>
      </c>
    </row>
    <row r="9" spans="1:27">
      <c r="B9" s="312" t="s">
        <v>828</v>
      </c>
      <c r="D9" s="420">
        <f>1000000+21756000</f>
        <v>22756000</v>
      </c>
      <c r="E9" s="420">
        <v>1250000</v>
      </c>
      <c r="H9" s="420">
        <v>1750000</v>
      </c>
      <c r="I9" s="420">
        <v>0</v>
      </c>
      <c r="J9" s="420">
        <v>12029904</v>
      </c>
      <c r="K9" s="420">
        <v>3375000</v>
      </c>
      <c r="L9" s="420">
        <v>0</v>
      </c>
      <c r="M9" s="420">
        <v>750000</v>
      </c>
      <c r="N9" s="420">
        <v>250000</v>
      </c>
      <c r="O9" s="347"/>
      <c r="P9" s="1047">
        <f>('TB''1217'!J236)</f>
        <v>2250000</v>
      </c>
      <c r="Q9" s="1046">
        <f>SUMIF('Trial Balance'!$A:$A,'Detail WPL''1217'!W9,'Trial Balance'!$H:$H)+SUMIF('Trial Balance'!$A:$A,'Detail WPL''1217'!X9,'Trial Balance'!$H:$H)+SUMIF('Trial Balance'!$A:$A,'Detail WPL''1217'!Y9,'Trial Balance'!$H:$H)+SUMIF('Trial Balance'!$A:$A,'Detail WPL''1217'!Z9,'Trial Balance'!$H:$H)</f>
        <v>0</v>
      </c>
      <c r="R9" s="346">
        <f>'2016'!J150</f>
        <v>37137000</v>
      </c>
      <c r="S9" s="346">
        <f t="shared" si="0"/>
        <v>-37137000</v>
      </c>
      <c r="T9" s="898">
        <f t="shared" ref="T9:T16" si="1">S9/R9</f>
        <v>-1</v>
      </c>
      <c r="U9" s="912"/>
      <c r="V9" s="347">
        <f>('TB''1217'!H236)</f>
        <v>44410904</v>
      </c>
      <c r="W9" s="921" t="s">
        <v>1730</v>
      </c>
      <c r="AA9" s="344">
        <v>44410904</v>
      </c>
    </row>
    <row r="10" spans="1:27">
      <c r="B10" s="312" t="s">
        <v>829</v>
      </c>
      <c r="D10" s="420">
        <v>113794654</v>
      </c>
      <c r="E10" s="420">
        <v>123626818</v>
      </c>
      <c r="F10" s="420">
        <v>123059976</v>
      </c>
      <c r="G10" s="420">
        <v>118549363</v>
      </c>
      <c r="H10" s="420">
        <v>74989748.25</v>
      </c>
      <c r="I10" s="420">
        <v>38446560.859999999</v>
      </c>
      <c r="J10" s="420">
        <v>170361990</v>
      </c>
      <c r="K10" s="420">
        <v>235380956</v>
      </c>
      <c r="L10" s="420">
        <v>210204245</v>
      </c>
      <c r="M10" s="420">
        <v>224626596</v>
      </c>
      <c r="N10" s="420">
        <v>205352203</v>
      </c>
      <c r="O10" s="347"/>
      <c r="P10" s="1047">
        <f>('TB''1217'!J238)</f>
        <v>368265119.98000002</v>
      </c>
      <c r="Q10" s="1046">
        <f>SUMIF('Trial Balance'!$A:$A,'Detail WPL''1217'!W10,'Trial Balance'!$H:$H)+SUMIF('Trial Balance'!$A:$A,'Detail WPL''1217'!X10,'Trial Balance'!$H:$H)+SUMIF('Trial Balance'!$A:$A,'Detail WPL''1217'!Y10,'Trial Balance'!$H:$H)+SUMIF('Trial Balance'!$A:$A,'Detail WPL''1217'!Z10,'Trial Balance'!$H:$H)</f>
        <v>0</v>
      </c>
      <c r="R10" s="346">
        <f>'2016'!J143</f>
        <v>1742950960</v>
      </c>
      <c r="S10" s="346">
        <f t="shared" si="0"/>
        <v>-1742950960</v>
      </c>
      <c r="T10" s="898">
        <f t="shared" si="1"/>
        <v>-1</v>
      </c>
      <c r="U10" s="912"/>
      <c r="V10" s="347">
        <f>('TB''1217'!H238)</f>
        <v>2006658230.3399999</v>
      </c>
      <c r="W10" t="s">
        <v>1734</v>
      </c>
      <c r="AA10" s="344">
        <v>2006658230.0900002</v>
      </c>
    </row>
    <row r="11" spans="1:27">
      <c r="B11" s="312" t="s">
        <v>830</v>
      </c>
      <c r="D11" s="420">
        <v>39582715</v>
      </c>
      <c r="E11" s="420">
        <v>38767348</v>
      </c>
      <c r="F11" s="420">
        <v>39316396</v>
      </c>
      <c r="G11" s="420">
        <v>40559012</v>
      </c>
      <c r="H11" s="420">
        <v>40630650</v>
      </c>
      <c r="I11" s="420">
        <v>43934831</v>
      </c>
      <c r="J11" s="420">
        <v>89386404</v>
      </c>
      <c r="K11" s="420">
        <v>35916657</v>
      </c>
      <c r="L11" s="420">
        <v>50829281</v>
      </c>
      <c r="M11" s="420">
        <v>44935762</v>
      </c>
      <c r="N11" s="420">
        <v>43507899</v>
      </c>
      <c r="O11" s="347"/>
      <c r="P11" s="1047">
        <f>('TB''1217'!J239)</f>
        <v>46023268</v>
      </c>
      <c r="Q11" s="1046">
        <f>SUMIF('Trial Balance'!$A:$A,'Detail WPL''1217'!W11,'Trial Balance'!$H:$H)+SUMIF('Trial Balance'!$A:$A,'Detail WPL''1217'!X11,'Trial Balance'!$H:$H)+SUMIF('Trial Balance'!$A:$A,'Detail WPL''1217'!Y11,'Trial Balance'!$H:$H)+SUMIF('Trial Balance'!$A:$A,'Detail WPL''1217'!Z11,'Trial Balance'!$H:$H)</f>
        <v>0</v>
      </c>
      <c r="R11" s="346">
        <f>'2016'!J144</f>
        <v>391454975</v>
      </c>
      <c r="S11" s="346">
        <f t="shared" si="0"/>
        <v>-391454975</v>
      </c>
      <c r="T11" s="898">
        <f t="shared" si="1"/>
        <v>-1</v>
      </c>
      <c r="U11" s="912"/>
      <c r="V11" s="347">
        <f>('TB''1217'!H239)</f>
        <v>553390223</v>
      </c>
      <c r="W11" t="s">
        <v>1736</v>
      </c>
      <c r="AA11" s="344">
        <v>553390223</v>
      </c>
    </row>
    <row r="12" spans="1:27">
      <c r="B12" s="312" t="s">
        <v>372</v>
      </c>
      <c r="D12" s="420">
        <v>27547610</v>
      </c>
      <c r="E12" s="420">
        <v>8112997</v>
      </c>
      <c r="F12" s="420">
        <v>7660590</v>
      </c>
      <c r="G12" s="420">
        <v>7920270</v>
      </c>
      <c r="H12" s="420">
        <v>72138085</v>
      </c>
      <c r="I12" s="420">
        <v>19286076</v>
      </c>
      <c r="J12" s="420">
        <v>44447922</v>
      </c>
      <c r="K12" s="420">
        <v>20751301</v>
      </c>
      <c r="L12" s="420">
        <v>20246672</v>
      </c>
      <c r="M12" s="420">
        <v>3584326</v>
      </c>
      <c r="N12" s="420">
        <v>27597794</v>
      </c>
      <c r="O12" s="347"/>
      <c r="P12" s="1047">
        <f>('TB''1217'!J240)</f>
        <v>16974663</v>
      </c>
      <c r="Q12" s="1046">
        <f>SUMIF('Trial Balance'!$A:$A,'Detail WPL''1217'!W12,'Trial Balance'!$H:$H)+SUMIF('Trial Balance'!$A:$A,'Detail WPL''1217'!X12,'Trial Balance'!$H:$H)+SUMIF('Trial Balance'!$A:$A,'Detail WPL''1217'!Y12,'Trial Balance'!$H:$H)+SUMIF('Trial Balance'!$A:$A,'Detail WPL''1217'!Z12,'Trial Balance'!$H:$H)</f>
        <v>0</v>
      </c>
      <c r="R12" s="346">
        <f>'2016'!J145</f>
        <v>366526505</v>
      </c>
      <c r="S12" s="346">
        <f t="shared" si="0"/>
        <v>-366526505</v>
      </c>
      <c r="T12" s="898">
        <f t="shared" si="1"/>
        <v>-1</v>
      </c>
      <c r="U12" s="912"/>
      <c r="V12" s="347">
        <f>('TB''1217'!H240)</f>
        <v>276268306</v>
      </c>
      <c r="W12" t="s">
        <v>1738</v>
      </c>
      <c r="AA12" s="344">
        <v>276268306</v>
      </c>
    </row>
    <row r="13" spans="1:27">
      <c r="B13" s="312" t="s">
        <v>374</v>
      </c>
      <c r="D13" s="420">
        <v>38164393</v>
      </c>
      <c r="E13" s="420">
        <v>38164393</v>
      </c>
      <c r="F13" s="420">
        <v>37943612</v>
      </c>
      <c r="G13" s="420">
        <v>37512164</v>
      </c>
      <c r="H13" s="420">
        <v>30899580</v>
      </c>
      <c r="I13" s="420">
        <v>40418895</v>
      </c>
      <c r="J13" s="420">
        <v>40820521</v>
      </c>
      <c r="K13" s="420">
        <v>41366245</v>
      </c>
      <c r="L13" s="420">
        <v>41167445</v>
      </c>
      <c r="M13" s="420">
        <v>41422670</v>
      </c>
      <c r="N13" s="420">
        <v>40811331</v>
      </c>
      <c r="O13" s="347"/>
      <c r="P13" s="1047">
        <f>('TB''1217'!J241)</f>
        <v>41975196</v>
      </c>
      <c r="Q13" s="1046">
        <f>SUMIF('Trial Balance'!$A:$A,'Detail WPL''1217'!W13,'Trial Balance'!$H:$H)+SUMIF('Trial Balance'!$A:$A,'Detail WPL''1217'!X13,'Trial Balance'!$H:$H)+SUMIF('Trial Balance'!$A:$A,'Detail WPL''1217'!Y13,'Trial Balance'!$H:$H)+SUMIF('Trial Balance'!$A:$A,'Detail WPL''1217'!Z13,'Trial Balance'!$H:$H)</f>
        <v>0</v>
      </c>
      <c r="R13" s="346">
        <f>'2016'!J146</f>
        <v>442234777</v>
      </c>
      <c r="S13" s="346">
        <f t="shared" si="0"/>
        <v>-442234777</v>
      </c>
      <c r="T13" s="898">
        <f t="shared" si="1"/>
        <v>-1</v>
      </c>
      <c r="U13" s="912"/>
      <c r="V13" s="347">
        <f>('TB''1217'!H241)</f>
        <v>470666445</v>
      </c>
      <c r="W13" t="s">
        <v>1740</v>
      </c>
      <c r="AA13" s="344">
        <v>470666445</v>
      </c>
    </row>
    <row r="14" spans="1:27">
      <c r="B14" s="312" t="s">
        <v>831</v>
      </c>
      <c r="E14" s="420">
        <v>7131900</v>
      </c>
      <c r="F14" s="420">
        <v>34080</v>
      </c>
      <c r="G14" s="420">
        <v>43917200</v>
      </c>
      <c r="H14" s="420">
        <v>0</v>
      </c>
      <c r="I14" s="420">
        <v>0</v>
      </c>
      <c r="J14" s="420">
        <v>0</v>
      </c>
      <c r="K14" s="420">
        <v>0</v>
      </c>
      <c r="L14" s="420">
        <v>0</v>
      </c>
      <c r="M14" s="420">
        <v>107922</v>
      </c>
      <c r="N14" s="420">
        <v>0</v>
      </c>
      <c r="O14" s="347"/>
      <c r="P14" s="1047">
        <f>('TB''1217'!J243)</f>
        <v>0</v>
      </c>
      <c r="Q14" s="1046">
        <f>SUMIF('Trial Balance'!$A:$A,'Detail WPL''1217'!W14,'Trial Balance'!$H:$H)+SUMIF('Trial Balance'!$A:$A,'Detail WPL''1217'!X14,'Trial Balance'!$H:$H)+SUMIF('Trial Balance'!$A:$A,'Detail WPL''1217'!Y14,'Trial Balance'!$H:$H)+SUMIF('Trial Balance'!$A:$A,'Detail WPL''1217'!Z14,'Trial Balance'!$H:$H)</f>
        <v>0</v>
      </c>
      <c r="R14" s="346">
        <f>'2016'!J147</f>
        <v>38567532</v>
      </c>
      <c r="S14" s="346">
        <f t="shared" si="0"/>
        <v>-38567532</v>
      </c>
      <c r="T14" s="898">
        <f t="shared" si="1"/>
        <v>-1</v>
      </c>
      <c r="U14" s="912"/>
      <c r="V14" s="347">
        <f>('TB''1217'!H243)</f>
        <v>51191102</v>
      </c>
      <c r="W14" s="921" t="s">
        <v>1741</v>
      </c>
      <c r="AA14" s="344">
        <v>51191102</v>
      </c>
    </row>
    <row r="15" spans="1:27">
      <c r="B15" s="312" t="s">
        <v>832</v>
      </c>
      <c r="D15" s="420">
        <v>12209060</v>
      </c>
      <c r="F15" s="420">
        <v>1925788</v>
      </c>
      <c r="G15" s="420">
        <v>24728149</v>
      </c>
      <c r="H15" s="420">
        <v>0</v>
      </c>
      <c r="I15" s="420">
        <v>28938684</v>
      </c>
      <c r="J15" s="420">
        <v>6167916</v>
      </c>
      <c r="K15" s="420">
        <v>1300000</v>
      </c>
      <c r="L15" s="420">
        <v>28128071</v>
      </c>
      <c r="M15" s="420">
        <v>31181548</v>
      </c>
      <c r="N15" s="420">
        <v>650000</v>
      </c>
      <c r="O15" s="347"/>
      <c r="P15" s="1047">
        <f>('TB''1217'!J244)</f>
        <v>28330989</v>
      </c>
      <c r="Q15" s="1046">
        <f>SUMIF('Trial Balance'!$A:$A,'Detail WPL''1217'!W15,'Trial Balance'!$H:$H)+SUMIF('Trial Balance'!$A:$A,'Detail WPL''1217'!X15,'Trial Balance'!$H:$H)+SUMIF('Trial Balance'!$A:$A,'Detail WPL''1217'!Y15,'Trial Balance'!$H:$H)+SUMIF('Trial Balance'!$A:$A,'Detail WPL''1217'!Z15,'Trial Balance'!$H:$H)</f>
        <v>0</v>
      </c>
      <c r="R15" s="346">
        <f>'2016'!J148</f>
        <v>131188671</v>
      </c>
      <c r="S15" s="346">
        <f t="shared" si="0"/>
        <v>-131188671</v>
      </c>
      <c r="T15" s="898">
        <f t="shared" si="1"/>
        <v>-1</v>
      </c>
      <c r="U15" s="912"/>
      <c r="V15" s="347">
        <f>('TB''1217'!H244)</f>
        <v>163560205</v>
      </c>
      <c r="W15" t="s">
        <v>1743</v>
      </c>
      <c r="AA15" s="344">
        <v>163560205</v>
      </c>
    </row>
    <row r="16" spans="1:27">
      <c r="B16" s="312" t="s">
        <v>379</v>
      </c>
      <c r="D16" s="420">
        <v>31614718</v>
      </c>
      <c r="E16" s="420">
        <v>31378469</v>
      </c>
      <c r="F16" s="420">
        <v>24126584.829999998</v>
      </c>
      <c r="G16" s="420">
        <v>11059279</v>
      </c>
      <c r="H16" s="420">
        <v>11059279</v>
      </c>
      <c r="I16" s="420">
        <v>51147753.799999997</v>
      </c>
      <c r="J16" s="420">
        <v>15613315</v>
      </c>
      <c r="K16" s="420">
        <v>25468245</v>
      </c>
      <c r="L16" s="420">
        <v>25468245</v>
      </c>
      <c r="M16" s="420">
        <v>25510882</v>
      </c>
      <c r="N16" s="420">
        <v>25996458</v>
      </c>
      <c r="O16" s="347"/>
      <c r="P16" s="1047">
        <f>('TB''1217'!J245)</f>
        <v>25996458</v>
      </c>
      <c r="R16" s="346">
        <f>'2016'!J149</f>
        <v>291762982.45999998</v>
      </c>
      <c r="S16" s="347">
        <f t="shared" si="0"/>
        <v>-291762982.45999998</v>
      </c>
      <c r="T16" s="918">
        <f t="shared" si="1"/>
        <v>-1</v>
      </c>
      <c r="U16" s="912"/>
      <c r="V16" s="347">
        <f>('TB''1217'!H245)</f>
        <v>304439686.63</v>
      </c>
      <c r="W16" s="1128" t="s">
        <v>1741</v>
      </c>
      <c r="AA16" s="344">
        <v>304439686.63</v>
      </c>
    </row>
    <row r="17" spans="1:42" ht="14.5">
      <c r="B17" s="312" t="s">
        <v>1428</v>
      </c>
      <c r="K17" s="420"/>
      <c r="L17" s="420"/>
      <c r="M17" s="420"/>
      <c r="N17" s="420"/>
      <c r="O17" s="347"/>
      <c r="P17" s="1047">
        <f>'TB''1217'!J242</f>
        <v>313967175</v>
      </c>
      <c r="Q17" s="1046">
        <f>SUMIF('Trial Balance'!$A:$A,'Detail WPL''1217'!W17,'Trial Balance'!$H:$H)+SUMIF('Trial Balance'!$A:$A,'Detail WPL''1217'!X17,'Trial Balance'!$H:$H)+SUMIF('Trial Balance'!$A:$A,'Detail WPL''1217'!Y17,'Trial Balance'!$H:$H)+SUMIF('Trial Balance'!$A:$A,'Detail WPL''1217'!Z17,'Trial Balance'!$H:$H)</f>
        <v>0</v>
      </c>
      <c r="R17" s="346"/>
      <c r="S17" s="347"/>
      <c r="T17" s="918"/>
      <c r="U17" s="912"/>
      <c r="V17" s="347">
        <f>'TB''1217'!J242</f>
        <v>313967175</v>
      </c>
      <c r="W17" s="1152" t="s">
        <v>1917</v>
      </c>
      <c r="AA17" s="344">
        <v>313967175</v>
      </c>
    </row>
    <row r="18" spans="1:42">
      <c r="B18" s="312" t="s">
        <v>382</v>
      </c>
      <c r="F18" s="420">
        <v>1000000</v>
      </c>
      <c r="G18" s="420">
        <v>1000000</v>
      </c>
      <c r="H18" s="420">
        <v>1000000</v>
      </c>
      <c r="I18" s="420">
        <v>0</v>
      </c>
      <c r="J18" s="420">
        <v>0</v>
      </c>
      <c r="K18" s="442">
        <v>0</v>
      </c>
      <c r="L18" s="442">
        <v>0</v>
      </c>
      <c r="M18" s="442">
        <v>0</v>
      </c>
      <c r="N18" s="442">
        <v>0</v>
      </c>
      <c r="O18" s="358"/>
      <c r="P18" s="1048">
        <f>('TB''1217'!J246)</f>
        <v>0</v>
      </c>
      <c r="R18" s="358"/>
      <c r="S18" s="358">
        <f t="shared" si="0"/>
        <v>0</v>
      </c>
      <c r="T18" s="900">
        <v>1</v>
      </c>
      <c r="U18" s="912"/>
      <c r="V18" s="358">
        <f>('TB''1217'!H246)</f>
        <v>3000000</v>
      </c>
      <c r="W18" s="1128" t="s">
        <v>1730</v>
      </c>
      <c r="AA18" s="344">
        <v>3000000</v>
      </c>
    </row>
    <row r="19" spans="1:42">
      <c r="B19" s="922" t="s">
        <v>857</v>
      </c>
      <c r="D19" s="923">
        <f>SUM(D8:D18)</f>
        <v>1306002860</v>
      </c>
      <c r="E19" s="923">
        <f t="shared" ref="E19:J19" si="2">SUM(E8:E18)</f>
        <v>1269796478</v>
      </c>
      <c r="F19" s="923">
        <f t="shared" si="2"/>
        <v>1261830054.8299999</v>
      </c>
      <c r="G19" s="923">
        <f t="shared" si="2"/>
        <v>1342032425</v>
      </c>
      <c r="H19" s="923">
        <f t="shared" si="2"/>
        <v>1597917619.25</v>
      </c>
      <c r="I19" s="923">
        <f t="shared" si="2"/>
        <v>1507359636.9499998</v>
      </c>
      <c r="J19" s="923">
        <f t="shared" si="2"/>
        <v>1771663180</v>
      </c>
      <c r="K19" s="420">
        <f t="shared" ref="K19:M19" si="3">SUM(K8:K18)</f>
        <v>1718480326</v>
      </c>
      <c r="L19" s="420">
        <f t="shared" si="3"/>
        <v>1838861435</v>
      </c>
      <c r="M19" s="420">
        <f t="shared" si="3"/>
        <v>1801718273</v>
      </c>
      <c r="N19" s="420">
        <v>684853827.26000023</v>
      </c>
      <c r="O19" s="346"/>
      <c r="P19" s="1046">
        <f t="shared" ref="P19:S19" si="4">SUM(P8:P18)</f>
        <v>1714140935.4300001</v>
      </c>
      <c r="Q19" s="1046">
        <f>SUM(Q8:Q18)</f>
        <v>0</v>
      </c>
      <c r="R19" s="346">
        <f t="shared" si="4"/>
        <v>16768025752.459999</v>
      </c>
      <c r="S19" s="346">
        <f t="shared" si="4"/>
        <v>-16768025752.459999</v>
      </c>
      <c r="T19" s="898">
        <f>S19/R19</f>
        <v>-1</v>
      </c>
      <c r="U19" s="912"/>
      <c r="V19" s="346">
        <f t="shared" ref="V19" si="5">SUM(V8:V18)</f>
        <v>17814657050.970001</v>
      </c>
      <c r="AA19" s="344">
        <v>17814657050.720005</v>
      </c>
    </row>
    <row r="20" spans="1:42">
      <c r="B20" s="922"/>
      <c r="D20" s="440"/>
      <c r="E20" s="440"/>
      <c r="F20" s="440"/>
      <c r="G20" s="440"/>
      <c r="H20" s="440"/>
      <c r="I20" s="440"/>
      <c r="J20" s="440"/>
      <c r="K20" s="420"/>
      <c r="L20" s="420"/>
      <c r="M20" s="420"/>
      <c r="N20" s="420"/>
      <c r="O20" s="346"/>
      <c r="T20" s="898"/>
      <c r="U20" s="912"/>
    </row>
    <row r="21" spans="1:42">
      <c r="A21" s="854" t="s">
        <v>977</v>
      </c>
      <c r="B21" s="312" t="s">
        <v>833</v>
      </c>
      <c r="D21" s="440">
        <v>0</v>
      </c>
      <c r="E21" s="440">
        <v>7714285</v>
      </c>
      <c r="F21" s="440">
        <v>0</v>
      </c>
      <c r="G21" s="440">
        <v>1930500</v>
      </c>
      <c r="H21" s="440">
        <v>9221941</v>
      </c>
      <c r="I21" s="440">
        <v>63531856.289999999</v>
      </c>
      <c r="J21" s="440">
        <v>-2138694</v>
      </c>
      <c r="K21" s="420">
        <v>9573771</v>
      </c>
      <c r="L21" s="420">
        <v>15313771</v>
      </c>
      <c r="M21" s="420">
        <v>12293771</v>
      </c>
      <c r="N21" s="420">
        <v>11788057</v>
      </c>
      <c r="O21" s="347"/>
      <c r="P21" s="1047">
        <f>('TB''1217'!J247)</f>
        <v>10176104</v>
      </c>
      <c r="Q21" s="1046">
        <f>SUMIF('Trial Balance'!$A:$A,'Detail WPL''1217'!W21,'Trial Balance'!$H:$H)+SUMIF('Trial Balance'!$A:$A,'Detail WPL''1217'!X21,'Trial Balance'!$H:$H)+SUMIF('Trial Balance'!$A:$A,'Detail WPL''1217'!Y21,'Trial Balance'!$H:$H)+SUMIF('Trial Balance'!$A:$A,'Detail WPL''1217'!Z21,'Trial Balance'!$H:$H)</f>
        <v>0</v>
      </c>
      <c r="R21" s="347">
        <f>'2016'!J153</f>
        <v>402666928</v>
      </c>
      <c r="S21" s="347">
        <f>Q21-R21</f>
        <v>-402666928</v>
      </c>
      <c r="T21" s="918">
        <f t="shared" ref="T21:T22" si="6">S21/R21</f>
        <v>-1</v>
      </c>
      <c r="U21" s="912"/>
      <c r="V21" s="347">
        <f>('TB''1217'!H247)</f>
        <v>139405362.29000002</v>
      </c>
      <c r="W21" t="s">
        <v>1747</v>
      </c>
      <c r="AA21" s="344">
        <v>139405362.28999999</v>
      </c>
    </row>
    <row r="22" spans="1:42">
      <c r="B22" s="312" t="s">
        <v>834</v>
      </c>
      <c r="D22" s="442">
        <v>42149300</v>
      </c>
      <c r="E22" s="442">
        <v>27111000</v>
      </c>
      <c r="F22" s="442">
        <f>52953621+1400000</f>
        <v>54353621</v>
      </c>
      <c r="G22" s="442">
        <v>15498112</v>
      </c>
      <c r="H22" s="442">
        <v>14657299</v>
      </c>
      <c r="I22" s="442">
        <v>97430612</v>
      </c>
      <c r="J22" s="442">
        <v>0</v>
      </c>
      <c r="K22" s="442">
        <v>6419000</v>
      </c>
      <c r="L22" s="442">
        <v>20002963</v>
      </c>
      <c r="M22" s="442">
        <v>31399282</v>
      </c>
      <c r="N22" s="442">
        <v>4106136</v>
      </c>
      <c r="O22" s="358"/>
      <c r="P22" s="1048">
        <f>('TB''1217'!J248+'TB''1217'!J249)</f>
        <v>145596600.5</v>
      </c>
      <c r="Q22" s="1046">
        <f>SUMIF('Trial Balance'!$A:$A,'Detail WPL''1217'!W22,'Trial Balance'!$H:$H)+SUMIF('Trial Balance'!$A:$A,'Detail WPL''1217'!X22,'Trial Balance'!$H:$H)+SUMIF('Trial Balance'!$A:$A,'Detail WPL''1217'!Y22,'Trial Balance'!$H:$H)+SUMIF('Trial Balance'!$A:$A,'Detail WPL''1217'!Z22,'Trial Balance'!$H:$H)</f>
        <v>0</v>
      </c>
      <c r="R22" s="358">
        <f>'2016'!J154</f>
        <v>531012959</v>
      </c>
      <c r="S22" s="358">
        <f>Q22-R22</f>
        <v>-531012959</v>
      </c>
      <c r="T22" s="900">
        <f t="shared" si="6"/>
        <v>-1</v>
      </c>
      <c r="U22" s="912"/>
      <c r="V22" s="358">
        <f>('TB''1217'!H248+'TB''1217'!H249)</f>
        <v>458723925.5</v>
      </c>
      <c r="W22" t="s">
        <v>1749</v>
      </c>
      <c r="AA22" s="344">
        <v>458723925.5</v>
      </c>
    </row>
    <row r="23" spans="1:42">
      <c r="B23" s="924" t="s">
        <v>858</v>
      </c>
      <c r="D23" s="420">
        <f>SUM(D21:D22)</f>
        <v>42149300</v>
      </c>
      <c r="E23" s="420">
        <f t="shared" ref="E23:J23" si="7">SUM(E21:E22)</f>
        <v>34825285</v>
      </c>
      <c r="F23" s="420">
        <f t="shared" si="7"/>
        <v>54353621</v>
      </c>
      <c r="G23" s="420">
        <f t="shared" si="7"/>
        <v>17428612</v>
      </c>
      <c r="H23" s="420">
        <f t="shared" si="7"/>
        <v>23879240</v>
      </c>
      <c r="I23" s="420">
        <f t="shared" si="7"/>
        <v>160962468.28999999</v>
      </c>
      <c r="J23" s="420">
        <f t="shared" si="7"/>
        <v>-2138694</v>
      </c>
      <c r="K23" s="420">
        <f t="shared" ref="K23:M23" si="8">SUM(K21:K22)</f>
        <v>15992771</v>
      </c>
      <c r="L23" s="420">
        <f t="shared" si="8"/>
        <v>35316734</v>
      </c>
      <c r="M23" s="420">
        <f t="shared" si="8"/>
        <v>43693053</v>
      </c>
      <c r="N23" s="420">
        <v>15894193</v>
      </c>
      <c r="O23" s="346"/>
      <c r="P23" s="1046">
        <f t="shared" ref="P23:S23" si="9">P21+P22</f>
        <v>155772704.5</v>
      </c>
      <c r="Q23" s="1046">
        <f>Q21+Q22</f>
        <v>0</v>
      </c>
      <c r="R23" s="346">
        <f t="shared" si="9"/>
        <v>933679887</v>
      </c>
      <c r="S23" s="346">
        <f t="shared" si="9"/>
        <v>-933679887</v>
      </c>
      <c r="T23" s="898">
        <f>S23/R23</f>
        <v>-1</v>
      </c>
      <c r="U23" s="912"/>
      <c r="V23" s="346">
        <f t="shared" ref="V23" si="10">V21+V22</f>
        <v>598129287.78999996</v>
      </c>
      <c r="AA23" s="344">
        <v>598129287.78999996</v>
      </c>
    </row>
    <row r="24" spans="1:42">
      <c r="B24" s="924"/>
      <c r="K24" s="420"/>
      <c r="L24" s="420"/>
      <c r="M24" s="420"/>
      <c r="N24" s="420"/>
      <c r="O24" s="346"/>
      <c r="T24" s="898"/>
      <c r="U24" s="912"/>
    </row>
    <row r="25" spans="1:42">
      <c r="A25" s="854" t="s">
        <v>978</v>
      </c>
      <c r="B25" s="312" t="s">
        <v>848</v>
      </c>
      <c r="D25" s="420">
        <v>962624383</v>
      </c>
      <c r="E25" s="420">
        <v>328195131</v>
      </c>
      <c r="F25" s="420">
        <v>-306234121</v>
      </c>
      <c r="G25" s="420">
        <v>328195131</v>
      </c>
      <c r="H25" s="420">
        <v>328195131</v>
      </c>
      <c r="I25" s="420">
        <v>328195131</v>
      </c>
      <c r="J25" s="420">
        <v>328195131</v>
      </c>
      <c r="K25" s="420">
        <v>339195719</v>
      </c>
      <c r="L25" s="420">
        <v>328195131</v>
      </c>
      <c r="M25" s="420">
        <v>-328195131</v>
      </c>
      <c r="N25" s="420">
        <v>328195131</v>
      </c>
      <c r="O25" s="346"/>
      <c r="P25" s="1046">
        <f>('TB''1217'!J291+'TB''1217'!J296)</f>
        <v>75736613</v>
      </c>
      <c r="Q25" s="1046">
        <f>SUMIF('Trial Balance'!$A:$A,'Detail WPL''1217'!W25,'Trial Balance'!$H:$H)+SUMIF('Trial Balance'!$A:$A,'Detail WPL''1217'!X25,'Trial Balance'!$H:$H)+SUMIF('Trial Balance'!$A:$A,'Detail WPL''1217'!Y25,'Trial Balance'!$H:$H)+SUMIF('Trial Balance'!$A:$A,'Detail WPL''1217'!Z25,'Trial Balance'!$H:$H)</f>
        <v>0</v>
      </c>
      <c r="R25" s="346">
        <f>'2016'!J157</f>
        <v>3911655754</v>
      </c>
      <c r="T25" s="898">
        <f t="shared" ref="T25:T26" si="11">S25/R25</f>
        <v>0</v>
      </c>
      <c r="U25" s="912"/>
      <c r="V25" s="346">
        <f>('TB''1217'!H291+'TB''1217'!H296)</f>
        <v>3040493380</v>
      </c>
      <c r="W25" t="s">
        <v>1813</v>
      </c>
      <c r="AA25" s="344">
        <v>3040493380</v>
      </c>
    </row>
    <row r="26" spans="1:42">
      <c r="B26" s="312" t="s">
        <v>932</v>
      </c>
      <c r="D26" s="420">
        <v>25392324</v>
      </c>
      <c r="E26" s="420">
        <v>28979072</v>
      </c>
      <c r="F26" s="420">
        <v>12663133</v>
      </c>
      <c r="G26" s="420">
        <v>50653704</v>
      </c>
      <c r="H26" s="420">
        <v>35580509.399999999</v>
      </c>
      <c r="I26" s="420">
        <v>17364814.73</v>
      </c>
      <c r="J26" s="420">
        <v>182384930</v>
      </c>
      <c r="K26" s="420">
        <v>132111971</v>
      </c>
      <c r="L26" s="420">
        <v>142669658</v>
      </c>
      <c r="M26" s="420">
        <v>127434126</v>
      </c>
      <c r="N26" s="420">
        <v>-263249755</v>
      </c>
      <c r="O26" s="346"/>
      <c r="P26" s="1046">
        <f>('TB''1217'!J292+'TB''1217'!J294+'TB''1217'!J290)+'TB''1217'!J289+'TB''1217'!J293</f>
        <v>530553010</v>
      </c>
      <c r="Q26" s="1046">
        <f>SUMIFS('Trial Balance'!$H:$H,'Trial Balance'!$A:$A,'Detail WPL''1217'!W26,'Trial Balance'!$D:$D,'Detail WPL''1217'!AB26)+SUMIFS('Trial Balance'!$H:$H,'Trial Balance'!$A:$A,'Detail WPL''1217'!W26,'Trial Balance'!$D:$D,'Detail WPL''1217'!AC26)+SUMIFS('Trial Balance'!$H:$H,'Trial Balance'!$A:$A,'Detail WPL''1217'!W26,'Trial Balance'!$D:$D,'Detail WPL''1217'!AD26)+SUMIFS('Trial Balance'!$H:$H,'Trial Balance'!$A:$A,'Detail WPL''1217'!W26,'Trial Balance'!$D:$D,'Detail WPL''1217'!AE26)+SUMIFS('Trial Balance'!$H:$H,'Trial Balance'!$A:$A,'Detail WPL''1217'!W26,'Trial Balance'!$D:$D,'Detail WPL''1217'!AF26)+SUMIFS('Trial Balance'!$H:$H,'Trial Balance'!$A:$A,'Detail WPL''1217'!W26,'Trial Balance'!$D:$D,'Detail WPL''1217'!AG26)+SUMIFS('Trial Balance'!$H:$H,'Trial Balance'!$A:$A,'Detail WPL''1217'!W26,'Trial Balance'!$D:$D,'Detail WPL''1217'!AH26)+SUMIFS('Trial Balance'!$H:$H,'Trial Balance'!$A:$A,'Detail WPL''1217'!W26,'Trial Balance'!$D:$D,'Detail WPL''1217'!AI26)+SUMIFS('Trial Balance'!$H:$H,'Trial Balance'!$A:$A,'Detail WPL''1217'!W26,'Trial Balance'!$D:$D,'Detail WPL''1217'!AJ26)+SUMIFS('Trial Balance'!$H:$H,'Trial Balance'!$A:$A,'Detail WPL''1217'!W26,'Trial Balance'!$D:$D,'Detail WPL''1217'!AK26)+SUMIFS('Trial Balance'!$H:$H,'Trial Balance'!$A:$A,'Detail WPL''1217'!W26,'Trial Balance'!$D:$D,'Detail WPL''1217'!AL26)+SUMIFS('Trial Balance'!$H:$H,'Trial Balance'!$A:$A,'Detail WPL''1217'!W26,'Trial Balance'!$D:$D,'Detail WPL''1217'!AM26)+SUMIFS('Trial Balance'!$H:$H,'Trial Balance'!$A:$A,'Detail WPL''1217'!W26,'Trial Balance'!$D:$D,'Detail WPL''1217'!AN26)+SUMIFS('Trial Balance'!$H:$H,'Trial Balance'!$A:$A,'Detail WPL''1217'!W26,'Trial Balance'!$D:$D,'Detail WPL''1217'!AO26)+SUMIFS('Trial Balance'!$H:$H,'Trial Balance'!$A:$A,'Detail WPL''1217'!W26,'Trial Balance'!$D:$D,'Detail WPL''1217'!AP26)</f>
        <v>0</v>
      </c>
      <c r="R26" s="346">
        <f>'2016'!J158</f>
        <v>341903146</v>
      </c>
      <c r="T26" s="898">
        <f t="shared" si="11"/>
        <v>0</v>
      </c>
      <c r="U26" s="912"/>
      <c r="V26" s="346">
        <f>('TB''1217'!H292+'TB''1217'!H294+'TB''1217'!H290)+'TB''1217'!H289+'TB''1217'!H293</f>
        <v>1022537496.86</v>
      </c>
      <c r="W26" s="1128" t="s">
        <v>1813</v>
      </c>
      <c r="AA26" s="344">
        <v>1022537497.13</v>
      </c>
      <c r="AB26" s="312" t="s">
        <v>1935</v>
      </c>
      <c r="AC26" s="312" t="s">
        <v>1936</v>
      </c>
      <c r="AD26" s="312" t="s">
        <v>1937</v>
      </c>
      <c r="AE26" s="312" t="s">
        <v>1938</v>
      </c>
      <c r="AF26" s="312" t="s">
        <v>1939</v>
      </c>
      <c r="AG26" s="312" t="s">
        <v>1940</v>
      </c>
      <c r="AH26" s="312" t="s">
        <v>1941</v>
      </c>
      <c r="AI26" s="312" t="s">
        <v>1942</v>
      </c>
      <c r="AJ26" s="312" t="s">
        <v>1943</v>
      </c>
      <c r="AK26" s="312" t="s">
        <v>1944</v>
      </c>
      <c r="AL26" s="312" t="s">
        <v>1945</v>
      </c>
      <c r="AM26" s="312" t="s">
        <v>1946</v>
      </c>
      <c r="AN26" s="312" t="s">
        <v>1947</v>
      </c>
      <c r="AO26" s="312" t="s">
        <v>1948</v>
      </c>
      <c r="AP26" s="312" t="s">
        <v>1949</v>
      </c>
    </row>
    <row r="27" spans="1:42">
      <c r="B27" s="312" t="s">
        <v>67</v>
      </c>
      <c r="J27" s="420">
        <v>4800000</v>
      </c>
      <c r="K27" s="442">
        <v>4800000</v>
      </c>
      <c r="L27" s="442">
        <v>4800000</v>
      </c>
      <c r="M27" s="442">
        <v>0</v>
      </c>
      <c r="N27" s="442">
        <v>4800000</v>
      </c>
      <c r="O27" s="358"/>
      <c r="P27" s="1048">
        <f>'TB''1217'!J295</f>
        <v>4800000</v>
      </c>
      <c r="Q27" s="1046">
        <f>SUMIF('Trial Balance'!$A:$A,'Detail WPL''1217'!W27,'Trial Balance'!$H:$H)+SUMIF('Trial Balance'!$A:$A,'Detail WPL''1217'!X27,'Trial Balance'!$H:$H)+SUMIF('Trial Balance'!$A:$A,'Detail WPL''1217'!Y27,'Trial Balance'!$H:$H)+SUMIF('Trial Balance'!$A:$A,'Detail WPL''1217'!Z27,'Trial Balance'!$H:$H)</f>
        <v>0</v>
      </c>
      <c r="R27" s="358">
        <f>'2016'!J159</f>
        <v>0</v>
      </c>
      <c r="S27" s="358"/>
      <c r="T27" s="900">
        <v>0</v>
      </c>
      <c r="U27" s="912"/>
      <c r="V27" s="358">
        <f>'TB''1217'!H295</f>
        <v>24000000</v>
      </c>
      <c r="W27" t="s">
        <v>1820</v>
      </c>
      <c r="AA27" s="344">
        <v>24000000</v>
      </c>
    </row>
    <row r="28" spans="1:42">
      <c r="B28" s="924" t="s">
        <v>866</v>
      </c>
      <c r="D28" s="923">
        <f>SUM(D25:D27)</f>
        <v>988016707</v>
      </c>
      <c r="E28" s="923">
        <f t="shared" ref="E28:J28" si="12">SUM(E25:E27)</f>
        <v>357174203</v>
      </c>
      <c r="F28" s="923">
        <f t="shared" si="12"/>
        <v>-293570988</v>
      </c>
      <c r="G28" s="923">
        <f t="shared" si="12"/>
        <v>378848835</v>
      </c>
      <c r="H28" s="923">
        <f t="shared" si="12"/>
        <v>363775640.39999998</v>
      </c>
      <c r="I28" s="923">
        <f t="shared" si="12"/>
        <v>345559945.73000002</v>
      </c>
      <c r="J28" s="923">
        <f t="shared" si="12"/>
        <v>515380061</v>
      </c>
      <c r="K28" s="420">
        <f t="shared" ref="K28:M28" si="13">SUM(K25:K27)</f>
        <v>476107690</v>
      </c>
      <c r="L28" s="420">
        <f t="shared" si="13"/>
        <v>475664789</v>
      </c>
      <c r="M28" s="420">
        <f t="shared" si="13"/>
        <v>-200761005</v>
      </c>
      <c r="N28" s="420">
        <v>69745376</v>
      </c>
      <c r="O28" s="346"/>
      <c r="P28" s="1046">
        <f t="shared" ref="P28:S28" si="14">SUM(P25:P27)</f>
        <v>611089623</v>
      </c>
      <c r="Q28" s="1046">
        <f>SUM(Q25:Q27)</f>
        <v>0</v>
      </c>
      <c r="R28" s="346">
        <f t="shared" si="14"/>
        <v>4253558900</v>
      </c>
      <c r="S28" s="346">
        <f t="shared" si="14"/>
        <v>0</v>
      </c>
      <c r="T28" s="898">
        <f>S28/R28</f>
        <v>0</v>
      </c>
      <c r="U28" s="912"/>
      <c r="V28" s="346">
        <f t="shared" ref="V28" si="15">SUM(V25:V27)</f>
        <v>4087030876.8600001</v>
      </c>
      <c r="AA28" s="344">
        <v>4087030877.1300001</v>
      </c>
    </row>
    <row r="29" spans="1:42">
      <c r="B29" s="924"/>
      <c r="D29" s="440"/>
      <c r="E29" s="440"/>
      <c r="F29" s="440"/>
      <c r="G29" s="440"/>
      <c r="H29" s="440"/>
      <c r="I29" s="440"/>
      <c r="J29" s="440"/>
      <c r="K29" s="420"/>
      <c r="L29" s="420"/>
      <c r="M29" s="420"/>
      <c r="N29" s="420"/>
      <c r="O29" s="346"/>
      <c r="T29" s="898"/>
      <c r="U29" s="912"/>
    </row>
    <row r="30" spans="1:42">
      <c r="A30" s="854" t="s">
        <v>979</v>
      </c>
      <c r="B30" s="312" t="s">
        <v>409</v>
      </c>
      <c r="D30" s="440">
        <v>89430427</v>
      </c>
      <c r="E30" s="440">
        <v>88604385</v>
      </c>
      <c r="F30" s="440">
        <v>88604385</v>
      </c>
      <c r="G30" s="440">
        <v>88604385</v>
      </c>
      <c r="H30" s="440">
        <v>88604385</v>
      </c>
      <c r="I30" s="440">
        <v>93171367.379999995</v>
      </c>
      <c r="J30" s="440">
        <v>90548489</v>
      </c>
      <c r="K30" s="420">
        <v>94607761</v>
      </c>
      <c r="L30" s="420">
        <v>88630017</v>
      </c>
      <c r="M30" s="420">
        <v>7001475</v>
      </c>
      <c r="N30" s="420">
        <v>178387620</v>
      </c>
      <c r="O30" s="346"/>
      <c r="P30" s="1046">
        <f>('TB''1217'!J299)</f>
        <v>89887506</v>
      </c>
      <c r="Q30" s="1046">
        <f>SUMIF('Trial Balance'!$A:$A,'Detail WPL''1217'!W30,'Trial Balance'!$H:$H)+SUMIF('Trial Balance'!$A:$A,'Detail WPL''1217'!X30,'Trial Balance'!$H:$H)+SUMIF('Trial Balance'!$A:$A,'Detail WPL''1217'!Y30,'Trial Balance'!$H:$H)+SUMIF('Trial Balance'!$A:$A,'Detail WPL''1217'!Z30,'Trial Balance'!$H:$H)</f>
        <v>0</v>
      </c>
      <c r="R30" s="346">
        <f>'2016'!J162</f>
        <v>1098853028</v>
      </c>
      <c r="S30" s="346">
        <f>Q30-R30</f>
        <v>-1098853028</v>
      </c>
      <c r="T30" s="898">
        <f t="shared" ref="T30:T33" si="16">S30/R30</f>
        <v>-1</v>
      </c>
      <c r="U30" s="912"/>
      <c r="V30" s="346">
        <f>('TB''1217'!H299)</f>
        <v>1086082202.3800001</v>
      </c>
      <c r="W30" t="s">
        <v>1827</v>
      </c>
      <c r="AA30" s="344">
        <v>1086082202.3800001</v>
      </c>
    </row>
    <row r="31" spans="1:42">
      <c r="B31" s="312" t="s">
        <v>406</v>
      </c>
      <c r="D31" s="440">
        <v>65441667</v>
      </c>
      <c r="E31" s="440">
        <v>65441667</v>
      </c>
      <c r="F31" s="440">
        <v>65441667</v>
      </c>
      <c r="G31" s="440">
        <v>65441667</v>
      </c>
      <c r="H31" s="440">
        <v>65441667</v>
      </c>
      <c r="I31" s="440">
        <v>65441667</v>
      </c>
      <c r="J31" s="440">
        <v>65441667</v>
      </c>
      <c r="K31" s="420">
        <v>65441667</v>
      </c>
      <c r="L31" s="420">
        <v>65441667</v>
      </c>
      <c r="M31" s="420">
        <v>65441667</v>
      </c>
      <c r="N31" s="420">
        <v>85608333</v>
      </c>
      <c r="O31" s="346"/>
      <c r="P31" s="1046">
        <f>('TB''1217'!J298)</f>
        <v>57641667</v>
      </c>
      <c r="Q31" s="1046">
        <f>SUMIF('Trial Balance'!$A:$A,'Detail WPL''1217'!W31,'Trial Balance'!$H:$H)+SUMIF('Trial Balance'!$A:$A,'Detail WPL''1217'!X31,'Trial Balance'!$H:$H)+SUMIF('Trial Balance'!$A:$A,'Detail WPL''1217'!Y31,'Trial Balance'!$H:$H)+SUMIF('Trial Balance'!$A:$A,'Detail WPL''1217'!Z31,'Trial Balance'!$H:$H)</f>
        <v>0</v>
      </c>
      <c r="R31" s="346">
        <f>'2016'!J163</f>
        <v>714979170</v>
      </c>
      <c r="S31" s="346">
        <f>Q31-R31</f>
        <v>-714979170</v>
      </c>
      <c r="T31" s="898">
        <f t="shared" si="16"/>
        <v>-1</v>
      </c>
      <c r="U31" s="912"/>
      <c r="V31" s="346">
        <f>('TB''1217'!H298)</f>
        <v>797666670</v>
      </c>
      <c r="W31" t="s">
        <v>1825</v>
      </c>
      <c r="AA31" s="344">
        <v>797666670</v>
      </c>
    </row>
    <row r="32" spans="1:42">
      <c r="B32" s="926" t="s">
        <v>952</v>
      </c>
      <c r="D32" s="440">
        <v>29537880</v>
      </c>
      <c r="E32" s="440">
        <v>35325277</v>
      </c>
      <c r="F32" s="440">
        <v>8003338.9699999997</v>
      </c>
      <c r="G32" s="440">
        <v>8003339</v>
      </c>
      <c r="H32" s="440">
        <v>7795006.25</v>
      </c>
      <c r="I32" s="440">
        <v>27924139</v>
      </c>
      <c r="J32" s="440">
        <v>25258555</v>
      </c>
      <c r="K32" s="420">
        <v>58083195</v>
      </c>
      <c r="L32" s="420">
        <v>62625044</v>
      </c>
      <c r="M32" s="420">
        <v>62698164</v>
      </c>
      <c r="N32" s="420">
        <v>47124760</v>
      </c>
      <c r="O32" s="346"/>
      <c r="P32" s="1046">
        <f>('TB''1217'!J297+'TB''1217'!J304+'TB''1217'!J305+'TB''1217'!J306)</f>
        <v>47478314.75</v>
      </c>
      <c r="Q32" s="1046">
        <f>SUMIF('Trial Balance'!$A:$A,'Detail WPL''1217'!W32,'Trial Balance'!$H:$H)+SUMIF('Trial Balance'!$A:$A,'Detail WPL''1217'!X32,'Trial Balance'!$H:$H)+SUMIF('Trial Balance'!$A:$A,'Detail WPL''1217'!Y32,'Trial Balance'!$H:$H)+SUMIF('Trial Balance'!$A:$A,'Detail WPL''1217'!Z32,'Trial Balance'!$H:$H)</f>
        <v>0</v>
      </c>
      <c r="R32" s="346">
        <f>'2016'!J164</f>
        <v>345145337.88000011</v>
      </c>
      <c r="S32" s="346">
        <f>Q32-R32</f>
        <v>-345145337.88000011</v>
      </c>
      <c r="T32" s="898">
        <f t="shared" si="16"/>
        <v>-1</v>
      </c>
      <c r="U32" s="912"/>
      <c r="V32" s="346">
        <f>('TB''1217'!H297+'TB''1217'!H304+'TB''1217'!H305+'TB''1217'!H306)</f>
        <v>419857012.97000003</v>
      </c>
      <c r="W32" t="s">
        <v>1823</v>
      </c>
      <c r="AA32" s="344">
        <v>419857012.97000003</v>
      </c>
    </row>
    <row r="33" spans="1:42">
      <c r="B33" s="926" t="s">
        <v>953</v>
      </c>
      <c r="D33" s="442">
        <v>813354</v>
      </c>
      <c r="E33" s="442">
        <v>813354</v>
      </c>
      <c r="F33" s="442">
        <v>813354</v>
      </c>
      <c r="G33" s="442">
        <v>737775</v>
      </c>
      <c r="H33" s="442">
        <v>1185621</v>
      </c>
      <c r="I33" s="442">
        <v>604442</v>
      </c>
      <c r="J33" s="442">
        <v>580275</v>
      </c>
      <c r="K33" s="442">
        <v>380525</v>
      </c>
      <c r="L33" s="442">
        <v>380525</v>
      </c>
      <c r="M33" s="442">
        <v>380525</v>
      </c>
      <c r="N33" s="442">
        <v>363559</v>
      </c>
      <c r="O33" s="358"/>
      <c r="P33" s="1048">
        <f>('TB''1217'!J300+'TB''1217'!J301+'TB''1217'!J302+'TB''1217'!J303)</f>
        <v>290124</v>
      </c>
      <c r="Q33" s="1046">
        <f>SUMIFS('Trial Balance'!$H:$H,'Trial Balance'!$A:$A,'Detail WPL''1217'!W33,'Trial Balance'!$D:$D,'Detail WPL''1217'!AB33)+SUMIFS('Trial Balance'!$H:$H,'Trial Balance'!$A:$A,'Detail WPL''1217'!W33,'Trial Balance'!$D:$D,'Detail WPL''1217'!AC33)+SUMIFS('Trial Balance'!$H:$H,'Trial Balance'!$A:$A,'Detail WPL''1217'!W33,'Trial Balance'!$D:$D,'Detail WPL''1217'!AD33)+SUMIFS('Trial Balance'!$H:$H,'Trial Balance'!$A:$A,'Detail WPL''1217'!W33,'Trial Balance'!$D:$D,'Detail WPL''1217'!AE33)+SUMIFS('Trial Balance'!$H:$H,'Trial Balance'!$A:$A,'Detail WPL''1217'!W33,'Trial Balance'!$D:$D,'Detail WPL''1217'!AF33)+SUMIFS('Trial Balance'!$H:$H,'Trial Balance'!$A:$A,'Detail WPL''1217'!W33,'Trial Balance'!$D:$D,'Detail WPL''1217'!AG33)+SUMIFS('Trial Balance'!$H:$H,'Trial Balance'!$A:$A,'Detail WPL''1217'!W33,'Trial Balance'!$D:$D,'Detail WPL''1217'!AH33)+SUMIFS('Trial Balance'!$H:$H,'Trial Balance'!$A:$A,'Detail WPL''1217'!W33,'Trial Balance'!$D:$D,'Detail WPL''1217'!AI33)+SUMIFS('Trial Balance'!$H:$H,'Trial Balance'!$A:$A,'Detail WPL''1217'!W33,'Trial Balance'!$D:$D,'Detail WPL''1217'!AJ33)+SUMIFS('Trial Balance'!$H:$H,'Trial Balance'!$A:$A,'Detail WPL''1217'!W33,'Trial Balance'!$D:$D,'Detail WPL''1217'!AK33)+SUMIFS('Trial Balance'!$H:$H,'Trial Balance'!$A:$A,'Detail WPL''1217'!W33,'Trial Balance'!$D:$D,'Detail WPL''1217'!AL33)+SUMIFS('Trial Balance'!$H:$H,'Trial Balance'!$A:$A,'Detail WPL''1217'!W33,'Trial Balance'!$D:$D,'Detail WPL''1217'!AM33)+SUMIFS('Trial Balance'!$H:$H,'Trial Balance'!$A:$A,'Detail WPL''1217'!W33,'Trial Balance'!$D:$D,'Detail WPL''1217'!AN33)+SUMIFS('Trial Balance'!$H:$H,'Trial Balance'!$A:$A,'Detail WPL''1217'!W33,'Trial Balance'!$D:$D,'Detail WPL''1217'!AO33)+SUMIFS('Trial Balance'!$H:$H,'Trial Balance'!$A:$A,'Detail WPL''1217'!W33,'Trial Balance'!$D:$D,'Detail WPL''1217'!AP33)</f>
        <v>0</v>
      </c>
      <c r="R33" s="358">
        <f>'2016'!J165</f>
        <v>9760248</v>
      </c>
      <c r="S33" s="358">
        <f>Q33-R33</f>
        <v>-9760248</v>
      </c>
      <c r="T33" s="900">
        <f t="shared" si="16"/>
        <v>-1</v>
      </c>
      <c r="U33" s="912"/>
      <c r="V33" s="358">
        <f>('TB''1217'!H300+'TB''1217'!H301+'TB''1217'!H302+'TB''1217'!H303)</f>
        <v>7343433</v>
      </c>
      <c r="W33" s="1128" t="s">
        <v>1827</v>
      </c>
      <c r="X33" s="312" t="s">
        <v>1931</v>
      </c>
      <c r="AA33" s="344">
        <v>7343433</v>
      </c>
      <c r="AB33" s="312" t="s">
        <v>1935</v>
      </c>
      <c r="AC33" s="312" t="s">
        <v>1936</v>
      </c>
      <c r="AD33" s="312" t="s">
        <v>1937</v>
      </c>
      <c r="AE33" s="312" t="s">
        <v>1938</v>
      </c>
      <c r="AF33" s="312" t="s">
        <v>1939</v>
      </c>
      <c r="AG33" s="312" t="s">
        <v>1940</v>
      </c>
      <c r="AH33" s="312" t="s">
        <v>1941</v>
      </c>
      <c r="AI33" s="312" t="s">
        <v>1942</v>
      </c>
      <c r="AJ33" s="312" t="s">
        <v>1943</v>
      </c>
      <c r="AK33" s="312" t="s">
        <v>1944</v>
      </c>
      <c r="AL33" s="312" t="s">
        <v>1945</v>
      </c>
      <c r="AM33" s="312" t="s">
        <v>1946</v>
      </c>
      <c r="AN33" s="312" t="s">
        <v>1947</v>
      </c>
      <c r="AO33" s="312" t="s">
        <v>1948</v>
      </c>
      <c r="AP33" s="312" t="s">
        <v>1949</v>
      </c>
    </row>
    <row r="34" spans="1:42">
      <c r="B34" s="924" t="s">
        <v>867</v>
      </c>
      <c r="D34" s="420">
        <f>SUM(D30:D33)</f>
        <v>185223328</v>
      </c>
      <c r="E34" s="420">
        <f t="shared" ref="E34:J34" si="17">SUM(E30:E33)</f>
        <v>190184683</v>
      </c>
      <c r="F34" s="420">
        <f t="shared" si="17"/>
        <v>162862744.97</v>
      </c>
      <c r="G34" s="420">
        <f t="shared" si="17"/>
        <v>162787166</v>
      </c>
      <c r="H34" s="420">
        <f t="shared" si="17"/>
        <v>163026679.25</v>
      </c>
      <c r="I34" s="420">
        <f t="shared" si="17"/>
        <v>187141615.38</v>
      </c>
      <c r="J34" s="420">
        <f t="shared" si="17"/>
        <v>181828986</v>
      </c>
      <c r="K34" s="420">
        <f t="shared" ref="K34:L34" si="18">SUM(K30:K33)</f>
        <v>218513148</v>
      </c>
      <c r="L34" s="420">
        <f t="shared" si="18"/>
        <v>217077253</v>
      </c>
      <c r="M34" s="420">
        <f>SUM(M30:M33)</f>
        <v>135521831</v>
      </c>
      <c r="N34" s="420">
        <v>311484272</v>
      </c>
      <c r="O34" s="346"/>
      <c r="P34" s="1046">
        <f>SUM(P30:P33)</f>
        <v>195297611.75</v>
      </c>
      <c r="Q34" s="1046">
        <f>SUM(Q30:Q33)</f>
        <v>0</v>
      </c>
      <c r="R34" s="346">
        <f>SUM(R30:R33)</f>
        <v>2168737783.8800001</v>
      </c>
      <c r="S34" s="346">
        <f>SUM(S30:S33)</f>
        <v>-2168737783.8800001</v>
      </c>
      <c r="T34" s="898">
        <f>S34/R34</f>
        <v>-1</v>
      </c>
      <c r="U34" s="912"/>
      <c r="V34" s="346">
        <f>SUM(V30:V33)</f>
        <v>2310949318.3500004</v>
      </c>
      <c r="AA34" s="344">
        <v>2310949318.3500004</v>
      </c>
    </row>
    <row r="35" spans="1:42">
      <c r="B35" s="924"/>
      <c r="K35" s="440"/>
      <c r="L35" s="440"/>
      <c r="M35" s="440"/>
      <c r="N35" s="440"/>
      <c r="O35" s="346"/>
      <c r="R35" s="386"/>
      <c r="T35" s="898"/>
      <c r="U35" s="912"/>
    </row>
    <row r="36" spans="1:42">
      <c r="A36" s="854" t="s">
        <v>980</v>
      </c>
      <c r="B36" s="312" t="s">
        <v>849</v>
      </c>
      <c r="D36" s="420">
        <v>15155641.67</v>
      </c>
      <c r="E36" s="420">
        <v>15155641.67</v>
      </c>
      <c r="F36" s="420">
        <v>15155641.67</v>
      </c>
      <c r="G36" s="420">
        <v>15155642</v>
      </c>
      <c r="H36" s="420">
        <v>15155642</v>
      </c>
      <c r="I36" s="420">
        <v>15155642</v>
      </c>
      <c r="J36" s="420">
        <v>15155642</v>
      </c>
      <c r="K36" s="442">
        <v>7001475</v>
      </c>
      <c r="L36" s="442">
        <v>7001475</v>
      </c>
      <c r="M36" s="358">
        <v>0</v>
      </c>
      <c r="N36" s="358">
        <v>14002950</v>
      </c>
      <c r="O36" s="358"/>
      <c r="P36" s="1048">
        <f>'TB''1217'!J307</f>
        <v>7001475</v>
      </c>
      <c r="Q36" s="1046">
        <f>SUMIF('Trial Balance'!$A:$A,'Detail WPL''1217'!W36,'Trial Balance'!$H:$H)+SUMIF('Trial Balance'!$A:$A,'Detail WPL''1217'!X36,'Trial Balance'!$H:$H)+SUMIF('Trial Balance'!$A:$A,'Detail WPL''1217'!Y36,'Trial Balance'!$H:$H)+SUMIF('Trial Balance'!$A:$A,'Detail WPL''1217'!Z36,'Trial Balance'!$H:$H)</f>
        <v>0</v>
      </c>
      <c r="R36" s="358">
        <f>'2016'!I168</f>
        <v>131704687</v>
      </c>
      <c r="S36" s="358">
        <f>Q36-R36</f>
        <v>-131704687</v>
      </c>
      <c r="T36" s="900">
        <f t="shared" ref="T36" si="19">S36/R36</f>
        <v>-1</v>
      </c>
      <c r="U36" s="912"/>
      <c r="V36" s="358">
        <f>'TB''1217'!H307</f>
        <v>141096868.67000002</v>
      </c>
      <c r="W36" t="s">
        <v>1836</v>
      </c>
      <c r="AA36" s="344">
        <v>141096868.00999999</v>
      </c>
    </row>
    <row r="37" spans="1:42">
      <c r="B37" s="924" t="s">
        <v>868</v>
      </c>
      <c r="D37" s="923">
        <f>D36</f>
        <v>15155641.67</v>
      </c>
      <c r="E37" s="923">
        <f t="shared" ref="E37:J37" si="20">E36</f>
        <v>15155641.67</v>
      </c>
      <c r="F37" s="923">
        <f t="shared" si="20"/>
        <v>15155641.67</v>
      </c>
      <c r="G37" s="923">
        <f t="shared" si="20"/>
        <v>15155642</v>
      </c>
      <c r="H37" s="923">
        <f t="shared" si="20"/>
        <v>15155642</v>
      </c>
      <c r="I37" s="923">
        <f t="shared" si="20"/>
        <v>15155642</v>
      </c>
      <c r="J37" s="923">
        <f t="shared" si="20"/>
        <v>15155642</v>
      </c>
      <c r="K37" s="420">
        <f t="shared" ref="K37:M37" si="21">K36</f>
        <v>7001475</v>
      </c>
      <c r="L37" s="420">
        <f t="shared" si="21"/>
        <v>7001475</v>
      </c>
      <c r="M37" s="420">
        <f t="shared" si="21"/>
        <v>0</v>
      </c>
      <c r="N37" s="420">
        <v>14002950</v>
      </c>
      <c r="O37" s="346"/>
      <c r="P37" s="1046">
        <f t="shared" ref="P37:S37" si="22">P36</f>
        <v>7001475</v>
      </c>
      <c r="Q37" s="1046">
        <f>Q36</f>
        <v>0</v>
      </c>
      <c r="R37" s="346">
        <f t="shared" si="22"/>
        <v>131704687</v>
      </c>
      <c r="S37" s="346">
        <f t="shared" si="22"/>
        <v>-131704687</v>
      </c>
      <c r="T37" s="898">
        <f>S37/R37</f>
        <v>-1</v>
      </c>
      <c r="U37" s="912"/>
      <c r="V37" s="346">
        <f t="shared" ref="V37" si="23">V36</f>
        <v>141096868.67000002</v>
      </c>
      <c r="AA37" s="344">
        <v>141096868.00999999</v>
      </c>
    </row>
    <row r="38" spans="1:42">
      <c r="B38" s="312"/>
      <c r="D38" s="440"/>
      <c r="E38" s="440"/>
      <c r="F38" s="440"/>
      <c r="G38" s="440"/>
      <c r="H38" s="440"/>
      <c r="I38" s="440"/>
      <c r="J38" s="440"/>
      <c r="K38" s="420"/>
      <c r="L38" s="420"/>
      <c r="M38" s="420"/>
      <c r="N38" s="420"/>
      <c r="O38" s="346"/>
      <c r="T38" s="898"/>
      <c r="U38" s="912"/>
    </row>
    <row r="39" spans="1:42">
      <c r="A39" s="854" t="s">
        <v>981</v>
      </c>
      <c r="B39" s="312" t="s">
        <v>843</v>
      </c>
      <c r="D39" s="440">
        <v>213345</v>
      </c>
      <c r="E39" s="440">
        <v>763825</v>
      </c>
      <c r="F39" s="440">
        <v>27000</v>
      </c>
      <c r="G39" s="440">
        <v>4850630</v>
      </c>
      <c r="H39" s="440">
        <v>14096000</v>
      </c>
      <c r="I39" s="440">
        <v>715105</v>
      </c>
      <c r="J39" s="440">
        <v>5691463</v>
      </c>
      <c r="K39" s="420">
        <v>10076956</v>
      </c>
      <c r="L39" s="420">
        <v>376400</v>
      </c>
      <c r="M39" s="420">
        <v>4089500</v>
      </c>
      <c r="N39" s="420">
        <v>1531610</v>
      </c>
      <c r="O39" s="346"/>
      <c r="P39" s="1046">
        <f>'TB''1217'!J276+'TB''1217'!J285</f>
        <v>15766689</v>
      </c>
      <c r="Q39" s="1046">
        <f>SUMIF('Trial Balance'!$A:$A,'Detail WPL''1217'!W39,'Trial Balance'!$H:$H)+SUMIF('Trial Balance'!$A:$A,'Detail WPL''1217'!X39,'Trial Balance'!$H:$H)+SUMIF('Trial Balance'!$A:$A,'Detail WPL''1217'!Y39,'Trial Balance'!$H:$H)+SUMIF('Trial Balance'!$A:$A,'Detail WPL''1217'!Z39,'Trial Balance'!$H:$H)</f>
        <v>0</v>
      </c>
      <c r="R39" s="346">
        <f>'2016'!J171</f>
        <v>8816082</v>
      </c>
      <c r="S39" s="346">
        <f t="shared" ref="S39:S45" si="24">Q39-R39</f>
        <v>-8816082</v>
      </c>
      <c r="T39" s="898">
        <f t="shared" ref="T39:T46" si="25">S39/R39</f>
        <v>-1</v>
      </c>
      <c r="U39" s="912"/>
      <c r="V39" s="346">
        <f>'TB''1217'!H276+'TB''1217'!H285</f>
        <v>58198523</v>
      </c>
      <c r="W39" t="s">
        <v>1793</v>
      </c>
      <c r="AA39" s="344">
        <v>58198523</v>
      </c>
    </row>
    <row r="40" spans="1:42">
      <c r="B40" s="312" t="s">
        <v>844</v>
      </c>
      <c r="D40" s="440">
        <v>7443985</v>
      </c>
      <c r="E40" s="440">
        <v>10101930</v>
      </c>
      <c r="F40" s="440">
        <v>-2529072</v>
      </c>
      <c r="G40" s="440">
        <v>12762229</v>
      </c>
      <c r="H40" s="440">
        <v>1979299</v>
      </c>
      <c r="I40" s="440">
        <v>51265490</v>
      </c>
      <c r="J40" s="440">
        <v>14076375</v>
      </c>
      <c r="K40" s="420">
        <v>11109584</v>
      </c>
      <c r="L40" s="420">
        <v>10805017</v>
      </c>
      <c r="M40" s="420">
        <v>4374217</v>
      </c>
      <c r="N40" s="420">
        <v>12188494</v>
      </c>
      <c r="O40" s="346"/>
      <c r="P40" s="1046">
        <f>'TB''1217'!J277+'TB''1217'!J286</f>
        <v>4613924</v>
      </c>
      <c r="Q40" s="1046">
        <f>SUMIF('Trial Balance'!$A:$A,'Detail WPL''1217'!W40,'Trial Balance'!$H:$H)+SUMIF('Trial Balance'!$A:$A,'Detail WPL''1217'!X40,'Trial Balance'!$H:$H)+SUMIF('Trial Balance'!$A:$A,'Detail WPL''1217'!Y40,'Trial Balance'!$H:$H)+SUMIF('Trial Balance'!$A:$A,'Detail WPL''1217'!Z40,'Trial Balance'!$H:$H)</f>
        <v>0</v>
      </c>
      <c r="R40" s="346">
        <f>'2016'!J172</f>
        <v>104166055</v>
      </c>
      <c r="S40" s="346">
        <f t="shared" si="24"/>
        <v>-104166055</v>
      </c>
      <c r="T40" s="898">
        <f t="shared" si="25"/>
        <v>-1</v>
      </c>
      <c r="U40" s="912"/>
      <c r="V40" s="346">
        <f>'TB''1217'!H277+'TB''1217'!H286</f>
        <v>138191472</v>
      </c>
      <c r="W40" t="s">
        <v>1795</v>
      </c>
      <c r="AA40" s="344">
        <v>138191472</v>
      </c>
    </row>
    <row r="41" spans="1:42">
      <c r="B41" s="312" t="s">
        <v>845</v>
      </c>
      <c r="D41" s="440">
        <v>4050000</v>
      </c>
      <c r="E41" s="440">
        <v>4000000</v>
      </c>
      <c r="F41" s="440">
        <v>4065000</v>
      </c>
      <c r="G41" s="440">
        <v>4000000</v>
      </c>
      <c r="H41" s="440">
        <v>4000000</v>
      </c>
      <c r="I41" s="440">
        <v>4000000</v>
      </c>
      <c r="J41" s="440">
        <v>4000000</v>
      </c>
      <c r="K41" s="420">
        <v>4036000</v>
      </c>
      <c r="L41" s="420">
        <v>4000000</v>
      </c>
      <c r="M41" s="420">
        <v>4000000</v>
      </c>
      <c r="N41" s="420">
        <v>4000000</v>
      </c>
      <c r="O41" s="346"/>
      <c r="P41" s="1046">
        <f>'TB''1217'!J278+'TB''1217'!J287</f>
        <v>4036000</v>
      </c>
      <c r="R41" s="346">
        <f>'2016'!J173</f>
        <v>60005776</v>
      </c>
      <c r="S41" s="346">
        <f t="shared" si="24"/>
        <v>-60005776</v>
      </c>
      <c r="T41" s="898">
        <f t="shared" si="25"/>
        <v>-1</v>
      </c>
      <c r="U41" s="912"/>
      <c r="V41" s="346">
        <f>'TB''1217'!H278+'TB''1217'!H287</f>
        <v>48187000</v>
      </c>
      <c r="W41" s="1128" t="s">
        <v>1795</v>
      </c>
      <c r="AA41" s="344">
        <v>48187000</v>
      </c>
    </row>
    <row r="42" spans="1:42">
      <c r="B42" s="312" t="s">
        <v>846</v>
      </c>
      <c r="D42" s="440">
        <v>5000000</v>
      </c>
      <c r="E42" s="440">
        <v>5473440</v>
      </c>
      <c r="F42" s="440"/>
      <c r="G42" s="440">
        <v>14380286</v>
      </c>
      <c r="H42" s="440">
        <v>6735950</v>
      </c>
      <c r="I42" s="440">
        <v>33630354.710000008</v>
      </c>
      <c r="J42" s="440">
        <v>56128809</v>
      </c>
      <c r="K42" s="420">
        <v>45453380</v>
      </c>
      <c r="L42" s="420">
        <v>61610007</v>
      </c>
      <c r="M42" s="420">
        <v>27967470</v>
      </c>
      <c r="N42" s="420">
        <v>151170</v>
      </c>
      <c r="O42" s="346"/>
      <c r="P42" s="1046">
        <f>'TB''1217'!J279+'TB''1217'!J288</f>
        <v>40722869</v>
      </c>
      <c r="Q42" s="1046">
        <f>SUMIF('Trial Balance'!$A:$A,'Detail WPL''1217'!W42,'Trial Balance'!$H:$H)+SUMIF('Trial Balance'!$A:$A,'Detail WPL''1217'!X42,'Trial Balance'!$H:$H)+SUMIF('Trial Balance'!$A:$A,'Detail WPL''1217'!Y42,'Trial Balance'!$H:$H)+SUMIF('Trial Balance'!$A:$A,'Detail WPL''1217'!Z42,'Trial Balance'!$H:$H)</f>
        <v>0</v>
      </c>
      <c r="R42" s="346">
        <f>'2016'!J174</f>
        <v>65482200</v>
      </c>
      <c r="S42" s="346">
        <f t="shared" si="24"/>
        <v>-65482200</v>
      </c>
      <c r="T42" s="898">
        <f t="shared" si="25"/>
        <v>-1</v>
      </c>
      <c r="U42" s="912"/>
      <c r="V42" s="346">
        <f>'TB''1217'!H279+'TB''1217'!H288</f>
        <v>297253735.71000004</v>
      </c>
      <c r="W42" t="s">
        <v>1798</v>
      </c>
      <c r="AA42" s="344">
        <v>297253735.71000004</v>
      </c>
    </row>
    <row r="43" spans="1:42">
      <c r="B43" s="312" t="s">
        <v>847</v>
      </c>
      <c r="D43" s="440">
        <v>12321000</v>
      </c>
      <c r="E43" s="440">
        <v>7321000</v>
      </c>
      <c r="F43" s="440">
        <v>2321000</v>
      </c>
      <c r="G43" s="440">
        <v>18096000</v>
      </c>
      <c r="H43" s="440">
        <v>0</v>
      </c>
      <c r="I43" s="440">
        <v>18945333</v>
      </c>
      <c r="J43" s="440">
        <v>2586667</v>
      </c>
      <c r="K43" s="420">
        <v>7760000</v>
      </c>
      <c r="L43" s="420">
        <v>16072000</v>
      </c>
      <c r="M43" s="420">
        <v>8036000</v>
      </c>
      <c r="N43" s="420">
        <v>8036000</v>
      </c>
      <c r="O43" s="346"/>
      <c r="P43" s="1046">
        <f>'TB''1217'!J280</f>
        <v>8036000</v>
      </c>
      <c r="Q43" s="1046">
        <f>SUMIF('Trial Balance'!$A:$A,'Detail WPL''1217'!W43,'Trial Balance'!$H:$H)+SUMIF('Trial Balance'!$A:$A,'Detail WPL''1217'!X43,'Trial Balance'!$H:$H)+SUMIF('Trial Balance'!$A:$A,'Detail WPL''1217'!Y43,'Trial Balance'!$H:$H)+SUMIF('Trial Balance'!$A:$A,'Detail WPL''1217'!Z43,'Trial Balance'!$H:$H)</f>
        <v>0</v>
      </c>
      <c r="R43" s="346">
        <f>'2016'!J175</f>
        <v>80531000</v>
      </c>
      <c r="S43" s="346">
        <f t="shared" si="24"/>
        <v>-80531000</v>
      </c>
      <c r="T43" s="898">
        <f t="shared" si="25"/>
        <v>-1</v>
      </c>
      <c r="U43" s="912"/>
      <c r="V43" s="346">
        <f>'TB''1217'!H280</f>
        <v>109531000</v>
      </c>
      <c r="W43" t="s">
        <v>1800</v>
      </c>
      <c r="AA43" s="344">
        <v>109531000</v>
      </c>
    </row>
    <row r="44" spans="1:42">
      <c r="B44" s="312" t="s">
        <v>449</v>
      </c>
      <c r="D44" s="440">
        <v>24734280</v>
      </c>
      <c r="E44" s="440">
        <v>24734280</v>
      </c>
      <c r="F44" s="440">
        <v>73346400</v>
      </c>
      <c r="G44" s="440">
        <v>-24734280</v>
      </c>
      <c r="H44" s="440">
        <v>24417690</v>
      </c>
      <c r="I44" s="440">
        <v>32556920</v>
      </c>
      <c r="J44" s="440">
        <v>16278460</v>
      </c>
      <c r="K44" s="420">
        <v>24426840</v>
      </c>
      <c r="L44" s="420">
        <v>24426840</v>
      </c>
      <c r="M44" s="420">
        <v>24426840</v>
      </c>
      <c r="N44" s="420">
        <v>24715980</v>
      </c>
      <c r="O44" s="346"/>
      <c r="P44" s="1046">
        <f>'TB''1217'!J282</f>
        <v>24715980</v>
      </c>
      <c r="Q44" s="1046">
        <f>SUMIF('Trial Balance'!$A:$A,'Detail WPL''1217'!W44,'Trial Balance'!$H:$H)+SUMIF('Trial Balance'!$A:$A,'Detail WPL''1217'!X44,'Trial Balance'!$H:$H)+SUMIF('Trial Balance'!$A:$A,'Detail WPL''1217'!Y44,'Trial Balance'!$H:$H)+SUMIF('Trial Balance'!$A:$A,'Detail WPL''1217'!Z44,'Trial Balance'!$H:$H)</f>
        <v>0</v>
      </c>
      <c r="R44" s="346">
        <f>'2016'!J176</f>
        <v>309483560</v>
      </c>
      <c r="S44" s="346">
        <f t="shared" si="24"/>
        <v>-309483560</v>
      </c>
      <c r="T44" s="898">
        <f t="shared" si="25"/>
        <v>-1</v>
      </c>
      <c r="U44" s="912"/>
      <c r="V44" s="346">
        <f>'TB''1217'!H282</f>
        <v>294046230</v>
      </c>
      <c r="W44" t="s">
        <v>1804</v>
      </c>
      <c r="AA44" s="344">
        <v>294046230</v>
      </c>
    </row>
    <row r="45" spans="1:42">
      <c r="B45" s="312" t="s">
        <v>453</v>
      </c>
      <c r="D45" s="442"/>
      <c r="E45" s="974"/>
      <c r="F45" s="974"/>
      <c r="G45" s="974">
        <v>10984375</v>
      </c>
      <c r="H45" s="442">
        <v>0</v>
      </c>
      <c r="I45" s="442">
        <v>34500800</v>
      </c>
      <c r="J45" s="442">
        <v>0</v>
      </c>
      <c r="K45" s="442">
        <v>0</v>
      </c>
      <c r="L45" s="442">
        <v>135000</v>
      </c>
      <c r="M45" s="442">
        <v>0</v>
      </c>
      <c r="N45" s="442">
        <v>0</v>
      </c>
      <c r="O45" s="358"/>
      <c r="P45" s="1048">
        <f>'TB''1217'!J281+'TB''1217'!J283</f>
        <v>0</v>
      </c>
      <c r="Q45" s="1046">
        <f>SUMIF('Trial Balance'!$A:$A,'Detail WPL''1217'!W45,'Trial Balance'!$H:$H)+SUMIF('Trial Balance'!$A:$A,'Detail WPL''1217'!X45,'Trial Balance'!$H:$H)+SUMIF('Trial Balance'!$A:$A,'Detail WPL''1217'!Y45,'Trial Balance'!$H:$H)+SUMIF('Trial Balance'!$A:$A,'Detail WPL''1217'!Z45,'Trial Balance'!$H:$H)</f>
        <v>0</v>
      </c>
      <c r="R45" s="358">
        <f>'2016'!J177</f>
        <v>3485721</v>
      </c>
      <c r="S45" s="358">
        <f t="shared" si="24"/>
        <v>-3485721</v>
      </c>
      <c r="T45" s="900">
        <f t="shared" si="25"/>
        <v>-1</v>
      </c>
      <c r="U45" s="912"/>
      <c r="V45" s="358">
        <f>'TB''1217'!H281+'TB''1217'!H283</f>
        <v>45620175</v>
      </c>
      <c r="W45" s="921" t="s">
        <v>1802</v>
      </c>
      <c r="AA45" s="344">
        <v>45620175</v>
      </c>
    </row>
    <row r="46" spans="1:42">
      <c r="B46" s="924" t="s">
        <v>865</v>
      </c>
      <c r="D46" s="420">
        <f>SUM(D39:D45)</f>
        <v>53762610</v>
      </c>
      <c r="E46" s="420">
        <f>SUM(E39:E45)</f>
        <v>52394475</v>
      </c>
      <c r="F46" s="420">
        <f t="shared" ref="F46:J46" si="26">SUM(F39:F45)</f>
        <v>77230328</v>
      </c>
      <c r="G46" s="420">
        <f t="shared" si="26"/>
        <v>40339240</v>
      </c>
      <c r="H46" s="420">
        <f t="shared" si="26"/>
        <v>51228939</v>
      </c>
      <c r="I46" s="420">
        <f t="shared" si="26"/>
        <v>175614002.71000001</v>
      </c>
      <c r="J46" s="420">
        <f t="shared" si="26"/>
        <v>98761774</v>
      </c>
      <c r="K46" s="420">
        <f t="shared" ref="K46:M46" si="27">SUM(K39:K45)</f>
        <v>102862760</v>
      </c>
      <c r="L46" s="420">
        <f t="shared" si="27"/>
        <v>117425264</v>
      </c>
      <c r="M46" s="420">
        <f t="shared" si="27"/>
        <v>72894027</v>
      </c>
      <c r="N46" s="420">
        <v>50623254</v>
      </c>
      <c r="O46" s="346"/>
      <c r="P46" s="1046">
        <f t="shared" ref="P46:S46" si="28">SUM(P39:P45)</f>
        <v>97891462</v>
      </c>
      <c r="Q46" s="1046">
        <f>SUM(Q39:Q45)</f>
        <v>0</v>
      </c>
      <c r="R46" s="346">
        <f t="shared" si="28"/>
        <v>631970394</v>
      </c>
      <c r="S46" s="346">
        <f t="shared" si="28"/>
        <v>-631970394</v>
      </c>
      <c r="T46" s="898">
        <f t="shared" si="25"/>
        <v>-1</v>
      </c>
      <c r="U46" s="912"/>
      <c r="V46" s="346">
        <f t="shared" ref="V46" si="29">SUM(V39:V45)</f>
        <v>991028135.71000004</v>
      </c>
      <c r="AA46" s="344">
        <v>991028135.71000004</v>
      </c>
    </row>
    <row r="47" spans="1:42">
      <c r="B47" s="924"/>
      <c r="K47" s="420"/>
      <c r="L47" s="420"/>
      <c r="M47" s="420"/>
      <c r="N47" s="420"/>
      <c r="O47" s="346"/>
      <c r="T47" s="898"/>
      <c r="U47" s="912"/>
    </row>
    <row r="48" spans="1:42">
      <c r="A48" s="854" t="s">
        <v>982</v>
      </c>
      <c r="B48" s="312" t="s">
        <v>838</v>
      </c>
      <c r="E48" s="420">
        <v>207800000</v>
      </c>
      <c r="F48" s="420">
        <v>0</v>
      </c>
      <c r="G48" s="420">
        <v>103870000</v>
      </c>
      <c r="H48" s="420">
        <v>1500000</v>
      </c>
      <c r="I48" s="420">
        <v>11714285.710000001</v>
      </c>
      <c r="J48" s="420">
        <v>47138250</v>
      </c>
      <c r="K48" s="442">
        <v>37250000</v>
      </c>
      <c r="L48" s="442">
        <v>41500000</v>
      </c>
      <c r="M48" s="442">
        <v>93300000</v>
      </c>
      <c r="N48" s="442">
        <v>168500000</v>
      </c>
      <c r="O48" s="358"/>
      <c r="P48" s="1048">
        <f>'TB''1217'!J270</f>
        <v>-160500000</v>
      </c>
      <c r="Q48" s="1046">
        <f>SUMIF('Trial Balance'!$A:$A,'Detail WPL''1217'!W48,'Trial Balance'!$H:$H)+SUMIF('Trial Balance'!$A:$A,'Detail WPL''1217'!X48,'Trial Balance'!$H:$H)+SUMIF('Trial Balance'!$A:$A,'Detail WPL''1217'!Y48,'Trial Balance'!$H:$H)+SUMIF('Trial Balance'!$A:$A,'Detail WPL''1217'!Z48,'Trial Balance'!$H:$H)</f>
        <v>0</v>
      </c>
      <c r="R48" s="927">
        <f>'2016'!J180</f>
        <v>677074543</v>
      </c>
      <c r="S48" s="358">
        <f>Q48-R48</f>
        <v>-677074543</v>
      </c>
      <c r="T48" s="900">
        <f t="shared" ref="T48:T49" si="30">S48/R48</f>
        <v>-1</v>
      </c>
      <c r="U48" s="912"/>
      <c r="V48" s="358">
        <f>'TB''1217'!H270</f>
        <v>552072535.71000004</v>
      </c>
      <c r="W48" t="s">
        <v>1782</v>
      </c>
      <c r="AA48" s="344">
        <v>552072535.71000004</v>
      </c>
    </row>
    <row r="49" spans="1:27">
      <c r="B49" s="924" t="s">
        <v>861</v>
      </c>
      <c r="D49" s="923">
        <f>D48</f>
        <v>0</v>
      </c>
      <c r="E49" s="923">
        <f t="shared" ref="E49:J49" si="31">E48</f>
        <v>207800000</v>
      </c>
      <c r="F49" s="923">
        <f t="shared" si="31"/>
        <v>0</v>
      </c>
      <c r="G49" s="923">
        <f t="shared" si="31"/>
        <v>103870000</v>
      </c>
      <c r="H49" s="923">
        <f t="shared" si="31"/>
        <v>1500000</v>
      </c>
      <c r="I49" s="923">
        <f t="shared" si="31"/>
        <v>11714285.710000001</v>
      </c>
      <c r="J49" s="923">
        <f t="shared" si="31"/>
        <v>47138250</v>
      </c>
      <c r="K49" s="420">
        <f t="shared" ref="K49:M49" si="32">K48</f>
        <v>37250000</v>
      </c>
      <c r="L49" s="420">
        <f t="shared" si="32"/>
        <v>41500000</v>
      </c>
      <c r="M49" s="420">
        <f t="shared" si="32"/>
        <v>93300000</v>
      </c>
      <c r="N49" s="420">
        <v>168500000</v>
      </c>
      <c r="O49" s="346"/>
      <c r="P49" s="1046">
        <f t="shared" ref="P49:S49" si="33">P48</f>
        <v>-160500000</v>
      </c>
      <c r="Q49" s="1046">
        <f>Q48</f>
        <v>0</v>
      </c>
      <c r="R49" s="346">
        <f t="shared" si="33"/>
        <v>677074543</v>
      </c>
      <c r="S49" s="346">
        <f t="shared" si="33"/>
        <v>-677074543</v>
      </c>
      <c r="T49" s="898">
        <f t="shared" si="30"/>
        <v>-1</v>
      </c>
      <c r="U49" s="912"/>
      <c r="V49" s="346">
        <f t="shared" ref="V49" si="34">V48</f>
        <v>552072535.71000004</v>
      </c>
      <c r="AA49" s="344">
        <v>552072535.71000004</v>
      </c>
    </row>
    <row r="50" spans="1:27">
      <c r="B50" s="924"/>
      <c r="D50" s="440"/>
      <c r="E50" s="440"/>
      <c r="F50" s="440"/>
      <c r="G50" s="440"/>
      <c r="H50" s="440"/>
      <c r="I50" s="440"/>
      <c r="J50" s="440"/>
      <c r="K50" s="420"/>
      <c r="L50" s="420"/>
      <c r="M50" s="420"/>
      <c r="N50" s="420"/>
      <c r="O50" s="346"/>
      <c r="T50" s="898"/>
      <c r="U50" s="912"/>
    </row>
    <row r="51" spans="1:27">
      <c r="A51" s="854" t="s">
        <v>983</v>
      </c>
      <c r="B51" s="312" t="s">
        <v>455</v>
      </c>
      <c r="D51" s="440">
        <v>11378800</v>
      </c>
      <c r="E51" s="440">
        <v>5787945</v>
      </c>
      <c r="F51" s="440">
        <v>-9621500</v>
      </c>
      <c r="G51" s="440">
        <v>16708975</v>
      </c>
      <c r="H51" s="440">
        <v>0</v>
      </c>
      <c r="I51" s="440">
        <v>0</v>
      </c>
      <c r="J51" s="440">
        <v>0</v>
      </c>
      <c r="K51" s="420">
        <v>3270350</v>
      </c>
      <c r="L51" s="420">
        <v>2327900</v>
      </c>
      <c r="M51" s="420">
        <v>467300</v>
      </c>
      <c r="N51" s="420">
        <v>21747337.859999999</v>
      </c>
      <c r="O51" s="346"/>
      <c r="P51" s="1046">
        <f>'TB''1217'!J250+'TB''1217'!J258</f>
        <v>6897930</v>
      </c>
      <c r="Q51" s="1046">
        <f>SUMIF('Trial Balance'!$A:$A,'Detail WPL''1217'!W51,'Trial Balance'!$H:$H)+SUMIF('Trial Balance'!$A:$A,'Detail WPL''1217'!X51,'Trial Balance'!$H:$H)+SUMIF('Trial Balance'!$A:$A,'Detail WPL''1217'!Y51,'Trial Balance'!$H:$H)+SUMIF('Trial Balance'!$A:$A,'Detail WPL''1217'!Z51,'Trial Balance'!$H:$H)</f>
        <v>0</v>
      </c>
      <c r="R51" s="347">
        <f>'2016'!J183</f>
        <v>85844622</v>
      </c>
      <c r="S51" s="346">
        <f t="shared" ref="S51:S58" si="35">Q51-R51</f>
        <v>-85844622</v>
      </c>
      <c r="T51" s="898">
        <f t="shared" ref="T51:T62" si="36">S51/R51</f>
        <v>-1</v>
      </c>
      <c r="U51" s="912"/>
      <c r="V51" s="346">
        <f>'TB''1217'!H250+'TB''1217'!H258</f>
        <v>58965037.859999999</v>
      </c>
      <c r="W51" s="921" t="s">
        <v>1752</v>
      </c>
      <c r="AA51" s="344">
        <v>58965037.859999999</v>
      </c>
    </row>
    <row r="52" spans="1:27">
      <c r="B52" s="312" t="s">
        <v>459</v>
      </c>
      <c r="D52" s="440">
        <v>3096000</v>
      </c>
      <c r="E52" s="440">
        <v>3618000</v>
      </c>
      <c r="F52" s="440">
        <v>2466000</v>
      </c>
      <c r="G52" s="440">
        <v>1878000</v>
      </c>
      <c r="H52" s="440">
        <v>2472000</v>
      </c>
      <c r="I52" s="440">
        <v>1631990</v>
      </c>
      <c r="J52" s="440">
        <v>1563129.5</v>
      </c>
      <c r="K52" s="420">
        <v>3659993</v>
      </c>
      <c r="L52" s="420">
        <v>2200005</v>
      </c>
      <c r="M52" s="420">
        <v>3119939</v>
      </c>
      <c r="N52" s="420">
        <v>2526000</v>
      </c>
      <c r="O52" s="346"/>
      <c r="P52" s="1046">
        <f>'TB''1217'!J251+'TB''1217'!J259</f>
        <v>1637912.88</v>
      </c>
      <c r="Q52" s="1046">
        <f>SUMIF('Trial Balance'!$A:$A,'Detail WPL''1217'!W52,'Trial Balance'!$H:$H)+SUMIF('Trial Balance'!$A:$A,'Detail WPL''1217'!X52,'Trial Balance'!$H:$H)+SUMIF('Trial Balance'!$A:$A,'Detail WPL''1217'!Y52,'Trial Balance'!$H:$H)+SUMIF('Trial Balance'!$A:$A,'Detail WPL''1217'!Z52,'Trial Balance'!$H:$H)</f>
        <v>0</v>
      </c>
      <c r="R52" s="347">
        <f>'2016'!J184</f>
        <v>31004255</v>
      </c>
      <c r="S52" s="346">
        <f t="shared" si="35"/>
        <v>-31004255</v>
      </c>
      <c r="T52" s="898">
        <f t="shared" si="36"/>
        <v>-1</v>
      </c>
      <c r="U52" s="912"/>
      <c r="V52" s="346">
        <f>'TB''1217'!H251+'TB''1217'!H259</f>
        <v>29868969.379999999</v>
      </c>
      <c r="W52" s="1128" t="s">
        <v>1752</v>
      </c>
      <c r="X52" s="312" t="s">
        <v>1932</v>
      </c>
      <c r="AA52" s="344">
        <v>29868969.379999999</v>
      </c>
    </row>
    <row r="53" spans="1:27">
      <c r="B53" s="312" t="s">
        <v>460</v>
      </c>
      <c r="D53" s="440">
        <v>0</v>
      </c>
      <c r="E53" s="440">
        <v>67216031</v>
      </c>
      <c r="F53" s="440">
        <v>-31745316</v>
      </c>
      <c r="G53" s="440">
        <v>31314123</v>
      </c>
      <c r="H53" s="440">
        <v>0</v>
      </c>
      <c r="I53" s="440">
        <v>34029462</v>
      </c>
      <c r="J53" s="440">
        <v>0</v>
      </c>
      <c r="K53" s="420">
        <v>4821741</v>
      </c>
      <c r="L53" s="420">
        <v>43793248</v>
      </c>
      <c r="M53" s="420">
        <v>10422906</v>
      </c>
      <c r="N53" s="420">
        <v>70893515</v>
      </c>
      <c r="O53" s="346"/>
      <c r="P53" s="1046">
        <f>'TB''1217'!J252+'TB''1217'!J260</f>
        <v>80971176</v>
      </c>
      <c r="Q53" s="1046">
        <f>SUMIF('Trial Balance'!$A:$A,'Detail WPL''1217'!W53,'Trial Balance'!$H:$H)+SUMIF('Trial Balance'!$A:$A,'Detail WPL''1217'!X53,'Trial Balance'!$H:$H)+SUMIF('Trial Balance'!$A:$A,'Detail WPL''1217'!Y53,'Trial Balance'!$H:$H)+SUMIF('Trial Balance'!$A:$A,'Detail WPL''1217'!Z53,'Trial Balance'!$H:$H)</f>
        <v>0</v>
      </c>
      <c r="R53" s="347">
        <f>'2016'!J185</f>
        <v>882244222</v>
      </c>
      <c r="S53" s="346">
        <f t="shared" si="35"/>
        <v>-882244222</v>
      </c>
      <c r="T53" s="898">
        <f t="shared" si="36"/>
        <v>-1</v>
      </c>
      <c r="U53" s="912"/>
      <c r="V53" s="346">
        <f>'TB''1217'!H252+'TB''1217'!H260</f>
        <v>311716886</v>
      </c>
      <c r="W53" t="s">
        <v>1755</v>
      </c>
      <c r="AA53" s="344">
        <v>311716886</v>
      </c>
    </row>
    <row r="54" spans="1:27">
      <c r="B54" s="312" t="s">
        <v>835</v>
      </c>
      <c r="D54" s="440">
        <v>2409001</v>
      </c>
      <c r="E54" s="440">
        <v>1005001</v>
      </c>
      <c r="F54" s="440">
        <v>420400</v>
      </c>
      <c r="G54" s="440">
        <v>2730001</v>
      </c>
      <c r="H54" s="440">
        <v>1244501</v>
      </c>
      <c r="I54" s="440">
        <v>451500</v>
      </c>
      <c r="J54" s="440">
        <v>1344500</v>
      </c>
      <c r="K54" s="420">
        <v>360000</v>
      </c>
      <c r="L54" s="420">
        <v>2129773</v>
      </c>
      <c r="M54" s="420">
        <v>1024136</v>
      </c>
      <c r="N54" s="420">
        <v>632600</v>
      </c>
      <c r="O54" s="346"/>
      <c r="P54" s="1046">
        <f>'TB''1217'!J253+'TB''1217'!J261</f>
        <v>1322637</v>
      </c>
      <c r="Q54" s="1046">
        <f>SUMIF('Trial Balance'!$A:$A,'Detail WPL''1217'!W54,'Trial Balance'!$H:$H)+SUMIF('Trial Balance'!$A:$A,'Detail WPL''1217'!X54,'Trial Balance'!$H:$H)+SUMIF('Trial Balance'!$A:$A,'Detail WPL''1217'!Y54,'Trial Balance'!$H:$H)+SUMIF('Trial Balance'!$A:$A,'Detail WPL''1217'!Z54,'Trial Balance'!$H:$H)</f>
        <v>0</v>
      </c>
      <c r="R54" s="347">
        <f>'2016'!J186</f>
        <v>13532808</v>
      </c>
      <c r="S54" s="346">
        <f t="shared" si="35"/>
        <v>-13532808</v>
      </c>
      <c r="T54" s="898">
        <f t="shared" si="36"/>
        <v>-1</v>
      </c>
      <c r="U54" s="912"/>
      <c r="V54" s="346">
        <f>'TB''1217'!H253+'TB''1217'!H261</f>
        <v>15074050</v>
      </c>
      <c r="W54" s="921" t="s">
        <v>1757</v>
      </c>
      <c r="AA54" s="344">
        <v>15074050</v>
      </c>
    </row>
    <row r="55" spans="1:27">
      <c r="B55" s="312" t="s">
        <v>466</v>
      </c>
      <c r="D55" s="440">
        <v>1406000</v>
      </c>
      <c r="E55" s="440">
        <v>1342000</v>
      </c>
      <c r="F55" s="440">
        <v>168000</v>
      </c>
      <c r="G55" s="440">
        <v>3841000</v>
      </c>
      <c r="H55" s="440">
        <v>205000</v>
      </c>
      <c r="I55" s="440">
        <v>2066182</v>
      </c>
      <c r="J55" s="440">
        <v>1583000</v>
      </c>
      <c r="K55" s="420">
        <v>289000</v>
      </c>
      <c r="L55" s="420">
        <v>1318000</v>
      </c>
      <c r="M55" s="420">
        <v>3400000</v>
      </c>
      <c r="N55" s="420">
        <v>1342000</v>
      </c>
      <c r="O55" s="346"/>
      <c r="P55" s="1046">
        <f>'TB''1217'!J254+'TB''1217'!J262</f>
        <v>1494000</v>
      </c>
      <c r="Q55" s="1046">
        <f>SUMIF('Trial Balance'!$A:$A,'Detail WPL''1217'!W55,'Trial Balance'!$H:$H)+SUMIF('Trial Balance'!$A:$A,'Detail WPL''1217'!X55,'Trial Balance'!$H:$H)+SUMIF('Trial Balance'!$A:$A,'Detail WPL''1217'!Y55,'Trial Balance'!$H:$H)+SUMIF('Trial Balance'!$A:$A,'Detail WPL''1217'!Z55,'Trial Balance'!$H:$H)</f>
        <v>0</v>
      </c>
      <c r="R55" s="347">
        <f>'2016'!J187</f>
        <v>18157000</v>
      </c>
      <c r="S55" s="346">
        <f t="shared" si="35"/>
        <v>-18157000</v>
      </c>
      <c r="T55" s="898">
        <f t="shared" si="36"/>
        <v>-1</v>
      </c>
      <c r="U55" s="912"/>
      <c r="V55" s="346">
        <f>'TB''1217'!H254+'TB''1217'!H262</f>
        <v>18454182</v>
      </c>
      <c r="W55" s="1126" t="s">
        <v>1759</v>
      </c>
      <c r="AA55" s="344">
        <v>18454182</v>
      </c>
    </row>
    <row r="56" spans="1:27">
      <c r="B56" s="312" t="s">
        <v>469</v>
      </c>
      <c r="D56" s="440">
        <v>-563230</v>
      </c>
      <c r="E56" s="440">
        <v>3073825</v>
      </c>
      <c r="F56" s="440">
        <v>1254700</v>
      </c>
      <c r="G56" s="440">
        <v>5012190</v>
      </c>
      <c r="H56" s="440">
        <v>10805774</v>
      </c>
      <c r="I56" s="440">
        <v>18126850</v>
      </c>
      <c r="J56" s="440">
        <v>11762650</v>
      </c>
      <c r="K56" s="420">
        <v>30648604</v>
      </c>
      <c r="L56" s="420">
        <v>3497772</v>
      </c>
      <c r="M56" s="420">
        <v>5614300</v>
      </c>
      <c r="N56" s="420">
        <v>19484000</v>
      </c>
      <c r="O56" s="346"/>
      <c r="P56" s="1046">
        <f>'TB''1217'!J255+'TB''1217'!J263</f>
        <v>3453898</v>
      </c>
      <c r="Q56" s="1046">
        <f>SUMIF('Trial Balance'!$A:$A,'Detail WPL''1217'!W56,'Trial Balance'!$H:$H)+SUMIF('Trial Balance'!$A:$A,'Detail WPL''1217'!X56,'Trial Balance'!$H:$H)+SUMIF('Trial Balance'!$A:$A,'Detail WPL''1217'!Y56,'Trial Balance'!$H:$H)+SUMIF('Trial Balance'!$A:$A,'Detail WPL''1217'!Z56,'Trial Balance'!$H:$H)</f>
        <v>0</v>
      </c>
      <c r="R56" s="347">
        <f>'2016'!J188</f>
        <v>101912441</v>
      </c>
      <c r="S56" s="346">
        <f t="shared" si="35"/>
        <v>-101912441</v>
      </c>
      <c r="T56" s="898">
        <f t="shared" si="36"/>
        <v>-1</v>
      </c>
      <c r="U56" s="912"/>
      <c r="V56" s="346">
        <f>'TB''1217'!H255+'TB''1217'!H263</f>
        <v>112171333</v>
      </c>
      <c r="W56" t="s">
        <v>1761</v>
      </c>
      <c r="AA56" s="344">
        <v>112171333</v>
      </c>
    </row>
    <row r="57" spans="1:27">
      <c r="B57" s="312" t="s">
        <v>472</v>
      </c>
      <c r="D57" s="440"/>
      <c r="E57" s="440">
        <v>21423000</v>
      </c>
      <c r="F57" s="440">
        <v>2620000</v>
      </c>
      <c r="G57" s="440">
        <v>9485000</v>
      </c>
      <c r="H57" s="440">
        <v>6526100</v>
      </c>
      <c r="I57" s="440">
        <v>0</v>
      </c>
      <c r="J57" s="440">
        <v>3268000</v>
      </c>
      <c r="K57" s="420">
        <v>4877728</v>
      </c>
      <c r="L57" s="420">
        <v>12135000</v>
      </c>
      <c r="M57" s="420">
        <v>0</v>
      </c>
      <c r="N57" s="420">
        <v>4665000</v>
      </c>
      <c r="O57" s="346"/>
      <c r="P57" s="1046">
        <f>'TB''1217'!J256+'TB''1217'!J264</f>
        <v>380000</v>
      </c>
      <c r="Q57" s="1046">
        <f>SUMIF('Trial Balance'!$A:$A,'Detail WPL''1217'!W57,'Trial Balance'!$H:$H)+SUMIF('Trial Balance'!$A:$A,'Detail WPL''1217'!X57,'Trial Balance'!$H:$H)+SUMIF('Trial Balance'!$A:$A,'Detail WPL''1217'!Y57,'Trial Balance'!$H:$H)+SUMIF('Trial Balance'!$A:$A,'Detail WPL''1217'!Z57,'Trial Balance'!$H:$H)</f>
        <v>0</v>
      </c>
      <c r="R57" s="347">
        <f>'2016'!J189</f>
        <v>21580000</v>
      </c>
      <c r="S57" s="346">
        <f t="shared" si="35"/>
        <v>-21580000</v>
      </c>
      <c r="T57" s="898">
        <f t="shared" si="36"/>
        <v>-1</v>
      </c>
      <c r="U57" s="912"/>
      <c r="V57" s="346">
        <f>'TB''1217'!H256+'TB''1217'!H264</f>
        <v>65379828</v>
      </c>
      <c r="W57" t="s">
        <v>1763</v>
      </c>
      <c r="AA57" s="344">
        <v>65379828</v>
      </c>
    </row>
    <row r="58" spans="1:27">
      <c r="B58" s="312" t="s">
        <v>836</v>
      </c>
      <c r="D58" s="442"/>
      <c r="E58" s="442"/>
      <c r="F58" s="442">
        <v>1000000</v>
      </c>
      <c r="G58" s="442">
        <v>342718</v>
      </c>
      <c r="H58" s="442">
        <v>350000</v>
      </c>
      <c r="I58" s="442">
        <v>0</v>
      </c>
      <c r="J58" s="442">
        <v>0</v>
      </c>
      <c r="K58" s="442">
        <v>150000</v>
      </c>
      <c r="L58" s="442">
        <v>0</v>
      </c>
      <c r="M58" s="442">
        <v>0</v>
      </c>
      <c r="N58" s="442">
        <v>0</v>
      </c>
      <c r="O58" s="358"/>
      <c r="P58" s="1048">
        <f>'TB''1217'!J257</f>
        <v>0</v>
      </c>
      <c r="Q58" s="1046">
        <f>SUMIF('Trial Balance'!$A:$A,'Detail WPL''1217'!W58,'Trial Balance'!$H:$H)+SUMIF('Trial Balance'!$A:$A,'Detail WPL''1217'!X58,'Trial Balance'!$H:$H)+SUMIF('Trial Balance'!$A:$A,'Detail WPL''1217'!Y58,'Trial Balance'!$H:$H)+SUMIF('Trial Balance'!$A:$A,'Detail WPL''1217'!Z58,'Trial Balance'!$H:$H)</f>
        <v>0</v>
      </c>
      <c r="R58" s="358">
        <f>'2016'!J190</f>
        <v>500000</v>
      </c>
      <c r="S58" s="358">
        <f t="shared" si="35"/>
        <v>-500000</v>
      </c>
      <c r="T58" s="900">
        <v>1</v>
      </c>
      <c r="U58" s="912"/>
      <c r="V58" s="358">
        <f>'TB''1217'!H257</f>
        <v>1842718</v>
      </c>
      <c r="W58" t="s">
        <v>1765</v>
      </c>
      <c r="AA58" s="344">
        <v>1842718</v>
      </c>
    </row>
    <row r="59" spans="1:27">
      <c r="B59" s="924" t="s">
        <v>859</v>
      </c>
      <c r="D59" s="420">
        <f>SUM(D51:D58)</f>
        <v>17726571</v>
      </c>
      <c r="E59" s="420">
        <f t="shared" ref="E59:J59" si="37">SUM(E51:E58)</f>
        <v>103465802</v>
      </c>
      <c r="F59" s="420">
        <f t="shared" si="37"/>
        <v>-33437716</v>
      </c>
      <c r="G59" s="420">
        <f t="shared" si="37"/>
        <v>71312007</v>
      </c>
      <c r="H59" s="420">
        <f t="shared" si="37"/>
        <v>21603375</v>
      </c>
      <c r="I59" s="420">
        <f t="shared" si="37"/>
        <v>56305984</v>
      </c>
      <c r="J59" s="420">
        <f t="shared" si="37"/>
        <v>19521279.5</v>
      </c>
      <c r="K59" s="420">
        <f t="shared" ref="K59:M59" si="38">SUM(K51:K58)</f>
        <v>48077416</v>
      </c>
      <c r="L59" s="420">
        <f t="shared" si="38"/>
        <v>67401698</v>
      </c>
      <c r="M59" s="420">
        <f t="shared" si="38"/>
        <v>24048581</v>
      </c>
      <c r="N59" s="420">
        <v>121290452.86</v>
      </c>
      <c r="O59" s="346"/>
      <c r="P59" s="1046">
        <f t="shared" ref="P59:S59" si="39">SUM(P51:P58)</f>
        <v>96157553.879999995</v>
      </c>
      <c r="Q59" s="1046">
        <f>SUM(Q51:Q58)</f>
        <v>0</v>
      </c>
      <c r="R59" s="346">
        <f t="shared" si="39"/>
        <v>1154775348</v>
      </c>
      <c r="S59" s="346">
        <f t="shared" si="39"/>
        <v>-1154775348</v>
      </c>
      <c r="T59" s="898">
        <f t="shared" si="36"/>
        <v>-1</v>
      </c>
      <c r="U59" s="912"/>
      <c r="V59" s="346">
        <f t="shared" ref="V59" si="40">SUM(V51:V58)</f>
        <v>613473004.24000001</v>
      </c>
      <c r="AA59" s="344">
        <v>613473004.24000001</v>
      </c>
    </row>
    <row r="60" spans="1:27">
      <c r="B60" s="312"/>
      <c r="K60" s="420"/>
      <c r="L60" s="420"/>
      <c r="M60" s="420"/>
      <c r="N60" s="420"/>
      <c r="O60" s="346"/>
      <c r="T60" s="898"/>
      <c r="U60" s="912"/>
    </row>
    <row r="61" spans="1:27">
      <c r="A61" s="854" t="s">
        <v>984</v>
      </c>
      <c r="B61" s="312" t="s">
        <v>69</v>
      </c>
      <c r="D61" s="420">
        <v>51617960</v>
      </c>
      <c r="E61" s="420">
        <v>51500000</v>
      </c>
      <c r="F61" s="420">
        <v>-117960</v>
      </c>
      <c r="G61" s="420">
        <v>44136394</v>
      </c>
      <c r="H61" s="420">
        <v>56522246</v>
      </c>
      <c r="I61" s="420">
        <v>52127149</v>
      </c>
      <c r="J61" s="420">
        <v>138107923</v>
      </c>
      <c r="K61" s="442">
        <v>30965075</v>
      </c>
      <c r="L61" s="442">
        <v>-34580000</v>
      </c>
      <c r="M61" s="442">
        <v>162962585</v>
      </c>
      <c r="N61" s="442">
        <v>148095593</v>
      </c>
      <c r="O61" s="358"/>
      <c r="P61" s="1048">
        <f>'TB''1217'!J265</f>
        <v>-15679168</v>
      </c>
      <c r="Q61" s="1046">
        <f>SUMIF('Trial Balance'!$A:$A,'Detail WPL''1217'!W61,'Trial Balance'!$H:$H)+SUMIF('Trial Balance'!$A:$A,'Detail WPL''1217'!X61,'Trial Balance'!$H:$H)+SUMIF('Trial Balance'!$A:$A,'Detail WPL''1217'!Y61,'Trial Balance'!$H:$H)+SUMIF('Trial Balance'!$A:$A,'Detail WPL''1217'!Z61,'Trial Balance'!$H:$H)</f>
        <v>0</v>
      </c>
      <c r="R61" s="358">
        <f>'2016'!J193</f>
        <v>765461570</v>
      </c>
      <c r="S61" s="358">
        <f>Q61-R61</f>
        <v>-765461570</v>
      </c>
      <c r="T61" s="900">
        <f t="shared" si="36"/>
        <v>-1</v>
      </c>
      <c r="U61" s="912"/>
      <c r="V61" s="358">
        <f>'TB''1217'!H265</f>
        <v>685657797</v>
      </c>
      <c r="W61" t="s">
        <v>1774</v>
      </c>
      <c r="AA61" s="344">
        <v>685657797</v>
      </c>
    </row>
    <row r="62" spans="1:27">
      <c r="B62" s="924" t="s">
        <v>860</v>
      </c>
      <c r="D62" s="923">
        <f>D61</f>
        <v>51617960</v>
      </c>
      <c r="E62" s="923">
        <f t="shared" ref="E62:J62" si="41">E61</f>
        <v>51500000</v>
      </c>
      <c r="F62" s="923">
        <f t="shared" si="41"/>
        <v>-117960</v>
      </c>
      <c r="G62" s="923">
        <f t="shared" si="41"/>
        <v>44136394</v>
      </c>
      <c r="H62" s="923">
        <f t="shared" si="41"/>
        <v>56522246</v>
      </c>
      <c r="I62" s="923">
        <f t="shared" si="41"/>
        <v>52127149</v>
      </c>
      <c r="J62" s="923">
        <f t="shared" si="41"/>
        <v>138107923</v>
      </c>
      <c r="K62" s="420">
        <f t="shared" ref="K62:M62" si="42">K61</f>
        <v>30965075</v>
      </c>
      <c r="L62" s="420">
        <f t="shared" si="42"/>
        <v>-34580000</v>
      </c>
      <c r="M62" s="420">
        <f t="shared" si="42"/>
        <v>162962585</v>
      </c>
      <c r="N62" s="420">
        <v>148095593</v>
      </c>
      <c r="O62" s="346"/>
      <c r="P62" s="1046">
        <f t="shared" ref="P62:S62" si="43">P61</f>
        <v>-15679168</v>
      </c>
      <c r="Q62" s="1046">
        <f>Q61</f>
        <v>0</v>
      </c>
      <c r="R62" s="346">
        <f t="shared" si="43"/>
        <v>765461570</v>
      </c>
      <c r="S62" s="346">
        <f t="shared" si="43"/>
        <v>-765461570</v>
      </c>
      <c r="T62" s="898">
        <f t="shared" si="36"/>
        <v>-1</v>
      </c>
      <c r="U62" s="912"/>
      <c r="V62" s="346">
        <f t="shared" ref="V62" si="44">V61</f>
        <v>685657797</v>
      </c>
      <c r="W62" s="912"/>
      <c r="AA62" s="344">
        <v>685657797</v>
      </c>
    </row>
    <row r="63" spans="1:27">
      <c r="B63" s="312"/>
      <c r="D63" s="440"/>
      <c r="E63" s="440"/>
      <c r="F63" s="440"/>
      <c r="G63" s="440"/>
      <c r="H63" s="440"/>
      <c r="I63" s="440"/>
      <c r="J63" s="440"/>
      <c r="K63" s="420"/>
      <c r="L63" s="420"/>
      <c r="M63" s="420"/>
      <c r="N63" s="420"/>
      <c r="O63" s="346"/>
      <c r="T63" s="898"/>
      <c r="U63" s="912"/>
    </row>
    <row r="64" spans="1:27">
      <c r="A64" s="854" t="s">
        <v>985</v>
      </c>
      <c r="B64" s="312" t="s">
        <v>501</v>
      </c>
      <c r="D64" s="440">
        <v>17032300</v>
      </c>
      <c r="E64" s="440">
        <v>14765782</v>
      </c>
      <c r="F64" s="440">
        <v>-6439293</v>
      </c>
      <c r="G64" s="440">
        <v>17439688</v>
      </c>
      <c r="H64" s="440">
        <v>4606151</v>
      </c>
      <c r="I64" s="440">
        <v>10784783</v>
      </c>
      <c r="J64" s="440">
        <v>33602102</v>
      </c>
      <c r="K64" s="420">
        <v>9341234</v>
      </c>
      <c r="L64" s="420">
        <v>8140016</v>
      </c>
      <c r="M64" s="420">
        <v>81591457.669999987</v>
      </c>
      <c r="N64" s="420">
        <v>-36127986</v>
      </c>
      <c r="O64" s="346"/>
      <c r="P64" s="1046">
        <f>'TB''1217'!J266</f>
        <v>80486706</v>
      </c>
      <c r="Q64" s="1046">
        <f>SUMIF('Trial Balance'!$A:$A,'Detail WPL''1217'!W64,'Trial Balance'!$H:$H)+SUMIF('Trial Balance'!$A:$A,'Detail WPL''1217'!X64,'Trial Balance'!$H:$H)+SUMIF('Trial Balance'!$A:$A,'Detail WPL''1217'!Y64,'Trial Balance'!$H:$H)+SUMIF('Trial Balance'!$A:$A,'Detail WPL''1217'!Z64,'Trial Balance'!$H:$H)</f>
        <v>0</v>
      </c>
      <c r="R64" s="346">
        <f>'2016'!J196</f>
        <v>289062896</v>
      </c>
      <c r="S64" s="346">
        <f>Q64-R64</f>
        <v>-289062896</v>
      </c>
      <c r="T64" s="898">
        <f t="shared" ref="T64:T67" si="45">S64/R64</f>
        <v>-1</v>
      </c>
      <c r="U64" s="912"/>
      <c r="V64" s="346">
        <f>'TB''1217'!H266+'TB''1217'!H268</f>
        <v>231722940.66999996</v>
      </c>
      <c r="W64" t="s">
        <v>1776</v>
      </c>
      <c r="AA64" s="344">
        <v>235222940.66999999</v>
      </c>
    </row>
    <row r="65" spans="1:27">
      <c r="B65" s="312" t="s">
        <v>505</v>
      </c>
      <c r="D65" s="440">
        <v>2000000</v>
      </c>
      <c r="E65" s="440">
        <v>2000000</v>
      </c>
      <c r="F65" s="440">
        <v>2000000</v>
      </c>
      <c r="G65" s="440"/>
      <c r="H65" s="440">
        <v>2142000</v>
      </c>
      <c r="I65" s="440">
        <v>14929001</v>
      </c>
      <c r="J65" s="440"/>
      <c r="K65" s="440">
        <v>2000000</v>
      </c>
      <c r="L65" s="440">
        <v>3250000</v>
      </c>
      <c r="M65" s="440">
        <v>2928572</v>
      </c>
      <c r="N65" s="440">
        <v>11082143</v>
      </c>
      <c r="O65" s="346"/>
      <c r="P65" s="1046">
        <f>'TB''1217'!J267+'TB''1217'!J269</f>
        <v>4081852</v>
      </c>
      <c r="Q65" s="1046">
        <f>SUMIF('Trial Balance'!$A:$A,'Detail WPL''1217'!W65,'Trial Balance'!$H:$H)+SUMIF('Trial Balance'!$A:$A,'Detail WPL''1217'!X65,'Trial Balance'!$H:$H)+SUMIF('Trial Balance'!$A:$A,'Detail WPL''1217'!Y65,'Trial Balance'!$H:$H)+SUMIF('Trial Balance'!$A:$A,'Detail WPL''1217'!Z65,'Trial Balance'!$H:$H)</f>
        <v>0</v>
      </c>
      <c r="R65" s="346">
        <f>'2016'!J197</f>
        <v>31958800</v>
      </c>
      <c r="S65" s="346">
        <f>Q65-R65</f>
        <v>-31958800</v>
      </c>
      <c r="T65" s="898">
        <f t="shared" si="45"/>
        <v>-1</v>
      </c>
      <c r="U65" s="912"/>
      <c r="V65" s="346">
        <f>'TB''1217'!H267+'TB''1217'!H269</f>
        <v>46413568</v>
      </c>
      <c r="W65" s="921" t="s">
        <v>1778</v>
      </c>
      <c r="AA65" s="344">
        <v>46413568</v>
      </c>
    </row>
    <row r="66" spans="1:27">
      <c r="B66" s="312" t="s">
        <v>837</v>
      </c>
      <c r="D66" s="442"/>
      <c r="E66" s="442"/>
      <c r="F66" s="442"/>
      <c r="G66" s="442"/>
      <c r="H66" s="442"/>
      <c r="I66" s="442"/>
      <c r="J66" s="442"/>
      <c r="K66" s="442"/>
      <c r="L66" s="442">
        <v>0</v>
      </c>
      <c r="M66" s="442">
        <v>-3500000</v>
      </c>
      <c r="N66" s="442">
        <v>0</v>
      </c>
      <c r="O66" s="358"/>
      <c r="P66" s="1048">
        <f>'TB''1217'!J268</f>
        <v>0</v>
      </c>
      <c r="R66" s="358"/>
      <c r="S66" s="358">
        <f>Q66-R66</f>
        <v>0</v>
      </c>
      <c r="T66" s="900">
        <v>1</v>
      </c>
      <c r="U66" s="912"/>
      <c r="V66" s="358"/>
      <c r="W66" s="1128" t="s">
        <v>1776</v>
      </c>
      <c r="AA66" s="344">
        <v>-3500000</v>
      </c>
    </row>
    <row r="67" spans="1:27">
      <c r="B67" s="924" t="s">
        <v>862</v>
      </c>
      <c r="D67" s="420">
        <f t="shared" ref="D67:K67" si="46">SUM(D64:D66)</f>
        <v>19032300</v>
      </c>
      <c r="E67" s="420">
        <f t="shared" si="46"/>
        <v>16765782</v>
      </c>
      <c r="F67" s="420">
        <f t="shared" si="46"/>
        <v>-4439293</v>
      </c>
      <c r="G67" s="420">
        <f t="shared" si="46"/>
        <v>17439688</v>
      </c>
      <c r="H67" s="420">
        <f t="shared" si="46"/>
        <v>6748151</v>
      </c>
      <c r="I67" s="420">
        <f t="shared" si="46"/>
        <v>25713784</v>
      </c>
      <c r="J67" s="420">
        <f t="shared" si="46"/>
        <v>33602102</v>
      </c>
      <c r="K67" s="420">
        <f t="shared" si="46"/>
        <v>11341234</v>
      </c>
      <c r="L67" s="420">
        <f t="shared" ref="L67:S67" si="47">SUM(L64:L66)</f>
        <v>11390016</v>
      </c>
      <c r="M67" s="420">
        <f t="shared" si="47"/>
        <v>81020029.669999987</v>
      </c>
      <c r="N67" s="420">
        <v>-25045843</v>
      </c>
      <c r="O67" s="346"/>
      <c r="P67" s="1046">
        <f t="shared" si="47"/>
        <v>84568558</v>
      </c>
      <c r="Q67" s="1046">
        <f>SUM(Q64:Q66)</f>
        <v>0</v>
      </c>
      <c r="R67" s="346">
        <f t="shared" si="47"/>
        <v>321021696</v>
      </c>
      <c r="S67" s="346">
        <f t="shared" si="47"/>
        <v>-321021696</v>
      </c>
      <c r="T67" s="898">
        <f t="shared" si="45"/>
        <v>-1</v>
      </c>
      <c r="U67" s="912"/>
      <c r="V67" s="346">
        <f t="shared" ref="V67" si="48">SUM(V64:V66)</f>
        <v>278136508.66999996</v>
      </c>
      <c r="AA67" s="344">
        <v>278136508.66999996</v>
      </c>
    </row>
    <row r="68" spans="1:27">
      <c r="B68" s="924"/>
      <c r="O68" s="346"/>
      <c r="T68" s="898"/>
      <c r="U68" s="912"/>
    </row>
    <row r="69" spans="1:27">
      <c r="A69" s="854" t="s">
        <v>986</v>
      </c>
      <c r="B69" s="312" t="s">
        <v>493</v>
      </c>
      <c r="D69" s="420">
        <v>109080</v>
      </c>
      <c r="E69" s="420">
        <v>15007002</v>
      </c>
      <c r="G69" s="420">
        <v>28755160</v>
      </c>
      <c r="H69" s="420">
        <v>29604882</v>
      </c>
      <c r="I69" s="420">
        <v>14894950</v>
      </c>
      <c r="J69" s="420">
        <v>4754770</v>
      </c>
      <c r="K69" s="420">
        <v>27563995</v>
      </c>
      <c r="L69" s="420">
        <v>10058040</v>
      </c>
      <c r="M69" s="420">
        <v>13472010</v>
      </c>
      <c r="N69" s="420">
        <v>11221000</v>
      </c>
      <c r="O69" s="346"/>
      <c r="P69" s="1046">
        <f>'TB''1217'!J271</f>
        <v>2421570</v>
      </c>
      <c r="Q69" s="1046">
        <f>SUMIF('Trial Balance'!$A:$A,'Detail WPL''1217'!W69,'Trial Balance'!$H:$H)+SUMIF('Trial Balance'!$A:$A,'Detail WPL''1217'!X69,'Trial Balance'!$H:$H)+SUMIF('Trial Balance'!$A:$A,'Detail WPL''1217'!Y69,'Trial Balance'!$H:$H)+SUMIF('Trial Balance'!$A:$A,'Detail WPL''1217'!Z69,'Trial Balance'!$H:$H)</f>
        <v>0</v>
      </c>
      <c r="R69" s="346">
        <f>'2016'!J200</f>
        <v>153604582</v>
      </c>
      <c r="S69" s="346">
        <f>Q69-R69</f>
        <v>-153604582</v>
      </c>
      <c r="T69" s="898">
        <f t="shared" ref="T69:T73" si="49">S69/R69</f>
        <v>-1</v>
      </c>
      <c r="U69" s="912"/>
      <c r="V69" s="346">
        <f>'TB''1217'!H271+'TB''1217'!H273</f>
        <v>157862459</v>
      </c>
      <c r="W69" t="s">
        <v>1784</v>
      </c>
      <c r="AA69" s="344">
        <v>157862459</v>
      </c>
    </row>
    <row r="70" spans="1:27">
      <c r="B70" s="312" t="s">
        <v>839</v>
      </c>
      <c r="D70" s="420">
        <v>11225804</v>
      </c>
      <c r="E70" s="420">
        <v>25847546</v>
      </c>
      <c r="F70" s="420">
        <v>4735304</v>
      </c>
      <c r="G70" s="420">
        <v>15745407</v>
      </c>
      <c r="H70" s="420">
        <v>23869482</v>
      </c>
      <c r="I70" s="420">
        <v>9362975</v>
      </c>
      <c r="J70" s="420">
        <v>9202007</v>
      </c>
      <c r="K70" s="440">
        <v>23856626</v>
      </c>
      <c r="L70" s="440">
        <v>11094929</v>
      </c>
      <c r="M70" s="440">
        <v>10173017</v>
      </c>
      <c r="N70" s="440">
        <v>27061815</v>
      </c>
      <c r="O70" s="346"/>
      <c r="P70" s="1046">
        <f>'TB''1217'!J272</f>
        <v>11784734</v>
      </c>
      <c r="Q70" s="1046">
        <f>SUMIF('Trial Balance'!$A:$A,'Detail WPL''1217'!W70,'Trial Balance'!$H:$H)+SUMIF('Trial Balance'!$A:$A,'Detail WPL''1217'!X70,'Trial Balance'!$H:$H)+SUMIF('Trial Balance'!$A:$A,'Detail WPL''1217'!Y70,'Trial Balance'!$H:$H)+SUMIF('Trial Balance'!$A:$A,'Detail WPL''1217'!Z70,'Trial Balance'!$H:$H)</f>
        <v>0</v>
      </c>
      <c r="R70" s="346">
        <f>'2016'!J201</f>
        <v>211286125</v>
      </c>
      <c r="S70" s="346">
        <f>Q70-R70</f>
        <v>-211286125</v>
      </c>
      <c r="T70" s="898">
        <f t="shared" si="49"/>
        <v>-1</v>
      </c>
      <c r="U70" s="912"/>
      <c r="V70" s="346">
        <f>'TB''1217'!H272+'TB''1217'!H274</f>
        <v>183959646</v>
      </c>
      <c r="W70" t="s">
        <v>1786</v>
      </c>
      <c r="AA70" s="344">
        <v>183959646</v>
      </c>
    </row>
    <row r="71" spans="1:27">
      <c r="B71" s="312" t="s">
        <v>840</v>
      </c>
      <c r="K71" s="347"/>
      <c r="L71" s="347">
        <v>0</v>
      </c>
      <c r="M71" s="347">
        <v>0</v>
      </c>
      <c r="N71" s="347">
        <v>0</v>
      </c>
      <c r="O71" s="346"/>
      <c r="P71" s="1046">
        <f>'TB''1217'!J273</f>
        <v>0</v>
      </c>
      <c r="Q71" s="1046">
        <f>SUMIF('Trial Balance'!$A:$A,'Detail WPL''1217'!W71,'Trial Balance'!$H:$H)+SUMIF('Trial Balance'!$A:$A,'Detail WPL''1217'!X71,'Trial Balance'!$H:$H)+SUMIF('Trial Balance'!$A:$A,'Detail WPL''1217'!Y71,'Trial Balance'!$H:$H)+SUMIF('Trial Balance'!$A:$A,'Detail WPL''1217'!Z71,'Trial Balance'!$H:$H)</f>
        <v>0</v>
      </c>
      <c r="R71" s="346"/>
      <c r="S71" s="346">
        <f>Q71-R71</f>
        <v>0</v>
      </c>
      <c r="T71" s="898">
        <v>1</v>
      </c>
      <c r="U71" s="912"/>
      <c r="AA71" s="344">
        <v>0</v>
      </c>
    </row>
    <row r="72" spans="1:27">
      <c r="B72" s="312" t="s">
        <v>841</v>
      </c>
      <c r="K72" s="358"/>
      <c r="L72" s="358">
        <v>0</v>
      </c>
      <c r="M72" s="358">
        <v>0</v>
      </c>
      <c r="N72" s="358">
        <v>0</v>
      </c>
      <c r="O72" s="358"/>
      <c r="P72" s="1048">
        <f>'TB''1217'!J274</f>
        <v>0</v>
      </c>
      <c r="Q72" s="1046">
        <f>SUMIF('Trial Balance'!$A:$A,'Detail WPL''1217'!W72,'Trial Balance'!$H:$H)+SUMIF('Trial Balance'!$A:$A,'Detail WPL''1217'!X72,'Trial Balance'!$H:$H)+SUMIF('Trial Balance'!$A:$A,'Detail WPL''1217'!Y72,'Trial Balance'!$H:$H)+SUMIF('Trial Balance'!$A:$A,'Detail WPL''1217'!Z72,'Trial Balance'!$H:$H)</f>
        <v>0</v>
      </c>
      <c r="R72" s="358"/>
      <c r="S72" s="358">
        <f>Q72-R72</f>
        <v>0</v>
      </c>
      <c r="T72" s="900">
        <v>1</v>
      </c>
      <c r="U72" s="912"/>
      <c r="V72" s="358"/>
      <c r="AA72" s="344">
        <v>0</v>
      </c>
    </row>
    <row r="73" spans="1:27">
      <c r="B73" s="924" t="s">
        <v>863</v>
      </c>
      <c r="D73" s="923">
        <f t="shared" ref="D73:M73" si="50">SUM(D69:D72)</f>
        <v>11334884</v>
      </c>
      <c r="E73" s="923">
        <f t="shared" si="50"/>
        <v>40854548</v>
      </c>
      <c r="F73" s="923">
        <f t="shared" si="50"/>
        <v>4735304</v>
      </c>
      <c r="G73" s="923">
        <f t="shared" si="50"/>
        <v>44500567</v>
      </c>
      <c r="H73" s="923">
        <f t="shared" si="50"/>
        <v>53474364</v>
      </c>
      <c r="I73" s="923">
        <f t="shared" si="50"/>
        <v>24257925</v>
      </c>
      <c r="J73" s="923">
        <f t="shared" si="50"/>
        <v>13956777</v>
      </c>
      <c r="K73" s="420">
        <f t="shared" si="50"/>
        <v>51420621</v>
      </c>
      <c r="L73" s="420">
        <f t="shared" si="50"/>
        <v>21152969</v>
      </c>
      <c r="M73" s="420">
        <f t="shared" si="50"/>
        <v>23645027</v>
      </c>
      <c r="N73" s="420">
        <v>38282815</v>
      </c>
      <c r="O73" s="346"/>
      <c r="P73" s="1046">
        <f t="shared" ref="P73:S73" si="51">SUM(P69:P72)</f>
        <v>14206304</v>
      </c>
      <c r="Q73" s="1046">
        <f>SUM(Q69:Q72)</f>
        <v>0</v>
      </c>
      <c r="R73" s="346">
        <f t="shared" si="51"/>
        <v>364890707</v>
      </c>
      <c r="S73" s="346">
        <f t="shared" si="51"/>
        <v>-364890707</v>
      </c>
      <c r="T73" s="898">
        <f t="shared" si="49"/>
        <v>-1</v>
      </c>
      <c r="U73" s="912"/>
      <c r="V73" s="346">
        <f t="shared" ref="V73" si="52">SUM(V69:V72)</f>
        <v>341822105</v>
      </c>
      <c r="AA73" s="344">
        <v>341822105</v>
      </c>
    </row>
    <row r="74" spans="1:27">
      <c r="B74" s="924"/>
      <c r="D74" s="440"/>
      <c r="E74" s="440"/>
      <c r="F74" s="440"/>
      <c r="G74" s="440"/>
      <c r="H74" s="440"/>
      <c r="I74" s="440"/>
      <c r="J74" s="440"/>
      <c r="K74" s="420"/>
      <c r="L74" s="420"/>
      <c r="M74" s="420"/>
      <c r="N74" s="420"/>
      <c r="O74" s="346"/>
      <c r="R74" s="346"/>
      <c r="T74" s="898"/>
      <c r="U74" s="912"/>
    </row>
    <row r="75" spans="1:27">
      <c r="A75" s="854" t="s">
        <v>987</v>
      </c>
      <c r="B75" s="312" t="s">
        <v>842</v>
      </c>
      <c r="D75" s="440">
        <v>198544425</v>
      </c>
      <c r="E75" s="440">
        <v>61505899</v>
      </c>
      <c r="F75" s="440">
        <v>24080742</v>
      </c>
      <c r="G75" s="440">
        <v>178486642</v>
      </c>
      <c r="H75" s="440">
        <v>144421265</v>
      </c>
      <c r="I75" s="440">
        <v>45394610.710000008</v>
      </c>
      <c r="J75" s="440">
        <v>107357473</v>
      </c>
      <c r="K75" s="440">
        <v>79491008.200000003</v>
      </c>
      <c r="L75" s="440">
        <v>148887666</v>
      </c>
      <c r="M75" s="440">
        <v>78401504</v>
      </c>
      <c r="N75" s="440">
        <v>232628790</v>
      </c>
      <c r="O75" s="347"/>
      <c r="P75" s="1047">
        <f>'TB''1217'!J275</f>
        <v>3085638</v>
      </c>
      <c r="Q75" s="1046">
        <f>SUMIF('Trial Balance'!$A:$A,'Detail WPL''1217'!W75,'Trial Balance'!$H:$H)+SUMIF('Trial Balance'!$A:$A,'Detail WPL''1217'!X75,'Trial Balance'!$H:$H)+SUMIF('Trial Balance'!$A:$A,'Detail WPL''1217'!Y75,'Trial Balance'!$H:$H)+SUMIF('Trial Balance'!$A:$A,'Detail WPL''1217'!Z75,'Trial Balance'!$H:$H)</f>
        <v>0</v>
      </c>
      <c r="R75" s="347">
        <f>'2016'!J204</f>
        <v>1054131212</v>
      </c>
      <c r="S75" s="347">
        <f>Q75-R75</f>
        <v>-1054131212</v>
      </c>
      <c r="T75" s="918">
        <f t="shared" ref="T75:T77" si="53">S75/R75</f>
        <v>-1</v>
      </c>
      <c r="U75" s="912"/>
      <c r="V75" s="347">
        <f>'TB''1217'!H275</f>
        <v>1302285662.9099998</v>
      </c>
      <c r="W75" t="s">
        <v>1790</v>
      </c>
      <c r="AA75" s="344">
        <v>1302285662.9100001</v>
      </c>
    </row>
    <row r="76" spans="1:27">
      <c r="B76" s="265" t="s">
        <v>1379</v>
      </c>
      <c r="D76" s="442"/>
      <c r="E76" s="442"/>
      <c r="F76" s="442"/>
      <c r="G76" s="442"/>
      <c r="H76" s="442"/>
      <c r="I76" s="442"/>
      <c r="J76" s="442"/>
      <c r="K76" s="358"/>
      <c r="L76" s="358">
        <v>0</v>
      </c>
      <c r="M76" s="358">
        <v>0</v>
      </c>
      <c r="N76" s="358">
        <v>0</v>
      </c>
      <c r="O76" s="358"/>
      <c r="P76" s="1048"/>
      <c r="Q76" s="1046">
        <f>SUMIF('Trial Balance'!$A:$A,'Detail WPL''1217'!W76,'Trial Balance'!$H:$H)+SUMIF('Trial Balance'!$A:$A,'Detail WPL''1217'!X76,'Trial Balance'!$H:$H)+SUMIF('Trial Balance'!$A:$A,'Detail WPL''1217'!Y76,'Trial Balance'!$H:$H)+SUMIF('Trial Balance'!$A:$A,'Detail WPL''1217'!Z76,'Trial Balance'!$H:$H)</f>
        <v>0</v>
      </c>
      <c r="R76" s="358"/>
      <c r="S76" s="358">
        <f>Q76-R76</f>
        <v>0</v>
      </c>
      <c r="T76" s="900">
        <v>1</v>
      </c>
      <c r="U76" s="912"/>
      <c r="V76" s="358"/>
      <c r="AA76" s="344">
        <v>0</v>
      </c>
    </row>
    <row r="77" spans="1:27">
      <c r="B77" s="924" t="s">
        <v>864</v>
      </c>
      <c r="D77" s="420">
        <f>SUM(D75:D76)</f>
        <v>198544425</v>
      </c>
      <c r="E77" s="420">
        <f t="shared" ref="E77:J77" si="54">SUM(E75:E76)</f>
        <v>61505899</v>
      </c>
      <c r="F77" s="420">
        <f t="shared" si="54"/>
        <v>24080742</v>
      </c>
      <c r="G77" s="420">
        <f t="shared" si="54"/>
        <v>178486642</v>
      </c>
      <c r="H77" s="420">
        <f t="shared" si="54"/>
        <v>144421265</v>
      </c>
      <c r="I77" s="420">
        <f t="shared" si="54"/>
        <v>45394610.710000008</v>
      </c>
      <c r="J77" s="420">
        <f t="shared" si="54"/>
        <v>107357473</v>
      </c>
      <c r="K77" s="420">
        <f>K75</f>
        <v>79491008.200000003</v>
      </c>
      <c r="L77" s="420">
        <f>L75</f>
        <v>148887666</v>
      </c>
      <c r="M77" s="420">
        <f t="shared" ref="M77:S77" si="55">M75+M76</f>
        <v>78401504</v>
      </c>
      <c r="N77" s="420">
        <v>232628790</v>
      </c>
      <c r="O77" s="346"/>
      <c r="P77" s="1046">
        <f t="shared" si="55"/>
        <v>3085638</v>
      </c>
      <c r="Q77" s="1046">
        <f>Q75+Q76</f>
        <v>0</v>
      </c>
      <c r="R77" s="346">
        <f t="shared" si="55"/>
        <v>1054131212</v>
      </c>
      <c r="S77" s="346">
        <f t="shared" si="55"/>
        <v>-1054131212</v>
      </c>
      <c r="T77" s="898">
        <f t="shared" si="53"/>
        <v>-1</v>
      </c>
      <c r="U77" s="912"/>
      <c r="V77" s="346">
        <f t="shared" ref="V77" si="56">V75+V76</f>
        <v>1302285662.9099998</v>
      </c>
      <c r="AA77" s="344">
        <v>1302285662.9100001</v>
      </c>
    </row>
    <row r="78" spans="1:27">
      <c r="B78" s="924"/>
      <c r="K78" s="420">
        <v>0</v>
      </c>
      <c r="L78" s="420"/>
      <c r="M78" s="420"/>
      <c r="N78" s="420"/>
      <c r="O78" s="346"/>
      <c r="R78" s="346"/>
      <c r="T78" s="898"/>
      <c r="U78" s="912"/>
    </row>
    <row r="79" spans="1:27">
      <c r="A79" s="854" t="s">
        <v>988</v>
      </c>
      <c r="B79" s="312" t="s">
        <v>513</v>
      </c>
      <c r="D79" s="420">
        <v>-7740900</v>
      </c>
      <c r="H79" s="420">
        <v>0</v>
      </c>
      <c r="I79" s="420">
        <v>813333.34</v>
      </c>
      <c r="J79" s="420">
        <v>21603023</v>
      </c>
      <c r="M79" s="346">
        <v>0</v>
      </c>
      <c r="N79" s="346">
        <v>6772300</v>
      </c>
      <c r="O79" s="346"/>
      <c r="P79" s="1046">
        <f>'TB''1217'!J308</f>
        <v>8598000</v>
      </c>
      <c r="Q79" s="1046">
        <f>SUMIF('Trial Balance'!$A:$A,'Detail WPL''1217'!W79,'Trial Balance'!$H:$H)+SUMIF('Trial Balance'!$A:$A,'Detail WPL''1217'!X79,'Trial Balance'!$H:$H)+SUMIF('Trial Balance'!$A:$A,'Detail WPL''1217'!Y79,'Trial Balance'!$H:$H)+SUMIF('Trial Balance'!$A:$A,'Detail WPL''1217'!Z79,'Trial Balance'!$H:$H)</f>
        <v>0</v>
      </c>
      <c r="R79" s="346">
        <f>'2016'!J207</f>
        <v>63895300</v>
      </c>
      <c r="S79" s="346">
        <f>Q79-R79</f>
        <v>-63895300</v>
      </c>
      <c r="T79" s="898">
        <f t="shared" ref="T79:T81" si="57">S79/R79</f>
        <v>-1</v>
      </c>
      <c r="U79" s="912"/>
      <c r="V79" s="346">
        <f>'TB''1217'!H308+'TB''1217'!H309</f>
        <v>30045756.34</v>
      </c>
      <c r="W79" t="s">
        <v>1838</v>
      </c>
      <c r="AA79" s="344">
        <v>30045756.34</v>
      </c>
    </row>
    <row r="80" spans="1:27">
      <c r="B80" s="312" t="s">
        <v>936</v>
      </c>
      <c r="H80" s="420">
        <v>0</v>
      </c>
      <c r="K80" s="442"/>
      <c r="L80" s="442"/>
      <c r="M80" s="442"/>
      <c r="N80" s="442"/>
      <c r="O80" s="358"/>
      <c r="P80" s="1048"/>
      <c r="Q80" s="1046">
        <f>SUMIF('Trial Balance'!$A:$A,'Detail WPL''1217'!W80,'Trial Balance'!$H:$H)+SUMIF('Trial Balance'!$A:$A,'Detail WPL''1217'!X80,'Trial Balance'!$H:$H)+SUMIF('Trial Balance'!$A:$A,'Detail WPL''1217'!Y80,'Trial Balance'!$H:$H)+SUMIF('Trial Balance'!$A:$A,'Detail WPL''1217'!Z80,'Trial Balance'!$H:$H)</f>
        <v>0</v>
      </c>
      <c r="R80" s="358">
        <f>'2016'!J208</f>
        <v>305531676</v>
      </c>
      <c r="S80" s="358">
        <f>Q80-R80</f>
        <v>-305531676</v>
      </c>
      <c r="T80" s="900">
        <f t="shared" si="57"/>
        <v>-1</v>
      </c>
      <c r="U80" s="912"/>
      <c r="V80" s="358"/>
      <c r="AA80" s="344">
        <v>0</v>
      </c>
    </row>
    <row r="81" spans="1:27">
      <c r="B81" s="924" t="s">
        <v>869</v>
      </c>
      <c r="D81" s="923">
        <f>D79+D80</f>
        <v>-7740900</v>
      </c>
      <c r="E81" s="923">
        <f t="shared" ref="E81:J81" si="58">E79+E80</f>
        <v>0</v>
      </c>
      <c r="F81" s="923">
        <f t="shared" si="58"/>
        <v>0</v>
      </c>
      <c r="G81" s="923">
        <f t="shared" si="58"/>
        <v>0</v>
      </c>
      <c r="H81" s="923">
        <f t="shared" si="58"/>
        <v>0</v>
      </c>
      <c r="I81" s="923">
        <f t="shared" si="58"/>
        <v>813333.34</v>
      </c>
      <c r="J81" s="923">
        <f t="shared" si="58"/>
        <v>21603023</v>
      </c>
      <c r="K81" s="420">
        <f>SUM(K78:K80)</f>
        <v>0</v>
      </c>
      <c r="L81" s="420"/>
      <c r="M81" s="420">
        <f t="shared" ref="M81:S81" si="59">M79+M80</f>
        <v>0</v>
      </c>
      <c r="N81" s="420">
        <v>6772300</v>
      </c>
      <c r="O81" s="346"/>
      <c r="P81" s="1046">
        <f t="shared" si="59"/>
        <v>8598000</v>
      </c>
      <c r="Q81" s="1046">
        <f>Q79+Q80</f>
        <v>0</v>
      </c>
      <c r="R81" s="346">
        <f t="shared" si="59"/>
        <v>369426976</v>
      </c>
      <c r="S81" s="346">
        <f t="shared" si="59"/>
        <v>-369426976</v>
      </c>
      <c r="T81" s="898">
        <f t="shared" si="57"/>
        <v>-1</v>
      </c>
      <c r="U81" s="912"/>
      <c r="V81" s="346">
        <f t="shared" ref="V81" si="60">V79+V80</f>
        <v>30045756.34</v>
      </c>
      <c r="AA81" s="344">
        <v>30045756.34</v>
      </c>
    </row>
    <row r="82" spans="1:27">
      <c r="B82" s="924"/>
      <c r="D82" s="440"/>
      <c r="E82" s="440"/>
      <c r="F82" s="440"/>
      <c r="G82" s="440"/>
      <c r="H82" s="440"/>
      <c r="I82" s="440"/>
      <c r="J82" s="440"/>
      <c r="K82" s="420"/>
      <c r="L82" s="420"/>
      <c r="M82" s="420"/>
      <c r="N82" s="420"/>
      <c r="O82" s="346"/>
      <c r="R82" s="346"/>
      <c r="T82" s="898"/>
      <c r="U82" s="912"/>
    </row>
    <row r="83" spans="1:27">
      <c r="A83" s="854" t="s">
        <v>989</v>
      </c>
      <c r="B83" s="312" t="s">
        <v>531</v>
      </c>
      <c r="D83" s="440">
        <v>961200</v>
      </c>
      <c r="E83" s="440">
        <v>0</v>
      </c>
      <c r="F83" s="440">
        <v>79000</v>
      </c>
      <c r="G83" s="440">
        <v>-66001</v>
      </c>
      <c r="H83" s="440">
        <v>125000</v>
      </c>
      <c r="I83" s="440">
        <v>4232000</v>
      </c>
      <c r="J83" s="440">
        <v>3635371</v>
      </c>
      <c r="K83" s="420">
        <v>-130000</v>
      </c>
      <c r="L83" s="420">
        <v>315000</v>
      </c>
      <c r="M83" s="420">
        <v>3332950</v>
      </c>
      <c r="N83" s="420">
        <v>54000</v>
      </c>
      <c r="O83" s="346"/>
      <c r="P83" s="1046">
        <f>'TB''1217'!J311+'TB''1217'!J316+'TB''1217'!J318+'TB''1217'!J322</f>
        <v>74500</v>
      </c>
      <c r="Q83" s="1046">
        <f>SUMIF('Trial Balance'!$A:$A,'Detail WPL''1217'!W83,'Trial Balance'!$H:$H)+SUMIF('Trial Balance'!$A:$A,'Detail WPL''1217'!X83,'Trial Balance'!$H:$H)+SUMIF('Trial Balance'!$A:$A,'Detail WPL''1217'!Y83,'Trial Balance'!$H:$H)+SUMIF('Trial Balance'!$A:$A,'Detail WPL''1217'!Z83,'Trial Balance'!$H:$H)</f>
        <v>0</v>
      </c>
      <c r="R83" s="346">
        <f>'2016'!J211</f>
        <v>26318947</v>
      </c>
      <c r="T83" s="898"/>
      <c r="U83" s="912"/>
      <c r="V83" s="346">
        <f>'TB''1217'!H311+'TB''1217'!H316+'TB''1217'!H318+'TB''1217'!H322</f>
        <v>12613020</v>
      </c>
      <c r="W83" s="312" t="s">
        <v>1843</v>
      </c>
      <c r="AA83" s="344">
        <v>12613020</v>
      </c>
    </row>
    <row r="84" spans="1:27">
      <c r="B84" s="312" t="s">
        <v>520</v>
      </c>
      <c r="D84" s="440">
        <v>12560000</v>
      </c>
      <c r="E84" s="440">
        <v>3365000</v>
      </c>
      <c r="F84" s="440">
        <v>980000</v>
      </c>
      <c r="G84" s="440">
        <f>6662885+2660000</f>
        <v>9322885</v>
      </c>
      <c r="H84" s="440">
        <v>0</v>
      </c>
      <c r="I84" s="440">
        <v>2195000</v>
      </c>
      <c r="J84" s="440">
        <v>1841359</v>
      </c>
      <c r="K84" s="420">
        <v>6591314</v>
      </c>
      <c r="L84" s="420">
        <v>75401526</v>
      </c>
      <c r="M84" s="420">
        <v>6560628</v>
      </c>
      <c r="N84" s="420">
        <v>11680314</v>
      </c>
      <c r="O84" s="346"/>
      <c r="P84" s="1046">
        <f>'TB''1217'!J312+'TB''1217'!J319+'TB''1217'!J310</f>
        <v>8010314</v>
      </c>
      <c r="Q84" s="1046">
        <f>SUMIF('Trial Balance'!$A:$A,'Detail WPL''1217'!W84,'Trial Balance'!$H:$H)+SUMIF('Trial Balance'!$A:$A,'Detail WPL''1217'!X84,'Trial Balance'!$H:$H)+SUMIF('Trial Balance'!$A:$A,'Detail WPL''1217'!Y84,'Trial Balance'!$H:$H)+SUMIF('Trial Balance'!$A:$A,'Detail WPL''1217'!Z84,'Trial Balance'!$H:$H)</f>
        <v>0</v>
      </c>
      <c r="R84" s="346">
        <f>'2016'!J212</f>
        <v>16061364</v>
      </c>
      <c r="S84" s="346">
        <f>Q84-R84</f>
        <v>-16061364</v>
      </c>
      <c r="T84" s="898">
        <f t="shared" ref="T84:T89" si="61">S84/R84</f>
        <v>-1</v>
      </c>
      <c r="U84" s="912"/>
      <c r="V84" s="346">
        <f>'TB''1217'!H312+'TB''1217'!H319+'TB''1217'!H310</f>
        <v>138508340</v>
      </c>
      <c r="W84" t="s">
        <v>1841</v>
      </c>
      <c r="X84" t="s">
        <v>1845</v>
      </c>
      <c r="AA84" s="344">
        <v>138508340</v>
      </c>
    </row>
    <row r="85" spans="1:27">
      <c r="B85" s="312" t="s">
        <v>954</v>
      </c>
      <c r="D85" s="440">
        <v>-261900</v>
      </c>
      <c r="E85" s="440">
        <v>1300000</v>
      </c>
      <c r="F85" s="440"/>
      <c r="G85" s="440"/>
      <c r="H85" s="440">
        <v>0</v>
      </c>
      <c r="I85" s="440">
        <v>968137</v>
      </c>
      <c r="J85" s="440">
        <v>6259791</v>
      </c>
      <c r="K85" s="420">
        <v>0</v>
      </c>
      <c r="L85" s="420">
        <v>0</v>
      </c>
      <c r="M85" s="420">
        <v>0</v>
      </c>
      <c r="N85" s="420">
        <v>2200000</v>
      </c>
      <c r="O85" s="346"/>
      <c r="P85" s="1046">
        <f>'TB''1217'!J313+'TB''1217'!J320</f>
        <v>0</v>
      </c>
      <c r="Q85" s="1046">
        <f>SUMIF('Trial Balance'!$A:$A,'Detail WPL''1217'!W85,'Trial Balance'!$H:$H)+SUMIF('Trial Balance'!$A:$A,'Detail WPL''1217'!X85,'Trial Balance'!$H:$H)+SUMIF('Trial Balance'!$A:$A,'Detail WPL''1217'!Y85,'Trial Balance'!$H:$H)+SUMIF('Trial Balance'!$A:$A,'Detail WPL''1217'!Z85,'Trial Balance'!$H:$H)</f>
        <v>0</v>
      </c>
      <c r="R85" s="346">
        <f>'2016'!J213</f>
        <v>24612795</v>
      </c>
      <c r="S85" s="346">
        <f>Q85-R85</f>
        <v>-24612795</v>
      </c>
      <c r="T85" s="898">
        <f t="shared" si="61"/>
        <v>-1</v>
      </c>
      <c r="U85" s="912"/>
      <c r="V85" s="346">
        <f>'TB''1217'!H313+'TB''1217'!H320</f>
        <v>10466028</v>
      </c>
      <c r="W85" s="921" t="s">
        <v>1847</v>
      </c>
      <c r="AA85" s="344">
        <v>10466028</v>
      </c>
    </row>
    <row r="86" spans="1:27">
      <c r="B86" s="312" t="s">
        <v>955</v>
      </c>
      <c r="D86" s="440">
        <v>-547500</v>
      </c>
      <c r="E86" s="440">
        <v>970480</v>
      </c>
      <c r="F86" s="440"/>
      <c r="G86" s="440"/>
      <c r="H86" s="440">
        <v>0</v>
      </c>
      <c r="I86" s="440">
        <v>0</v>
      </c>
      <c r="J86" s="440">
        <v>475463</v>
      </c>
      <c r="K86" s="420">
        <v>405000</v>
      </c>
      <c r="L86" s="420">
        <v>0</v>
      </c>
      <c r="M86" s="420">
        <v>0</v>
      </c>
      <c r="N86" s="420">
        <v>0</v>
      </c>
      <c r="O86" s="346"/>
      <c r="P86" s="1046">
        <f>'TB''1217'!J314+'TB''1217'!J321</f>
        <v>0</v>
      </c>
      <c r="Q86" s="1046">
        <f>SUMIF('Trial Balance'!$A:$A,'Detail WPL''1217'!W86,'Trial Balance'!$H:$H)+SUMIF('Trial Balance'!$A:$A,'Detail WPL''1217'!X86,'Trial Balance'!$H:$H)+SUMIF('Trial Balance'!$A:$A,'Detail WPL''1217'!Y86,'Trial Balance'!$H:$H)+SUMIF('Trial Balance'!$A:$A,'Detail WPL''1217'!Z86,'Trial Balance'!$H:$H)</f>
        <v>0</v>
      </c>
      <c r="R86" s="346">
        <f>'2016'!J214</f>
        <v>1200000</v>
      </c>
      <c r="S86" s="346">
        <f>Q86-R86</f>
        <v>-1200000</v>
      </c>
      <c r="T86" s="898">
        <f t="shared" si="61"/>
        <v>-1</v>
      </c>
      <c r="U86" s="912"/>
      <c r="V86" s="346">
        <f>'TB''1217'!H314+'TB''1217'!H321</f>
        <v>1303443</v>
      </c>
      <c r="W86" s="921" t="s">
        <v>1849</v>
      </c>
      <c r="AA86" s="344">
        <v>1303443</v>
      </c>
    </row>
    <row r="87" spans="1:27">
      <c r="B87" s="312" t="s">
        <v>522</v>
      </c>
      <c r="D87" s="440">
        <v>4562633</v>
      </c>
      <c r="E87" s="440">
        <v>11351267</v>
      </c>
      <c r="F87" s="440">
        <f>3979105+583528</f>
        <v>4562633</v>
      </c>
      <c r="G87" s="440">
        <v>3979105</v>
      </c>
      <c r="H87" s="440">
        <v>4562633</v>
      </c>
      <c r="I87" s="440">
        <v>5607058.0899999999</v>
      </c>
      <c r="J87" s="440">
        <v>-2116152</v>
      </c>
      <c r="K87" s="420">
        <v>3104240</v>
      </c>
      <c r="L87" s="420">
        <v>5120603</v>
      </c>
      <c r="M87" s="420">
        <v>5719843</v>
      </c>
      <c r="N87" s="420">
        <v>5541558</v>
      </c>
      <c r="O87" s="346"/>
      <c r="P87" s="1046">
        <f>'TB''1217'!J315+'TB''1217'!J317</f>
        <v>159143</v>
      </c>
      <c r="Q87" s="1046">
        <f>SUMIF('Trial Balance'!$A:$A,'Detail WPL''1217'!W87,'Trial Balance'!$H:$H)+SUMIF('Trial Balance'!$A:$A,'Detail WPL''1217'!X87,'Trial Balance'!$H:$H)+SUMIF('Trial Balance'!$A:$A,'Detail WPL''1217'!Y87,'Trial Balance'!$H:$H)+SUMIF('Trial Balance'!$A:$A,'Detail WPL''1217'!Z87,'Trial Balance'!$H:$H)</f>
        <v>0</v>
      </c>
      <c r="R87" s="346">
        <f>'2016'!J215</f>
        <v>59729017</v>
      </c>
      <c r="S87" s="346">
        <f>Q87-R87</f>
        <v>-59729017</v>
      </c>
      <c r="T87" s="898">
        <f t="shared" si="61"/>
        <v>-1</v>
      </c>
      <c r="U87" s="912"/>
      <c r="V87" s="346">
        <f>'TB''1217'!H315+'TB''1217'!H317</f>
        <v>52154564.420000002</v>
      </c>
      <c r="W87" s="921" t="s">
        <v>1851</v>
      </c>
      <c r="X87" s="921" t="s">
        <v>1854</v>
      </c>
      <c r="AA87" s="344">
        <v>52154564.090000004</v>
      </c>
    </row>
    <row r="88" spans="1:27">
      <c r="B88" s="312" t="s">
        <v>956</v>
      </c>
      <c r="D88" s="442"/>
      <c r="E88" s="442">
        <v>39872999</v>
      </c>
      <c r="F88" s="442"/>
      <c r="G88" s="442"/>
      <c r="H88" s="442"/>
      <c r="I88" s="442"/>
      <c r="J88" s="442"/>
      <c r="K88" s="442"/>
      <c r="L88" s="442">
        <v>5584749</v>
      </c>
      <c r="M88" s="442">
        <v>9920250</v>
      </c>
      <c r="N88" s="442">
        <v>9920250</v>
      </c>
      <c r="O88" s="358"/>
      <c r="P88" s="1048">
        <f>'TB''1217'!J284</f>
        <v>4914930</v>
      </c>
      <c r="Q88" s="1046">
        <f>SUMIF('Trial Balance'!$A:$A,'Detail WPL''1217'!W88,'Trial Balance'!$H:$H)+SUMIF('Trial Balance'!$A:$A,'Detail WPL''1217'!X88,'Trial Balance'!$H:$H)+SUMIF('Trial Balance'!$A:$A,'Detail WPL''1217'!Y88,'Trial Balance'!$H:$H)+SUMIF('Trial Balance'!$A:$A,'Detail WPL''1217'!Z88,'Trial Balance'!$H:$H)</f>
        <v>0</v>
      </c>
      <c r="R88" s="358">
        <f>'2016'!J216</f>
        <v>0</v>
      </c>
      <c r="S88" s="358">
        <f>Q88-R88</f>
        <v>0</v>
      </c>
      <c r="T88" s="900">
        <v>1</v>
      </c>
      <c r="U88" s="912"/>
      <c r="V88" s="358">
        <f>'TB''1217'!H284</f>
        <v>70213178</v>
      </c>
      <c r="W88" t="s">
        <v>1807</v>
      </c>
      <c r="AA88" s="344">
        <v>70213178</v>
      </c>
    </row>
    <row r="89" spans="1:27">
      <c r="B89" s="924" t="s">
        <v>870</v>
      </c>
      <c r="D89" s="420">
        <f>SUM(D83:D88)</f>
        <v>17274433</v>
      </c>
      <c r="E89" s="420">
        <f>SUM(E83:E88)</f>
        <v>56859746</v>
      </c>
      <c r="F89" s="420">
        <f t="shared" ref="F89:J89" si="62">SUM(F83:F88)</f>
        <v>5621633</v>
      </c>
      <c r="G89" s="420">
        <f t="shared" si="62"/>
        <v>13235989</v>
      </c>
      <c r="H89" s="420">
        <f t="shared" si="62"/>
        <v>4687633</v>
      </c>
      <c r="I89" s="420">
        <f t="shared" si="62"/>
        <v>13002195.09</v>
      </c>
      <c r="J89" s="420">
        <f t="shared" si="62"/>
        <v>10095832</v>
      </c>
      <c r="K89" s="420">
        <f t="shared" ref="K89:L89" si="63">SUM(K83:K88)</f>
        <v>9970554</v>
      </c>
      <c r="L89" s="420">
        <f t="shared" si="63"/>
        <v>86421878</v>
      </c>
      <c r="M89" s="420">
        <f t="shared" ref="M89:S89" si="64">SUM(M83:M88)</f>
        <v>25533671</v>
      </c>
      <c r="N89" s="420">
        <v>29396122</v>
      </c>
      <c r="O89" s="346"/>
      <c r="P89" s="1046">
        <f t="shared" si="64"/>
        <v>13158887</v>
      </c>
      <c r="Q89" s="1046">
        <f>SUM(Q83:Q88)</f>
        <v>0</v>
      </c>
      <c r="R89" s="346">
        <f t="shared" si="64"/>
        <v>127922123</v>
      </c>
      <c r="S89" s="346">
        <f t="shared" si="64"/>
        <v>-101603176</v>
      </c>
      <c r="T89" s="898">
        <f t="shared" si="61"/>
        <v>-0.79425805026703633</v>
      </c>
      <c r="U89" s="912"/>
      <c r="V89" s="346">
        <f t="shared" ref="V89" si="65">SUM(V83:V88)</f>
        <v>285258573.42000002</v>
      </c>
      <c r="AA89" s="344">
        <v>285258573.09000003</v>
      </c>
    </row>
    <row r="90" spans="1:27">
      <c r="B90" s="312"/>
      <c r="O90" s="346"/>
      <c r="T90" s="898"/>
      <c r="U90" s="912"/>
    </row>
    <row r="91" spans="1:27">
      <c r="A91" s="854" t="s">
        <v>990</v>
      </c>
      <c r="B91" s="312" t="s">
        <v>850</v>
      </c>
      <c r="G91" s="420">
        <v>29651541</v>
      </c>
      <c r="H91" s="420">
        <v>0</v>
      </c>
      <c r="M91" s="346">
        <v>0</v>
      </c>
      <c r="N91" s="346">
        <v>0</v>
      </c>
      <c r="O91" s="346"/>
      <c r="P91" s="1046">
        <f>'TB''1217'!J324</f>
        <v>10000000</v>
      </c>
      <c r="Q91" s="1046">
        <f>SUMIF('Trial Balance'!$A:$A,'Detail WPL''1217'!W91,'Trial Balance'!$H:$H)+SUMIF('Trial Balance'!$A:$A,'Detail WPL''1217'!X91,'Trial Balance'!$H:$H)+SUMIF('Trial Balance'!$A:$A,'Detail WPL''1217'!Y91,'Trial Balance'!$H:$H)+SUMIF('Trial Balance'!$A:$A,'Detail WPL''1217'!Z91,'Trial Balance'!$H:$H)</f>
        <v>0</v>
      </c>
      <c r="S91" s="346">
        <f>Q91-R91</f>
        <v>0</v>
      </c>
      <c r="T91" s="898">
        <v>1</v>
      </c>
      <c r="U91" s="912"/>
      <c r="V91" s="346">
        <f>'TB''1217'!H324</f>
        <v>39651541</v>
      </c>
      <c r="W91" t="s">
        <v>1863</v>
      </c>
      <c r="AA91" s="344">
        <v>39651541</v>
      </c>
    </row>
    <row r="92" spans="1:27">
      <c r="B92" s="312" t="s">
        <v>851</v>
      </c>
      <c r="E92" s="420">
        <v>57000000</v>
      </c>
      <c r="F92" s="420">
        <v>57000000</v>
      </c>
      <c r="G92" s="420">
        <v>557665824</v>
      </c>
      <c r="J92" s="420">
        <v>383489516.50999999</v>
      </c>
      <c r="K92" s="440">
        <v>85131945</v>
      </c>
      <c r="L92" s="440">
        <v>-158920015</v>
      </c>
      <c r="M92" s="440">
        <v>124233335</v>
      </c>
      <c r="N92" s="440">
        <v>126342711</v>
      </c>
      <c r="O92" s="346"/>
      <c r="P92" s="1046">
        <f>'TB''1217'!J325</f>
        <v>-169807135</v>
      </c>
      <c r="Q92" s="1046">
        <f>SUMIF('Trial Balance'!$A:$A,'Detail WPL''1217'!W92,'Trial Balance'!$H:$H)+SUMIF('Trial Balance'!$A:$A,'Detail WPL''1217'!X92,'Trial Balance'!$H:$H)+SUMIF('Trial Balance'!$A:$A,'Detail WPL''1217'!Y92,'Trial Balance'!$H:$H)+SUMIF('Trial Balance'!$A:$A,'Detail WPL''1217'!Z92,'Trial Balance'!$H:$H)</f>
        <v>0</v>
      </c>
      <c r="R92" s="346">
        <f>'2016'!J221</f>
        <v>1027309372</v>
      </c>
      <c r="S92" s="346">
        <f>Q92-R92</f>
        <v>-1027309372</v>
      </c>
      <c r="T92" s="898">
        <f t="shared" ref="T92:T94" si="66">S92/R92</f>
        <v>-1</v>
      </c>
      <c r="U92" s="912"/>
      <c r="V92" s="346">
        <f>'TB''1217'!H325</f>
        <v>1062136181.51</v>
      </c>
      <c r="W92" t="s">
        <v>1865</v>
      </c>
      <c r="AA92" s="344">
        <v>1062136181.51</v>
      </c>
    </row>
    <row r="93" spans="1:27">
      <c r="B93" s="312" t="s">
        <v>935</v>
      </c>
      <c r="D93" s="420">
        <v>6185568</v>
      </c>
      <c r="E93" s="420">
        <v>3092784</v>
      </c>
      <c r="F93" s="420">
        <v>9748533</v>
      </c>
      <c r="G93" s="420">
        <v>3092784</v>
      </c>
      <c r="H93" s="420">
        <v>3092784</v>
      </c>
      <c r="I93" s="420">
        <v>3092784</v>
      </c>
      <c r="J93" s="420">
        <v>9686368</v>
      </c>
      <c r="K93" s="442">
        <v>3717784</v>
      </c>
      <c r="L93" s="442">
        <v>9903351</v>
      </c>
      <c r="M93" s="442">
        <v>5779640</v>
      </c>
      <c r="N93" s="442">
        <v>5779640</v>
      </c>
      <c r="O93" s="358"/>
      <c r="P93" s="1048">
        <f>'TB''1217'!J323</f>
        <v>7841495</v>
      </c>
      <c r="Q93" s="1046">
        <f>SUMIF('Trial Balance'!$A:$A,'Detail WPL''1217'!W93,'Trial Balance'!$H:$H)+SUMIF('Trial Balance'!$A:$A,'Detail WPL''1217'!X93,'Trial Balance'!$H:$H)+SUMIF('Trial Balance'!$A:$A,'Detail WPL''1217'!Y93,'Trial Balance'!$H:$H)+SUMIF('Trial Balance'!$A:$A,'Detail WPL''1217'!Z93,'Trial Balance'!$H:$H)</f>
        <v>0</v>
      </c>
      <c r="R93" s="358">
        <f>'2016'!J219</f>
        <v>81355678</v>
      </c>
      <c r="S93" s="358">
        <f>Q93-R93</f>
        <v>-81355678</v>
      </c>
      <c r="T93" s="900">
        <f t="shared" si="66"/>
        <v>-1</v>
      </c>
      <c r="U93" s="912"/>
      <c r="V93" s="358">
        <f>'TB''1217'!H323</f>
        <v>71013515</v>
      </c>
      <c r="W93" s="312" t="s">
        <v>1861</v>
      </c>
      <c r="AA93" s="344">
        <v>71013515</v>
      </c>
    </row>
    <row r="94" spans="1:27">
      <c r="B94" s="924" t="s">
        <v>999</v>
      </c>
      <c r="D94" s="923">
        <f>SUM(D91:D93)</f>
        <v>6185568</v>
      </c>
      <c r="E94" s="923">
        <f t="shared" ref="E94:I94" si="67">SUM(E91:E93)</f>
        <v>60092784</v>
      </c>
      <c r="F94" s="923">
        <f t="shared" si="67"/>
        <v>66748533</v>
      </c>
      <c r="G94" s="923">
        <f t="shared" si="67"/>
        <v>590410149</v>
      </c>
      <c r="H94" s="923">
        <f t="shared" si="67"/>
        <v>3092784</v>
      </c>
      <c r="I94" s="923">
        <f t="shared" si="67"/>
        <v>3092784</v>
      </c>
      <c r="J94" s="923">
        <f>SUM(J92:J93)</f>
        <v>393175884.50999999</v>
      </c>
      <c r="K94" s="420">
        <f>SUM(K92:K93)</f>
        <v>88849729</v>
      </c>
      <c r="L94" s="420">
        <f>SUM(L92:L93)</f>
        <v>-149016664</v>
      </c>
      <c r="M94" s="420">
        <f t="shared" ref="M94:S94" si="68">SUM(M91:M93)</f>
        <v>130012975</v>
      </c>
      <c r="N94" s="420">
        <v>132122351</v>
      </c>
      <c r="O94" s="346"/>
      <c r="P94" s="1046">
        <f t="shared" si="68"/>
        <v>-151965640</v>
      </c>
      <c r="Q94" s="1046">
        <f>SUM(Q91:Q93)</f>
        <v>0</v>
      </c>
      <c r="R94" s="346">
        <f t="shared" si="68"/>
        <v>1108665050</v>
      </c>
      <c r="S94" s="346">
        <f t="shared" si="68"/>
        <v>-1108665050</v>
      </c>
      <c r="T94" s="898">
        <f t="shared" si="66"/>
        <v>-1</v>
      </c>
      <c r="U94" s="912"/>
      <c r="V94" s="346">
        <f t="shared" ref="V94" si="69">SUM(V91:V93)</f>
        <v>1172801237.51</v>
      </c>
      <c r="AA94" s="344">
        <v>1172801237.51</v>
      </c>
    </row>
    <row r="95" spans="1:27">
      <c r="B95" s="312"/>
      <c r="D95" s="440"/>
      <c r="E95" s="440"/>
      <c r="F95" s="440"/>
      <c r="G95" s="440"/>
      <c r="H95" s="440"/>
      <c r="I95" s="440"/>
      <c r="J95" s="440"/>
      <c r="K95" s="420"/>
      <c r="L95" s="420"/>
      <c r="M95" s="420"/>
      <c r="N95" s="420"/>
      <c r="O95" s="346"/>
      <c r="T95" s="898"/>
      <c r="U95" s="912"/>
    </row>
    <row r="96" spans="1:27">
      <c r="A96" s="854" t="s">
        <v>991</v>
      </c>
      <c r="B96" s="312" t="s">
        <v>997</v>
      </c>
      <c r="D96" s="442"/>
      <c r="E96" s="442"/>
      <c r="F96" s="442"/>
      <c r="G96" s="442"/>
      <c r="H96" s="442"/>
      <c r="I96" s="442"/>
      <c r="J96" s="442"/>
      <c r="K96" s="442"/>
      <c r="L96" s="442"/>
      <c r="M96" s="442"/>
      <c r="N96" s="442"/>
      <c r="O96" s="358"/>
      <c r="P96" s="1048"/>
      <c r="Q96" s="1046">
        <f>SUMIF('Trial Balance'!$A:$A,'Detail WPL''1217'!W96,'Trial Balance'!$H:$H)+SUMIF('Trial Balance'!$A:$A,'Detail WPL''1217'!X96,'Trial Balance'!$H:$H)+SUMIF('Trial Balance'!$A:$A,'Detail WPL''1217'!Y96,'Trial Balance'!$H:$H)+SUMIF('Trial Balance'!$A:$A,'Detail WPL''1217'!Z96,'Trial Balance'!$H:$H)</f>
        <v>0</v>
      </c>
      <c r="R96" s="389"/>
      <c r="S96" s="358">
        <f>Q96-R96</f>
        <v>0</v>
      </c>
      <c r="T96" s="900">
        <v>0</v>
      </c>
      <c r="U96" s="912"/>
      <c r="V96" s="358"/>
      <c r="AA96" s="344">
        <v>0</v>
      </c>
    </row>
    <row r="97" spans="1:27">
      <c r="B97" s="924" t="s">
        <v>920</v>
      </c>
      <c r="D97" s="420">
        <f>D96</f>
        <v>0</v>
      </c>
      <c r="E97" s="420">
        <f t="shared" ref="E97:K97" si="70">E96</f>
        <v>0</v>
      </c>
      <c r="F97" s="420">
        <f t="shared" si="70"/>
        <v>0</v>
      </c>
      <c r="G97" s="420">
        <f t="shared" si="70"/>
        <v>0</v>
      </c>
      <c r="H97" s="420">
        <f t="shared" si="70"/>
        <v>0</v>
      </c>
      <c r="I97" s="420">
        <f t="shared" si="70"/>
        <v>0</v>
      </c>
      <c r="J97" s="420">
        <f t="shared" si="70"/>
        <v>0</v>
      </c>
      <c r="K97" s="346">
        <f t="shared" si="70"/>
        <v>0</v>
      </c>
      <c r="N97" s="346">
        <v>0</v>
      </c>
      <c r="O97" s="346"/>
      <c r="P97" s="1046">
        <f t="shared" ref="P97:S97" si="71">P96</f>
        <v>0</v>
      </c>
      <c r="Q97" s="1046">
        <f>Q96</f>
        <v>0</v>
      </c>
      <c r="R97" s="344">
        <f t="shared" si="71"/>
        <v>0</v>
      </c>
      <c r="S97" s="346">
        <f t="shared" si="71"/>
        <v>0</v>
      </c>
      <c r="T97" s="898">
        <v>0</v>
      </c>
      <c r="U97" s="912"/>
      <c r="V97" s="346">
        <f t="shared" ref="V97" si="72">V96</f>
        <v>0</v>
      </c>
      <c r="AA97" s="344">
        <v>0</v>
      </c>
    </row>
    <row r="98" spans="1:27">
      <c r="B98" s="312"/>
      <c r="O98" s="346"/>
      <c r="T98" s="898"/>
      <c r="U98" s="912"/>
    </row>
    <row r="99" spans="1:27">
      <c r="A99" s="854" t="s">
        <v>992</v>
      </c>
      <c r="B99" s="928" t="s">
        <v>871</v>
      </c>
      <c r="O99" s="346"/>
      <c r="T99" s="898"/>
      <c r="U99" s="912"/>
    </row>
    <row r="100" spans="1:27">
      <c r="B100" s="312" t="s">
        <v>852</v>
      </c>
      <c r="D100" s="420">
        <v>7559955</v>
      </c>
      <c r="E100" s="420">
        <v>7943251</v>
      </c>
      <c r="F100" s="420">
        <v>4904589</v>
      </c>
      <c r="G100" s="420">
        <v>7058657.7599999998</v>
      </c>
      <c r="H100" s="420">
        <v>6898566.7999999998</v>
      </c>
      <c r="I100" s="420">
        <v>6950631.7599999998</v>
      </c>
      <c r="J100" s="420">
        <v>1651163.04</v>
      </c>
      <c r="K100" s="420">
        <v>6031613.8399999999</v>
      </c>
      <c r="L100" s="420">
        <v>6285626</v>
      </c>
      <c r="M100" s="420">
        <v>6761416.4100000001</v>
      </c>
      <c r="N100" s="420">
        <v>6996190.4199999999</v>
      </c>
      <c r="O100" s="346"/>
      <c r="P100" s="1046">
        <f>'TB''1217'!J326*-1</f>
        <v>6604155.0700000003</v>
      </c>
      <c r="Q100" s="1046">
        <f>-SUMIF('Trial Balance'!$A:$A,'Detail WPL''1217'!W100,'Trial Balance'!$H:$H)-SUMIF('Trial Balance'!$A:$A,'Detail WPL''1217'!X100,'Trial Balance'!$H:$H)-SUMIF('Trial Balance'!$A:$A,'Detail WPL''1217'!Y100,'Trial Balance'!$H:$H)-SUMIF('Trial Balance'!$A:$A,'Detail WPL''1217'!Z100,'Trial Balance'!$H:$H)*-1</f>
        <v>0</v>
      </c>
      <c r="R100" s="346">
        <f>'2016'!J225</f>
        <v>149824676.80000001</v>
      </c>
      <c r="S100" s="346">
        <f>Q100-R100</f>
        <v>-149824676.80000001</v>
      </c>
      <c r="T100" s="898">
        <f t="shared" ref="T100:T102" si="73">S100/R100</f>
        <v>-1</v>
      </c>
      <c r="U100" s="912"/>
      <c r="V100" s="346">
        <f>'TB''1217'!H326*-1</f>
        <v>75645816.020000011</v>
      </c>
      <c r="W100" t="s">
        <v>1867</v>
      </c>
      <c r="Z100" s="312" t="s">
        <v>1903</v>
      </c>
      <c r="AA100" s="344">
        <v>75645816.099999994</v>
      </c>
    </row>
    <row r="101" spans="1:27">
      <c r="B101" s="312" t="s">
        <v>853</v>
      </c>
      <c r="D101" s="420">
        <v>3545000</v>
      </c>
      <c r="E101" s="420">
        <v>2483854</v>
      </c>
      <c r="F101" s="420">
        <v>2052213.22</v>
      </c>
      <c r="G101" s="420">
        <v>1908259.66</v>
      </c>
      <c r="H101" s="420">
        <v>1434025.23</v>
      </c>
      <c r="I101" s="420">
        <v>1063191.5900000001</v>
      </c>
      <c r="J101" s="420">
        <v>1757502.47</v>
      </c>
      <c r="K101" s="442">
        <v>1700682.24</v>
      </c>
      <c r="L101" s="442">
        <v>1114849.52</v>
      </c>
      <c r="M101" s="442">
        <v>1304022</v>
      </c>
      <c r="N101" s="442">
        <v>1687875.47</v>
      </c>
      <c r="O101" s="358"/>
      <c r="P101" s="1048">
        <f>'TB''1217'!J327*-1</f>
        <v>1870171.88</v>
      </c>
      <c r="Q101" s="1046">
        <f>-SUMIF('Trial Balance'!$A:$A,'Detail WPL''1217'!W101,'Trial Balance'!$H:$H)-SUMIF('Trial Balance'!$A:$A,'Detail WPL''1217'!X101,'Trial Balance'!$H:$H)-SUMIF('Trial Balance'!$A:$A,'Detail WPL''1217'!Y101,'Trial Balance'!$H:$H)-SUMIF('Trial Balance'!$A:$A,'Detail WPL''1217'!Z101,'Trial Balance'!$H:$H)*-1</f>
        <v>0</v>
      </c>
      <c r="R101" s="358">
        <f>'2016'!J226</f>
        <v>19481673</v>
      </c>
      <c r="S101" s="358">
        <f>Q101-R101</f>
        <v>-19481673</v>
      </c>
      <c r="T101" s="900">
        <f t="shared" si="73"/>
        <v>-1</v>
      </c>
      <c r="U101" s="912"/>
      <c r="V101" s="358">
        <f>'TB''1217'!H327*-1</f>
        <v>21921647.279999997</v>
      </c>
      <c r="W101" t="s">
        <v>1869</v>
      </c>
      <c r="Z101" s="312" t="s">
        <v>1903</v>
      </c>
      <c r="AA101" s="344">
        <v>21921647.279999997</v>
      </c>
    </row>
    <row r="102" spans="1:27">
      <c r="B102" s="924" t="s">
        <v>872</v>
      </c>
      <c r="D102" s="923">
        <f>SUM(D100:D101)</f>
        <v>11104955</v>
      </c>
      <c r="E102" s="923">
        <f t="shared" ref="E102:J102" si="74">SUM(E100:E101)</f>
        <v>10427105</v>
      </c>
      <c r="F102" s="923">
        <f t="shared" si="74"/>
        <v>6956802.2199999997</v>
      </c>
      <c r="G102" s="923">
        <f t="shared" si="74"/>
        <v>8966917.4199999999</v>
      </c>
      <c r="H102" s="923">
        <f t="shared" si="74"/>
        <v>8332592.0299999993</v>
      </c>
      <c r="I102" s="923">
        <f t="shared" si="74"/>
        <v>8013823.3499999996</v>
      </c>
      <c r="J102" s="923">
        <f t="shared" si="74"/>
        <v>3408665.51</v>
      </c>
      <c r="K102" s="420">
        <f t="shared" ref="K102:L102" si="75">SUM(K100:K101)</f>
        <v>7732296.0800000001</v>
      </c>
      <c r="L102" s="420">
        <f t="shared" si="75"/>
        <v>7400475.5199999996</v>
      </c>
      <c r="M102" s="420">
        <f t="shared" ref="M102:S102" si="76">M100+M101</f>
        <v>8065438.4100000001</v>
      </c>
      <c r="N102" s="420">
        <v>8684065.8900000006</v>
      </c>
      <c r="O102" s="346"/>
      <c r="P102" s="1046">
        <f t="shared" si="76"/>
        <v>8474326.9499999993</v>
      </c>
      <c r="Q102" s="1046">
        <f>Q100+Q101</f>
        <v>0</v>
      </c>
      <c r="R102" s="346">
        <f t="shared" si="76"/>
        <v>169306349.80000001</v>
      </c>
      <c r="S102" s="346">
        <f t="shared" si="76"/>
        <v>-169306349.80000001</v>
      </c>
      <c r="T102" s="898">
        <f t="shared" si="73"/>
        <v>-1</v>
      </c>
      <c r="U102" s="912"/>
      <c r="V102" s="346">
        <f t="shared" ref="V102" si="77">V100+V101</f>
        <v>97567463.300000012</v>
      </c>
      <c r="AA102" s="344">
        <v>97567463.379999995</v>
      </c>
    </row>
    <row r="103" spans="1:27">
      <c r="B103" s="924"/>
      <c r="D103" s="440"/>
      <c r="E103" s="440"/>
      <c r="F103" s="440"/>
      <c r="G103" s="440"/>
      <c r="H103" s="440"/>
      <c r="I103" s="440"/>
      <c r="J103" s="440"/>
      <c r="K103" s="420"/>
      <c r="L103" s="420"/>
      <c r="M103" s="420"/>
      <c r="N103" s="420"/>
      <c r="O103" s="346"/>
      <c r="T103" s="898"/>
      <c r="U103" s="912"/>
    </row>
    <row r="104" spans="1:27">
      <c r="A104" s="854" t="s">
        <v>993</v>
      </c>
      <c r="B104" s="928" t="s">
        <v>769</v>
      </c>
      <c r="D104" s="440"/>
      <c r="E104" s="440"/>
      <c r="F104" s="440"/>
      <c r="G104" s="440"/>
      <c r="H104" s="440"/>
      <c r="I104" s="440"/>
      <c r="J104" s="440"/>
      <c r="K104" s="420"/>
      <c r="L104" s="420"/>
      <c r="M104" s="420"/>
      <c r="N104" s="420"/>
      <c r="O104" s="346"/>
      <c r="T104" s="898"/>
      <c r="U104" s="912"/>
    </row>
    <row r="105" spans="1:27">
      <c r="B105" s="312" t="s">
        <v>854</v>
      </c>
      <c r="D105" s="440">
        <v>-849179</v>
      </c>
      <c r="E105" s="440">
        <v>-1062446</v>
      </c>
      <c r="F105" s="440">
        <v>-1302457.56</v>
      </c>
      <c r="G105" s="440">
        <v>-1083269.8</v>
      </c>
      <c r="H105" s="440">
        <v>-842214.2</v>
      </c>
      <c r="I105" s="440">
        <v>-981154.24</v>
      </c>
      <c r="J105" s="440">
        <v>-991271</v>
      </c>
      <c r="K105" s="420">
        <v>-839786</v>
      </c>
      <c r="L105" s="420">
        <v>-882709</v>
      </c>
      <c r="M105" s="420">
        <v>-923139</v>
      </c>
      <c r="N105" s="420">
        <v>-1636894.48</v>
      </c>
      <c r="O105" s="346"/>
      <c r="P105" s="1046">
        <f>'TB''1217'!J328*-1</f>
        <v>-748879.07000000007</v>
      </c>
      <c r="Q105" s="1046">
        <f>-SUMIF('Trial Balance'!$A:$A,'Detail WPL''1217'!W105,'Trial Balance'!$H:$H)-SUMIF('Trial Balance'!$A:$A,'Detail WPL''1217'!X105,'Trial Balance'!$H:$H)-SUMIF('Trial Balance'!$A:$A,'Detail WPL''1217'!Y105,'Trial Balance'!$H:$H)-SUMIF('Trial Balance'!$A:$A,'Detail WPL''1217'!Z105,'Trial Balance'!$H:$H)*-1</f>
        <v>0</v>
      </c>
      <c r="R105" s="346">
        <f>-'2016'!J230</f>
        <v>-12064721</v>
      </c>
      <c r="S105" s="346">
        <f>Q105-R105</f>
        <v>12064721</v>
      </c>
      <c r="T105" s="898">
        <f t="shared" ref="T105:T107" si="78">S105/R105</f>
        <v>-1</v>
      </c>
      <c r="U105" s="912"/>
      <c r="V105" s="346">
        <f>'TB''1217'!H328*-1</f>
        <v>-12143399.350000001</v>
      </c>
      <c r="W105" s="921" t="s">
        <v>1871</v>
      </c>
      <c r="Z105" s="312" t="s">
        <v>1903</v>
      </c>
      <c r="AA105" s="344">
        <v>-12143399.350000001</v>
      </c>
    </row>
    <row r="106" spans="1:27">
      <c r="B106" s="312" t="s">
        <v>855</v>
      </c>
      <c r="D106" s="442">
        <v>-9866873</v>
      </c>
      <c r="E106" s="442">
        <v>-9558043</v>
      </c>
      <c r="F106" s="442">
        <v>-9245236</v>
      </c>
      <c r="G106" s="442">
        <v>-8928399</v>
      </c>
      <c r="H106" s="442">
        <v>-48267923</v>
      </c>
      <c r="I106" s="442">
        <v>-15915330</v>
      </c>
      <c r="J106" s="442">
        <v>-15483832</v>
      </c>
      <c r="K106" s="442">
        <v>-15046987</v>
      </c>
      <c r="L106" s="442">
        <v>-14604728</v>
      </c>
      <c r="M106" s="442">
        <v>-14156986</v>
      </c>
      <c r="N106" s="442">
        <v>-19169756</v>
      </c>
      <c r="O106" s="358"/>
      <c r="P106" s="1048">
        <f>'TB''1217'!J329*-1</f>
        <v>-18585568</v>
      </c>
      <c r="Q106" s="1046">
        <f>-SUMIF('Trial Balance'!$A:$A,'Detail WPL''1217'!W106,'Trial Balance'!$H:$H)-SUMIF('Trial Balance'!$A:$A,'Detail WPL''1217'!X106,'Trial Balance'!$H:$H)-SUMIF('Trial Balance'!$A:$A,'Detail WPL''1217'!Y106,'Trial Balance'!$H:$H)-SUMIF('Trial Balance'!$A:$A,'Detail WPL''1217'!Z106,'Trial Balance'!$H:$H)*-1</f>
        <v>0</v>
      </c>
      <c r="R106" s="358">
        <f>-'2016'!J231</f>
        <v>-92651054</v>
      </c>
      <c r="S106" s="358">
        <f>Q106-R106</f>
        <v>92651054</v>
      </c>
      <c r="T106" s="900">
        <f t="shared" si="78"/>
        <v>-1</v>
      </c>
      <c r="U106" s="912"/>
      <c r="V106" s="358">
        <f>'TB''1217'!H329*-1</f>
        <v>-198829661</v>
      </c>
      <c r="W106" t="s">
        <v>1873</v>
      </c>
      <c r="Z106" s="312" t="s">
        <v>1903</v>
      </c>
      <c r="AA106" s="344">
        <v>-198829661</v>
      </c>
    </row>
    <row r="107" spans="1:27">
      <c r="B107" s="924" t="s">
        <v>873</v>
      </c>
      <c r="D107" s="420">
        <f>SUM(D105:D106)</f>
        <v>-10716052</v>
      </c>
      <c r="E107" s="420">
        <f t="shared" ref="E107:J107" si="79">SUM(E105:E106)</f>
        <v>-10620489</v>
      </c>
      <c r="F107" s="420">
        <f t="shared" si="79"/>
        <v>-10547693.560000001</v>
      </c>
      <c r="G107" s="420">
        <f t="shared" si="79"/>
        <v>-10011668.800000001</v>
      </c>
      <c r="H107" s="420">
        <f t="shared" si="79"/>
        <v>-49110137.200000003</v>
      </c>
      <c r="I107" s="420">
        <f t="shared" si="79"/>
        <v>-16896484.239999998</v>
      </c>
      <c r="J107" s="420">
        <f t="shared" si="79"/>
        <v>-16475103</v>
      </c>
      <c r="K107" s="420">
        <f t="shared" ref="K107:L107" si="80">SUM(K105:K106)</f>
        <v>-15886773</v>
      </c>
      <c r="L107" s="420">
        <f t="shared" si="80"/>
        <v>-15487437</v>
      </c>
      <c r="M107" s="420">
        <f t="shared" ref="M107:S107" si="81">M105+M106</f>
        <v>-15080125</v>
      </c>
      <c r="N107" s="420">
        <v>-20806650.48</v>
      </c>
      <c r="O107" s="346"/>
      <c r="P107" s="1046">
        <f t="shared" si="81"/>
        <v>-19334447.07</v>
      </c>
      <c r="Q107" s="1046">
        <f>Q105+Q106</f>
        <v>0</v>
      </c>
      <c r="R107" s="346">
        <f t="shared" si="81"/>
        <v>-104715775</v>
      </c>
      <c r="S107" s="346">
        <f t="shared" si="81"/>
        <v>104715775</v>
      </c>
      <c r="T107" s="898">
        <f t="shared" si="78"/>
        <v>-1</v>
      </c>
      <c r="U107" s="912"/>
      <c r="V107" s="346">
        <f t="shared" ref="V107" si="82">V105+V106</f>
        <v>-210973060.34999999</v>
      </c>
      <c r="AA107" s="344">
        <v>-210973060.34999999</v>
      </c>
    </row>
    <row r="108" spans="1:27">
      <c r="B108" s="924"/>
      <c r="K108" s="420"/>
      <c r="L108" s="420"/>
      <c r="M108" s="420"/>
      <c r="N108" s="420"/>
      <c r="O108" s="346"/>
      <c r="T108" s="898"/>
      <c r="U108" s="912"/>
    </row>
    <row r="109" spans="1:27">
      <c r="A109" s="854" t="s">
        <v>994</v>
      </c>
      <c r="B109" s="312" t="s">
        <v>1064</v>
      </c>
      <c r="D109" s="420">
        <v>-5414014</v>
      </c>
      <c r="E109" s="420">
        <v>-36609891</v>
      </c>
      <c r="F109" s="420">
        <v>-147684514</v>
      </c>
      <c r="G109" s="420">
        <v>-14576662</v>
      </c>
      <c r="H109" s="420">
        <v>-62222162</v>
      </c>
      <c r="I109" s="420">
        <v>-26132664.049999997</v>
      </c>
      <c r="J109" s="420">
        <v>-41188260</v>
      </c>
      <c r="K109" s="420">
        <v>-17115999</v>
      </c>
      <c r="L109" s="420">
        <v>4778000</v>
      </c>
      <c r="M109" s="420">
        <v>-575000</v>
      </c>
      <c r="N109" s="420">
        <v>-7266000</v>
      </c>
      <c r="O109" s="346"/>
      <c r="P109" s="1046">
        <f>'TB''1217'!J229*-1</f>
        <v>-123953500</v>
      </c>
      <c r="Q109" s="1046">
        <f>-SUMIF('Trial Balance'!$A:$A,'Detail WPL''1217'!W109,'Trial Balance'!$H:$H)-SUMIF('Trial Balance'!$A:$A,'Detail WPL''1217'!X109,'Trial Balance'!$H:$H)-SUMIF('Trial Balance'!$A:$A,'Detail WPL''1217'!Y109,'Trial Balance'!$H:$H)-SUMIF('Trial Balance'!$A:$A,'Detail WPL''1217'!Z109,'Trial Balance'!$H:$H)*-1</f>
        <v>0</v>
      </c>
      <c r="R109" s="347">
        <f>'2016'!J237</f>
        <v>7678015222</v>
      </c>
      <c r="S109" s="346">
        <f>Q109-R109</f>
        <v>-7678015222</v>
      </c>
      <c r="T109" s="898">
        <f t="shared" ref="T109:T114" si="83">S109/R109</f>
        <v>-1</v>
      </c>
      <c r="U109" s="912"/>
      <c r="V109" s="346">
        <f>'TB''1217'!H229*-1</f>
        <v>-477960666.04999995</v>
      </c>
      <c r="W109" t="s">
        <v>1717</v>
      </c>
      <c r="Z109" s="312" t="s">
        <v>1903</v>
      </c>
      <c r="AA109" s="344">
        <v>-477960666.05000001</v>
      </c>
    </row>
    <row r="110" spans="1:27">
      <c r="B110" s="312" t="s">
        <v>1065</v>
      </c>
      <c r="D110" s="420">
        <v>2288514129</v>
      </c>
      <c r="E110" s="420">
        <v>0</v>
      </c>
      <c r="F110" s="420">
        <v>0</v>
      </c>
      <c r="G110" s="420">
        <v>946144059.85000038</v>
      </c>
      <c r="H110" s="420">
        <v>0</v>
      </c>
      <c r="I110" s="420">
        <v>0</v>
      </c>
      <c r="J110" s="420">
        <v>0</v>
      </c>
      <c r="K110" s="420">
        <v>254662586</v>
      </c>
      <c r="L110" s="420">
        <v>254662586</v>
      </c>
      <c r="M110" s="420">
        <v>683638323</v>
      </c>
      <c r="N110" s="420">
        <v>683638323</v>
      </c>
      <c r="O110" s="346"/>
      <c r="P110" s="1046">
        <f>'TB''1217'!J230*-1</f>
        <v>1051543013.53</v>
      </c>
      <c r="Q110" s="1046">
        <f>-SUMIF('Trial Balance'!$A:$A,'Detail WPL''1217'!W110,'Trial Balance'!$H:$H)-SUMIF('Trial Balance'!$A:$A,'Detail WPL''1217'!X110,'Trial Balance'!$H:$H)-SUMIF('Trial Balance'!$A:$A,'Detail WPL''1217'!Y110,'Trial Balance'!$H:$H)-SUMIF('Trial Balance'!$A:$A,'Detail WPL''1217'!Z110,'Trial Balance'!$H:$H)*-1</f>
        <v>0</v>
      </c>
      <c r="R110" s="347">
        <f>'2016'!J238</f>
        <v>4839002616.5500002</v>
      </c>
      <c r="S110" s="346">
        <f>Q110-R110</f>
        <v>-4839002616.5500002</v>
      </c>
      <c r="T110" s="898">
        <f t="shared" si="83"/>
        <v>-1</v>
      </c>
      <c r="U110" s="912"/>
      <c r="V110" s="346">
        <f>'TB''1217'!H230*-1</f>
        <v>6162803020.3800001</v>
      </c>
      <c r="W110" t="s">
        <v>1719</v>
      </c>
      <c r="Z110" s="312" t="s">
        <v>1903</v>
      </c>
      <c r="AA110" s="344">
        <v>6162803020.3800001</v>
      </c>
    </row>
    <row r="111" spans="1:27">
      <c r="B111" s="312" t="s">
        <v>877</v>
      </c>
      <c r="D111" s="420">
        <v>86422537</v>
      </c>
      <c r="E111" s="420">
        <v>81796115</v>
      </c>
      <c r="F111" s="420">
        <v>30438369</v>
      </c>
      <c r="G111" s="420">
        <v>25573169</v>
      </c>
      <c r="H111" s="420">
        <v>-7315797</v>
      </c>
      <c r="I111" s="420">
        <v>29697284.950000003</v>
      </c>
      <c r="J111" s="420">
        <v>17881612</v>
      </c>
      <c r="K111" s="420">
        <v>1705758</v>
      </c>
      <c r="L111" s="420">
        <v>-8225203</v>
      </c>
      <c r="M111" s="420">
        <v>13509175</v>
      </c>
      <c r="N111" s="420">
        <v>44634940</v>
      </c>
      <c r="O111" s="346"/>
      <c r="P111" s="1046">
        <f>'TB''1217'!J231*-1</f>
        <v>-8061270</v>
      </c>
      <c r="Q111" s="1046">
        <f>-SUMIF('Trial Balance'!$A:$A,'Detail WPL''1217'!W111,'Trial Balance'!$H:$H)-SUMIF('Trial Balance'!$A:$A,'Detail WPL''1217'!X111,'Trial Balance'!$H:$H)-SUMIF('Trial Balance'!$A:$A,'Detail WPL''1217'!Y111,'Trial Balance'!$H:$H)-SUMIF('Trial Balance'!$A:$A,'Detail WPL''1217'!Z111,'Trial Balance'!$H:$H)*-1</f>
        <v>0</v>
      </c>
      <c r="R111" s="347">
        <f>'2016'!J239</f>
        <v>582861392</v>
      </c>
      <c r="S111" s="346">
        <f>Q111-R111</f>
        <v>-582861392</v>
      </c>
      <c r="T111" s="898">
        <f t="shared" si="83"/>
        <v>-1</v>
      </c>
      <c r="U111" s="912"/>
      <c r="V111" s="346">
        <f>'TB''1217'!H231*-1</f>
        <v>308056689.94999999</v>
      </c>
      <c r="W111" t="s">
        <v>1721</v>
      </c>
      <c r="Z111" s="312" t="s">
        <v>1903</v>
      </c>
      <c r="AA111" s="344">
        <v>308056689.94999999</v>
      </c>
    </row>
    <row r="112" spans="1:27">
      <c r="B112" s="312" t="s">
        <v>878</v>
      </c>
      <c r="D112" s="420">
        <v>0</v>
      </c>
      <c r="F112" s="420">
        <v>506551</v>
      </c>
      <c r="H112" s="420">
        <v>0</v>
      </c>
      <c r="I112" s="420">
        <v>9590059</v>
      </c>
      <c r="J112" s="420">
        <v>2356314</v>
      </c>
      <c r="K112" s="420">
        <v>152606</v>
      </c>
      <c r="L112" s="420">
        <v>343894</v>
      </c>
      <c r="M112" s="420">
        <v>7273519</v>
      </c>
      <c r="N112" s="420">
        <v>239105</v>
      </c>
      <c r="O112" s="346"/>
      <c r="P112" s="1046">
        <f>'TB''1217'!J232*-1</f>
        <v>165100</v>
      </c>
      <c r="Q112" s="1046">
        <f>-SUMIF('Trial Balance'!$A:$A,'Detail WPL''1217'!W112,'Trial Balance'!$H:$H)-SUMIF('Trial Balance'!$A:$A,'Detail WPL''1217'!X112,'Trial Balance'!$H:$H)-SUMIF('Trial Balance'!$A:$A,'Detail WPL''1217'!Y112,'Trial Balance'!$H:$H)-SUMIF('Trial Balance'!$A:$A,'Detail WPL''1217'!Z112,'Trial Balance'!$H:$H)*-1</f>
        <v>0</v>
      </c>
      <c r="R112" s="347">
        <f>'2016'!J240</f>
        <v>344228259</v>
      </c>
      <c r="S112" s="346">
        <f>Q112-R112</f>
        <v>-344228259</v>
      </c>
      <c r="T112" s="898">
        <f t="shared" si="83"/>
        <v>-1</v>
      </c>
      <c r="U112" s="912"/>
      <c r="V112" s="346">
        <f>'TB''1217'!H232*-1</f>
        <v>20627148</v>
      </c>
      <c r="W112" t="s">
        <v>1723</v>
      </c>
      <c r="Z112" s="312" t="s">
        <v>1903</v>
      </c>
      <c r="AA112" s="344">
        <v>20627148</v>
      </c>
    </row>
    <row r="113" spans="1:27">
      <c r="B113" s="312" t="s">
        <v>1066</v>
      </c>
      <c r="D113" s="420">
        <v>-13330450</v>
      </c>
      <c r="E113" s="420">
        <v>249923</v>
      </c>
      <c r="F113" s="420">
        <v>-1914734.46</v>
      </c>
      <c r="G113" s="420">
        <v>135266.6</v>
      </c>
      <c r="H113" s="420">
        <v>-943584</v>
      </c>
      <c r="I113" s="420">
        <v>-262842.06</v>
      </c>
      <c r="J113" s="420">
        <v>200564.07</v>
      </c>
      <c r="K113" s="442">
        <v>6421758.3200000003</v>
      </c>
      <c r="L113" s="442">
        <v>23916514</v>
      </c>
      <c r="M113" s="442">
        <v>13612176</v>
      </c>
      <c r="N113" s="442">
        <v>-9443655.5</v>
      </c>
      <c r="O113" s="358"/>
      <c r="P113" s="1048">
        <f>'TB''1217'!J332*-1</f>
        <v>5158403.3099999996</v>
      </c>
      <c r="Q113" s="1046">
        <f>-SUMIF('Trial Balance'!$A:$A,'Detail WPL''1217'!W113,'Trial Balance'!$H:$H)-SUMIF('Trial Balance'!$A:$A,'Detail WPL''1217'!X113,'Trial Balance'!$H:$H)-SUMIF('Trial Balance'!$A:$A,'Detail WPL''1217'!Y113,'Trial Balance'!$H:$H)-SUMIF('Trial Balance'!$A:$A,'Detail WPL''1217'!Z113,'Trial Balance'!$H:$H)*-1</f>
        <v>0</v>
      </c>
      <c r="R113" s="358">
        <f>'2016'!J241</f>
        <v>-32058555</v>
      </c>
      <c r="S113" s="358">
        <f>Q113-R113</f>
        <v>32058555</v>
      </c>
      <c r="T113" s="900">
        <f t="shared" si="83"/>
        <v>-1</v>
      </c>
      <c r="U113" s="912"/>
      <c r="V113" s="358">
        <f>'TB''1217'!H332*-1</f>
        <v>23799339.609999999</v>
      </c>
      <c r="W113" t="s">
        <v>1879</v>
      </c>
      <c r="Z113" s="312" t="s">
        <v>1903</v>
      </c>
      <c r="AA113" s="344">
        <v>23799339.279999997</v>
      </c>
    </row>
    <row r="114" spans="1:27">
      <c r="B114" s="924" t="s">
        <v>876</v>
      </c>
      <c r="D114" s="923">
        <f>SUM(D109:D113)</f>
        <v>2356192202</v>
      </c>
      <c r="E114" s="923">
        <f t="shared" ref="E114:J114" si="84">SUM(E109:E113)</f>
        <v>45436147</v>
      </c>
      <c r="F114" s="923">
        <f t="shared" si="84"/>
        <v>-118654328.45999999</v>
      </c>
      <c r="G114" s="923">
        <f t="shared" si="84"/>
        <v>957275833.45000041</v>
      </c>
      <c r="H114" s="923">
        <f t="shared" si="84"/>
        <v>-70481543</v>
      </c>
      <c r="I114" s="923">
        <f t="shared" si="84"/>
        <v>12891837.840000005</v>
      </c>
      <c r="J114" s="923">
        <f t="shared" si="84"/>
        <v>-20749769.93</v>
      </c>
      <c r="K114" s="420">
        <f t="shared" ref="K114:L114" si="85">SUM(K109:K113)</f>
        <v>245826709.31999999</v>
      </c>
      <c r="L114" s="420">
        <f t="shared" si="85"/>
        <v>275475791</v>
      </c>
      <c r="M114" s="420">
        <f t="shared" ref="M114:S114" si="86">SUM(M109:M113)</f>
        <v>717458193</v>
      </c>
      <c r="N114" s="420">
        <v>711802712.5</v>
      </c>
      <c r="O114" s="346"/>
      <c r="P114" s="1046">
        <f t="shared" si="86"/>
        <v>924851746.83999991</v>
      </c>
      <c r="Q114" s="1046">
        <f>SUM(Q109:Q113)</f>
        <v>0</v>
      </c>
      <c r="R114" s="346">
        <f t="shared" si="86"/>
        <v>13412048934.549999</v>
      </c>
      <c r="S114" s="346">
        <f t="shared" si="86"/>
        <v>-13412048934.549999</v>
      </c>
      <c r="T114" s="898">
        <f t="shared" si="83"/>
        <v>-1</v>
      </c>
      <c r="U114" s="912"/>
      <c r="V114" s="346">
        <f t="shared" ref="V114" si="87">SUM(V109:V113)</f>
        <v>6037325531.8899994</v>
      </c>
      <c r="AA114" s="344">
        <v>6037325531.5599995</v>
      </c>
    </row>
    <row r="115" spans="1:27">
      <c r="B115" s="924"/>
      <c r="D115" s="440"/>
      <c r="E115" s="440"/>
      <c r="F115" s="440"/>
      <c r="G115" s="440"/>
      <c r="H115" s="440"/>
      <c r="I115" s="440"/>
      <c r="J115" s="440"/>
      <c r="K115" s="420"/>
      <c r="L115" s="420"/>
      <c r="M115" s="420"/>
      <c r="N115" s="420"/>
      <c r="O115" s="346"/>
      <c r="T115" s="898"/>
      <c r="U115" s="912"/>
    </row>
    <row r="116" spans="1:27">
      <c r="A116" s="312" t="s">
        <v>1000</v>
      </c>
      <c r="B116" s="312" t="s">
        <v>874</v>
      </c>
      <c r="D116" s="440">
        <v>0</v>
      </c>
      <c r="E116" s="440">
        <v>0</v>
      </c>
      <c r="F116" s="440">
        <f>13667465-0.03</f>
        <v>13667464.970000001</v>
      </c>
      <c r="G116" s="440">
        <v>4362375</v>
      </c>
      <c r="H116" s="440">
        <v>5139611</v>
      </c>
      <c r="I116" s="440">
        <v>0</v>
      </c>
      <c r="J116" s="440">
        <v>-16485402</v>
      </c>
      <c r="K116" s="420"/>
      <c r="L116" s="420"/>
      <c r="M116" s="420">
        <v>5000000</v>
      </c>
      <c r="N116" s="420">
        <v>360000000</v>
      </c>
      <c r="O116" s="346"/>
      <c r="P116" s="1046">
        <f>('TB''1217'!J330+'TB''1217'!J331)*-1</f>
        <v>-226227557.75999996</v>
      </c>
      <c r="Q116" s="1046">
        <f>-SUMIF('Trial Balance'!$A:$A,'Detail WPL''1217'!W116,'Trial Balance'!$H:$H)-SUMIF('Trial Balance'!$A:$A,'Detail WPL''1217'!X116,'Trial Balance'!$H:$H)-SUMIF('Trial Balance'!$A:$A,'Detail WPL''1217'!Y116,'Trial Balance'!$H:$H)-SUMIF('Trial Balance'!$A:$A,'Detail WPL''1217'!Z116,'Trial Balance'!$H:$H)*-1</f>
        <v>0</v>
      </c>
      <c r="R116" s="346">
        <f>'2016'!J244</f>
        <v>357288889</v>
      </c>
      <c r="S116" s="346">
        <f>Q116-R116</f>
        <v>-357288889</v>
      </c>
      <c r="T116" s="898">
        <v>1</v>
      </c>
      <c r="U116" s="912"/>
      <c r="V116" s="346">
        <f>('TB''1217'!H330+'TB''1217'!H331)*-1</f>
        <v>145456491.24000001</v>
      </c>
      <c r="W116" t="s">
        <v>1877</v>
      </c>
      <c r="Z116" s="312" t="s">
        <v>1903</v>
      </c>
      <c r="AA116" s="344">
        <v>145456491.21000007</v>
      </c>
    </row>
    <row r="117" spans="1:27">
      <c r="B117" s="312" t="s">
        <v>856</v>
      </c>
      <c r="D117" s="442">
        <v>-85000000</v>
      </c>
      <c r="E117" s="442"/>
      <c r="F117" s="442"/>
      <c r="G117" s="442">
        <v>-679967</v>
      </c>
      <c r="H117" s="442">
        <v>0</v>
      </c>
      <c r="I117" s="442">
        <v>76</v>
      </c>
      <c r="J117" s="442">
        <v>-600000</v>
      </c>
      <c r="K117" s="442"/>
      <c r="L117" s="442"/>
      <c r="M117" s="442">
        <v>-4450000</v>
      </c>
      <c r="N117" s="442">
        <v>0</v>
      </c>
      <c r="O117" s="358"/>
      <c r="P117" s="1048">
        <f>'TB''1217'!J333*-1</f>
        <v>0</v>
      </c>
      <c r="Q117" s="1046">
        <f>-SUMIF('Trial Balance'!$A:$A,'Detail WPL''1217'!W117,'Trial Balance'!$H:$H)-SUMIF('Trial Balance'!$A:$A,'Detail WPL''1217'!X117,'Trial Balance'!$H:$H)-SUMIF('Trial Balance'!$A:$A,'Detail WPL''1217'!Y117,'Trial Balance'!$H:$H)-SUMIF('Trial Balance'!$A:$A,'Detail WPL''1217'!Z117,'Trial Balance'!$H:$H)*-1</f>
        <v>0</v>
      </c>
      <c r="R117" s="358">
        <f>'2016'!J245</f>
        <v>-3515701595</v>
      </c>
      <c r="S117" s="358">
        <f>Q117-R117</f>
        <v>3515701595</v>
      </c>
      <c r="T117" s="900">
        <v>1</v>
      </c>
      <c r="U117" s="912"/>
      <c r="V117" s="358">
        <f>'TB''1217'!H333*-1</f>
        <v>-90729891</v>
      </c>
      <c r="W117" t="s">
        <v>1881</v>
      </c>
      <c r="Z117" s="312" t="s">
        <v>1903</v>
      </c>
      <c r="AA117" s="344">
        <v>-90729891</v>
      </c>
    </row>
    <row r="118" spans="1:27">
      <c r="B118" s="924" t="s">
        <v>875</v>
      </c>
      <c r="D118" s="420">
        <f t="shared" ref="D118:L118" si="88">D116+D117</f>
        <v>-85000000</v>
      </c>
      <c r="E118" s="420">
        <f t="shared" si="88"/>
        <v>0</v>
      </c>
      <c r="F118" s="420">
        <f t="shared" si="88"/>
        <v>13667464.970000001</v>
      </c>
      <c r="G118" s="420">
        <f t="shared" si="88"/>
        <v>3682408</v>
      </c>
      <c r="H118" s="420">
        <f t="shared" si="88"/>
        <v>5139611</v>
      </c>
      <c r="I118" s="420">
        <f t="shared" si="88"/>
        <v>76</v>
      </c>
      <c r="J118" s="420">
        <f t="shared" si="88"/>
        <v>-17085402</v>
      </c>
      <c r="K118" s="420">
        <f t="shared" si="88"/>
        <v>0</v>
      </c>
      <c r="L118" s="420">
        <f t="shared" si="88"/>
        <v>0</v>
      </c>
      <c r="M118" s="420">
        <f t="shared" ref="M118:P118" si="89">M116+M117</f>
        <v>550000</v>
      </c>
      <c r="N118" s="420">
        <v>360000000</v>
      </c>
      <c r="O118" s="346"/>
      <c r="P118" s="1046">
        <f t="shared" si="89"/>
        <v>-226227557.75999996</v>
      </c>
      <c r="Q118" s="1046">
        <f>Q116+Q117</f>
        <v>0</v>
      </c>
      <c r="R118" s="346">
        <f>R116+R117</f>
        <v>-3158412706</v>
      </c>
      <c r="S118" s="346">
        <f>S116+S117</f>
        <v>3158412706</v>
      </c>
      <c r="T118" s="929">
        <v>1</v>
      </c>
      <c r="U118" s="912"/>
      <c r="V118" s="346">
        <f t="shared" ref="V118" si="90">V116+V117</f>
        <v>54726600.24000001</v>
      </c>
      <c r="AA118" s="344">
        <v>54726600.210000068</v>
      </c>
    </row>
    <row r="119" spans="1:27">
      <c r="U119" s="912"/>
    </row>
    <row r="120" spans="1:27">
      <c r="A120" s="312" t="s">
        <v>1001</v>
      </c>
      <c r="B120" s="312" t="s">
        <v>766</v>
      </c>
      <c r="K120" s="346">
        <v>84799500</v>
      </c>
      <c r="P120" s="1046">
        <f>+'TB''1217'!J233*-1</f>
        <v>0</v>
      </c>
      <c r="Q120" s="1046">
        <f t="shared" ref="Q120" si="91">SUM(D120:P120)</f>
        <v>84799500</v>
      </c>
      <c r="S120" s="346">
        <f>Q120-R120</f>
        <v>84799500</v>
      </c>
      <c r="T120" s="898">
        <v>0</v>
      </c>
      <c r="U120" s="912"/>
      <c r="V120" s="346">
        <f>+'TB''1217'!J233*-1</f>
        <v>0</v>
      </c>
      <c r="W120" t="s">
        <v>1725</v>
      </c>
      <c r="AA120" s="344">
        <v>84799500</v>
      </c>
    </row>
  </sheetData>
  <mergeCells count="4">
    <mergeCell ref="B1:T1"/>
    <mergeCell ref="B2:T2"/>
    <mergeCell ref="B3:T3"/>
    <mergeCell ref="P5:Q5"/>
  </mergeCells>
  <printOptions horizontalCentered="1"/>
  <pageMargins left="0" right="0" top="0.25" bottom="0.25" header="0" footer="0"/>
  <pageSetup paperSize="9" scale="70" fitToHeight="2" orientation="portrait" r:id="rId1"/>
  <rowBreaks count="1" manualBreakCount="1">
    <brk id="67" max="8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56"/>
  <sheetViews>
    <sheetView workbookViewId="0">
      <pane xSplit="4" ySplit="2" topLeftCell="G48" activePane="bottomRight" state="frozen"/>
      <selection activeCell="P164" sqref="A161:XFD164"/>
      <selection pane="topRight" activeCell="P164" sqref="A161:XFD164"/>
      <selection pane="bottomLeft" activeCell="P164" sqref="A161:XFD164"/>
      <selection pane="bottomRight" activeCell="J63" sqref="J63"/>
    </sheetView>
  </sheetViews>
  <sheetFormatPr defaultRowHeight="13"/>
  <cols>
    <col min="1" max="1" width="4.1796875" style="313" bestFit="1" customWidth="1"/>
    <col min="2" max="2" width="105.26953125" style="313" bestFit="1" customWidth="1"/>
    <col min="3" max="3" width="17.453125" style="1074" hidden="1" customWidth="1"/>
    <col min="4" max="4" width="8.7265625" style="1074" hidden="1" customWidth="1"/>
    <col min="5" max="5" width="16" style="1084" customWidth="1"/>
    <col min="6" max="7" width="14.54296875" style="1065" customWidth="1"/>
    <col min="8" max="8" width="17" style="353" bestFit="1" customWidth="1"/>
    <col min="9" max="9" width="2" style="313" customWidth="1"/>
    <col min="10" max="10" width="14.54296875" style="420" customWidth="1"/>
    <col min="11" max="11" width="14.26953125" style="313" customWidth="1"/>
    <col min="12" max="12" width="15.1796875" style="313" customWidth="1"/>
    <col min="13" max="13" width="17.7265625" style="313" customWidth="1"/>
    <col min="14" max="15" width="9.1796875" style="313" customWidth="1"/>
    <col min="16" max="16" width="12.7265625" style="313" bestFit="1" customWidth="1"/>
    <col min="17" max="17" width="9.1796875" style="313"/>
    <col min="18" max="18" width="10" style="313" bestFit="1" customWidth="1"/>
    <col min="19" max="242" width="9.1796875" style="313"/>
    <col min="243" max="243" width="7" style="313" customWidth="1"/>
    <col min="244" max="244" width="42.1796875" style="313" customWidth="1"/>
    <col min="245" max="245" width="6.26953125" style="313" customWidth="1"/>
    <col min="246" max="246" width="17.1796875" style="313" customWidth="1"/>
    <col min="247" max="247" width="8.7265625" style="313" customWidth="1"/>
    <col min="248" max="248" width="21" style="313" customWidth="1"/>
    <col min="249" max="251" width="14.1796875" style="313" customWidth="1"/>
    <col min="252" max="252" width="14.26953125" style="313" bestFit="1" customWidth="1"/>
    <col min="253" max="253" width="14" style="313" bestFit="1" customWidth="1"/>
    <col min="254" max="498" width="9.1796875" style="313"/>
    <col min="499" max="499" width="7" style="313" customWidth="1"/>
    <col min="500" max="500" width="42.1796875" style="313" customWidth="1"/>
    <col min="501" max="501" width="6.26953125" style="313" customWidth="1"/>
    <col min="502" max="502" width="17.1796875" style="313" customWidth="1"/>
    <col min="503" max="503" width="8.7265625" style="313" customWidth="1"/>
    <col min="504" max="504" width="21" style="313" customWidth="1"/>
    <col min="505" max="507" width="14.1796875" style="313" customWidth="1"/>
    <col min="508" max="508" width="14.26953125" style="313" bestFit="1" customWidth="1"/>
    <col min="509" max="509" width="14" style="313" bestFit="1" customWidth="1"/>
    <col min="510" max="754" width="9.1796875" style="313"/>
    <col min="755" max="755" width="7" style="313" customWidth="1"/>
    <col min="756" max="756" width="42.1796875" style="313" customWidth="1"/>
    <col min="757" max="757" width="6.26953125" style="313" customWidth="1"/>
    <col min="758" max="758" width="17.1796875" style="313" customWidth="1"/>
    <col min="759" max="759" width="8.7265625" style="313" customWidth="1"/>
    <col min="760" max="760" width="21" style="313" customWidth="1"/>
    <col min="761" max="763" width="14.1796875" style="313" customWidth="1"/>
    <col min="764" max="764" width="14.26953125" style="313" bestFit="1" customWidth="1"/>
    <col min="765" max="765" width="14" style="313" bestFit="1" customWidth="1"/>
    <col min="766" max="1010" width="9.1796875" style="313"/>
    <col min="1011" max="1011" width="7" style="313" customWidth="1"/>
    <col min="1012" max="1012" width="42.1796875" style="313" customWidth="1"/>
    <col min="1013" max="1013" width="6.26953125" style="313" customWidth="1"/>
    <col min="1014" max="1014" width="17.1796875" style="313" customWidth="1"/>
    <col min="1015" max="1015" width="8.7265625" style="313" customWidth="1"/>
    <col min="1016" max="1016" width="21" style="313" customWidth="1"/>
    <col min="1017" max="1019" width="14.1796875" style="313" customWidth="1"/>
    <col min="1020" max="1020" width="14.26953125" style="313" bestFit="1" customWidth="1"/>
    <col min="1021" max="1021" width="14" style="313" bestFit="1" customWidth="1"/>
    <col min="1022" max="1266" width="9.1796875" style="313"/>
    <col min="1267" max="1267" width="7" style="313" customWidth="1"/>
    <col min="1268" max="1268" width="42.1796875" style="313" customWidth="1"/>
    <col min="1269" max="1269" width="6.26953125" style="313" customWidth="1"/>
    <col min="1270" max="1270" width="17.1796875" style="313" customWidth="1"/>
    <col min="1271" max="1271" width="8.7265625" style="313" customWidth="1"/>
    <col min="1272" max="1272" width="21" style="313" customWidth="1"/>
    <col min="1273" max="1275" width="14.1796875" style="313" customWidth="1"/>
    <col min="1276" max="1276" width="14.26953125" style="313" bestFit="1" customWidth="1"/>
    <col min="1277" max="1277" width="14" style="313" bestFit="1" customWidth="1"/>
    <col min="1278" max="1522" width="9.1796875" style="313"/>
    <col min="1523" max="1523" width="7" style="313" customWidth="1"/>
    <col min="1524" max="1524" width="42.1796875" style="313" customWidth="1"/>
    <col min="1525" max="1525" width="6.26953125" style="313" customWidth="1"/>
    <col min="1526" max="1526" width="17.1796875" style="313" customWidth="1"/>
    <col min="1527" max="1527" width="8.7265625" style="313" customWidth="1"/>
    <col min="1528" max="1528" width="21" style="313" customWidth="1"/>
    <col min="1529" max="1531" width="14.1796875" style="313" customWidth="1"/>
    <col min="1532" max="1532" width="14.26953125" style="313" bestFit="1" customWidth="1"/>
    <col min="1533" max="1533" width="14" style="313" bestFit="1" customWidth="1"/>
    <col min="1534" max="1778" width="9.1796875" style="313"/>
    <col min="1779" max="1779" width="7" style="313" customWidth="1"/>
    <col min="1780" max="1780" width="42.1796875" style="313" customWidth="1"/>
    <col min="1781" max="1781" width="6.26953125" style="313" customWidth="1"/>
    <col min="1782" max="1782" width="17.1796875" style="313" customWidth="1"/>
    <col min="1783" max="1783" width="8.7265625" style="313" customWidth="1"/>
    <col min="1784" max="1784" width="21" style="313" customWidth="1"/>
    <col min="1785" max="1787" width="14.1796875" style="313" customWidth="1"/>
    <col min="1788" max="1788" width="14.26953125" style="313" bestFit="1" customWidth="1"/>
    <col min="1789" max="1789" width="14" style="313" bestFit="1" customWidth="1"/>
    <col min="1790" max="2034" width="9.1796875" style="313"/>
    <col min="2035" max="2035" width="7" style="313" customWidth="1"/>
    <col min="2036" max="2036" width="42.1796875" style="313" customWidth="1"/>
    <col min="2037" max="2037" width="6.26953125" style="313" customWidth="1"/>
    <col min="2038" max="2038" width="17.1796875" style="313" customWidth="1"/>
    <col min="2039" max="2039" width="8.7265625" style="313" customWidth="1"/>
    <col min="2040" max="2040" width="21" style="313" customWidth="1"/>
    <col min="2041" max="2043" width="14.1796875" style="313" customWidth="1"/>
    <col min="2044" max="2044" width="14.26953125" style="313" bestFit="1" customWidth="1"/>
    <col min="2045" max="2045" width="14" style="313" bestFit="1" customWidth="1"/>
    <col min="2046" max="2290" width="9.1796875" style="313"/>
    <col min="2291" max="2291" width="7" style="313" customWidth="1"/>
    <col min="2292" max="2292" width="42.1796875" style="313" customWidth="1"/>
    <col min="2293" max="2293" width="6.26953125" style="313" customWidth="1"/>
    <col min="2294" max="2294" width="17.1796875" style="313" customWidth="1"/>
    <col min="2295" max="2295" width="8.7265625" style="313" customWidth="1"/>
    <col min="2296" max="2296" width="21" style="313" customWidth="1"/>
    <col min="2297" max="2299" width="14.1796875" style="313" customWidth="1"/>
    <col min="2300" max="2300" width="14.26953125" style="313" bestFit="1" customWidth="1"/>
    <col min="2301" max="2301" width="14" style="313" bestFit="1" customWidth="1"/>
    <col min="2302" max="2546" width="9.1796875" style="313"/>
    <col min="2547" max="2547" width="7" style="313" customWidth="1"/>
    <col min="2548" max="2548" width="42.1796875" style="313" customWidth="1"/>
    <col min="2549" max="2549" width="6.26953125" style="313" customWidth="1"/>
    <col min="2550" max="2550" width="17.1796875" style="313" customWidth="1"/>
    <col min="2551" max="2551" width="8.7265625" style="313" customWidth="1"/>
    <col min="2552" max="2552" width="21" style="313" customWidth="1"/>
    <col min="2553" max="2555" width="14.1796875" style="313" customWidth="1"/>
    <col min="2556" max="2556" width="14.26953125" style="313" bestFit="1" customWidth="1"/>
    <col min="2557" max="2557" width="14" style="313" bestFit="1" customWidth="1"/>
    <col min="2558" max="2802" width="9.1796875" style="313"/>
    <col min="2803" max="2803" width="7" style="313" customWidth="1"/>
    <col min="2804" max="2804" width="42.1796875" style="313" customWidth="1"/>
    <col min="2805" max="2805" width="6.26953125" style="313" customWidth="1"/>
    <col min="2806" max="2806" width="17.1796875" style="313" customWidth="1"/>
    <col min="2807" max="2807" width="8.7265625" style="313" customWidth="1"/>
    <col min="2808" max="2808" width="21" style="313" customWidth="1"/>
    <col min="2809" max="2811" width="14.1796875" style="313" customWidth="1"/>
    <col min="2812" max="2812" width="14.26953125" style="313" bestFit="1" customWidth="1"/>
    <col min="2813" max="2813" width="14" style="313" bestFit="1" customWidth="1"/>
    <col min="2814" max="3058" width="9.1796875" style="313"/>
    <col min="3059" max="3059" width="7" style="313" customWidth="1"/>
    <col min="3060" max="3060" width="42.1796875" style="313" customWidth="1"/>
    <col min="3061" max="3061" width="6.26953125" style="313" customWidth="1"/>
    <col min="3062" max="3062" width="17.1796875" style="313" customWidth="1"/>
    <col min="3063" max="3063" width="8.7265625" style="313" customWidth="1"/>
    <col min="3064" max="3064" width="21" style="313" customWidth="1"/>
    <col min="3065" max="3067" width="14.1796875" style="313" customWidth="1"/>
    <col min="3068" max="3068" width="14.26953125" style="313" bestFit="1" customWidth="1"/>
    <col min="3069" max="3069" width="14" style="313" bestFit="1" customWidth="1"/>
    <col min="3070" max="3314" width="9.1796875" style="313"/>
    <col min="3315" max="3315" width="7" style="313" customWidth="1"/>
    <col min="3316" max="3316" width="42.1796875" style="313" customWidth="1"/>
    <col min="3317" max="3317" width="6.26953125" style="313" customWidth="1"/>
    <col min="3318" max="3318" width="17.1796875" style="313" customWidth="1"/>
    <col min="3319" max="3319" width="8.7265625" style="313" customWidth="1"/>
    <col min="3320" max="3320" width="21" style="313" customWidth="1"/>
    <col min="3321" max="3323" width="14.1796875" style="313" customWidth="1"/>
    <col min="3324" max="3324" width="14.26953125" style="313" bestFit="1" customWidth="1"/>
    <col min="3325" max="3325" width="14" style="313" bestFit="1" customWidth="1"/>
    <col min="3326" max="3570" width="9.1796875" style="313"/>
    <col min="3571" max="3571" width="7" style="313" customWidth="1"/>
    <col min="3572" max="3572" width="42.1796875" style="313" customWidth="1"/>
    <col min="3573" max="3573" width="6.26953125" style="313" customWidth="1"/>
    <col min="3574" max="3574" width="17.1796875" style="313" customWidth="1"/>
    <col min="3575" max="3575" width="8.7265625" style="313" customWidth="1"/>
    <col min="3576" max="3576" width="21" style="313" customWidth="1"/>
    <col min="3577" max="3579" width="14.1796875" style="313" customWidth="1"/>
    <col min="3580" max="3580" width="14.26953125" style="313" bestFit="1" customWidth="1"/>
    <col min="3581" max="3581" width="14" style="313" bestFit="1" customWidth="1"/>
    <col min="3582" max="3826" width="9.1796875" style="313"/>
    <col min="3827" max="3827" width="7" style="313" customWidth="1"/>
    <col min="3828" max="3828" width="42.1796875" style="313" customWidth="1"/>
    <col min="3829" max="3829" width="6.26953125" style="313" customWidth="1"/>
    <col min="3830" max="3830" width="17.1796875" style="313" customWidth="1"/>
    <col min="3831" max="3831" width="8.7265625" style="313" customWidth="1"/>
    <col min="3832" max="3832" width="21" style="313" customWidth="1"/>
    <col min="3833" max="3835" width="14.1796875" style="313" customWidth="1"/>
    <col min="3836" max="3836" width="14.26953125" style="313" bestFit="1" customWidth="1"/>
    <col min="3837" max="3837" width="14" style="313" bestFit="1" customWidth="1"/>
    <col min="3838" max="4082" width="9.1796875" style="313"/>
    <col min="4083" max="4083" width="7" style="313" customWidth="1"/>
    <col min="4084" max="4084" width="42.1796875" style="313" customWidth="1"/>
    <col min="4085" max="4085" width="6.26953125" style="313" customWidth="1"/>
    <col min="4086" max="4086" width="17.1796875" style="313" customWidth="1"/>
    <col min="4087" max="4087" width="8.7265625" style="313" customWidth="1"/>
    <col min="4088" max="4088" width="21" style="313" customWidth="1"/>
    <col min="4089" max="4091" width="14.1796875" style="313" customWidth="1"/>
    <col min="4092" max="4092" width="14.26953125" style="313" bestFit="1" customWidth="1"/>
    <col min="4093" max="4093" width="14" style="313" bestFit="1" customWidth="1"/>
    <col min="4094" max="4338" width="9.1796875" style="313"/>
    <col min="4339" max="4339" width="7" style="313" customWidth="1"/>
    <col min="4340" max="4340" width="42.1796875" style="313" customWidth="1"/>
    <col min="4341" max="4341" width="6.26953125" style="313" customWidth="1"/>
    <col min="4342" max="4342" width="17.1796875" style="313" customWidth="1"/>
    <col min="4343" max="4343" width="8.7265625" style="313" customWidth="1"/>
    <col min="4344" max="4344" width="21" style="313" customWidth="1"/>
    <col min="4345" max="4347" width="14.1796875" style="313" customWidth="1"/>
    <col min="4348" max="4348" width="14.26953125" style="313" bestFit="1" customWidth="1"/>
    <col min="4349" max="4349" width="14" style="313" bestFit="1" customWidth="1"/>
    <col min="4350" max="4594" width="9.1796875" style="313"/>
    <col min="4595" max="4595" width="7" style="313" customWidth="1"/>
    <col min="4596" max="4596" width="42.1796875" style="313" customWidth="1"/>
    <col min="4597" max="4597" width="6.26953125" style="313" customWidth="1"/>
    <col min="4598" max="4598" width="17.1796875" style="313" customWidth="1"/>
    <col min="4599" max="4599" width="8.7265625" style="313" customWidth="1"/>
    <col min="4600" max="4600" width="21" style="313" customWidth="1"/>
    <col min="4601" max="4603" width="14.1796875" style="313" customWidth="1"/>
    <col min="4604" max="4604" width="14.26953125" style="313" bestFit="1" customWidth="1"/>
    <col min="4605" max="4605" width="14" style="313" bestFit="1" customWidth="1"/>
    <col min="4606" max="4850" width="9.1796875" style="313"/>
    <col min="4851" max="4851" width="7" style="313" customWidth="1"/>
    <col min="4852" max="4852" width="42.1796875" style="313" customWidth="1"/>
    <col min="4853" max="4853" width="6.26953125" style="313" customWidth="1"/>
    <col min="4854" max="4854" width="17.1796875" style="313" customWidth="1"/>
    <col min="4855" max="4855" width="8.7265625" style="313" customWidth="1"/>
    <col min="4856" max="4856" width="21" style="313" customWidth="1"/>
    <col min="4857" max="4859" width="14.1796875" style="313" customWidth="1"/>
    <col min="4860" max="4860" width="14.26953125" style="313" bestFit="1" customWidth="1"/>
    <col min="4861" max="4861" width="14" style="313" bestFit="1" customWidth="1"/>
    <col min="4862" max="5106" width="9.1796875" style="313"/>
    <col min="5107" max="5107" width="7" style="313" customWidth="1"/>
    <col min="5108" max="5108" width="42.1796875" style="313" customWidth="1"/>
    <col min="5109" max="5109" width="6.26953125" style="313" customWidth="1"/>
    <col min="5110" max="5110" width="17.1796875" style="313" customWidth="1"/>
    <col min="5111" max="5111" width="8.7265625" style="313" customWidth="1"/>
    <col min="5112" max="5112" width="21" style="313" customWidth="1"/>
    <col min="5113" max="5115" width="14.1796875" style="313" customWidth="1"/>
    <col min="5116" max="5116" width="14.26953125" style="313" bestFit="1" customWidth="1"/>
    <col min="5117" max="5117" width="14" style="313" bestFit="1" customWidth="1"/>
    <col min="5118" max="5362" width="9.1796875" style="313"/>
    <col min="5363" max="5363" width="7" style="313" customWidth="1"/>
    <col min="5364" max="5364" width="42.1796875" style="313" customWidth="1"/>
    <col min="5365" max="5365" width="6.26953125" style="313" customWidth="1"/>
    <col min="5366" max="5366" width="17.1796875" style="313" customWidth="1"/>
    <col min="5367" max="5367" width="8.7265625" style="313" customWidth="1"/>
    <col min="5368" max="5368" width="21" style="313" customWidth="1"/>
    <col min="5369" max="5371" width="14.1796875" style="313" customWidth="1"/>
    <col min="5372" max="5372" width="14.26953125" style="313" bestFit="1" customWidth="1"/>
    <col min="5373" max="5373" width="14" style="313" bestFit="1" customWidth="1"/>
    <col min="5374" max="5618" width="9.1796875" style="313"/>
    <col min="5619" max="5619" width="7" style="313" customWidth="1"/>
    <col min="5620" max="5620" width="42.1796875" style="313" customWidth="1"/>
    <col min="5621" max="5621" width="6.26953125" style="313" customWidth="1"/>
    <col min="5622" max="5622" width="17.1796875" style="313" customWidth="1"/>
    <col min="5623" max="5623" width="8.7265625" style="313" customWidth="1"/>
    <col min="5624" max="5624" width="21" style="313" customWidth="1"/>
    <col min="5625" max="5627" width="14.1796875" style="313" customWidth="1"/>
    <col min="5628" max="5628" width="14.26953125" style="313" bestFit="1" customWidth="1"/>
    <col min="5629" max="5629" width="14" style="313" bestFit="1" customWidth="1"/>
    <col min="5630" max="5874" width="9.1796875" style="313"/>
    <col min="5875" max="5875" width="7" style="313" customWidth="1"/>
    <col min="5876" max="5876" width="42.1796875" style="313" customWidth="1"/>
    <col min="5877" max="5877" width="6.26953125" style="313" customWidth="1"/>
    <col min="5878" max="5878" width="17.1796875" style="313" customWidth="1"/>
    <col min="5879" max="5879" width="8.7265625" style="313" customWidth="1"/>
    <col min="5880" max="5880" width="21" style="313" customWidth="1"/>
    <col min="5881" max="5883" width="14.1796875" style="313" customWidth="1"/>
    <col min="5884" max="5884" width="14.26953125" style="313" bestFit="1" customWidth="1"/>
    <col min="5885" max="5885" width="14" style="313" bestFit="1" customWidth="1"/>
    <col min="5886" max="6130" width="9.1796875" style="313"/>
    <col min="6131" max="6131" width="7" style="313" customWidth="1"/>
    <col min="6132" max="6132" width="42.1796875" style="313" customWidth="1"/>
    <col min="6133" max="6133" width="6.26953125" style="313" customWidth="1"/>
    <col min="6134" max="6134" width="17.1796875" style="313" customWidth="1"/>
    <col min="6135" max="6135" width="8.7265625" style="313" customWidth="1"/>
    <col min="6136" max="6136" width="21" style="313" customWidth="1"/>
    <col min="6137" max="6139" width="14.1796875" style="313" customWidth="1"/>
    <col min="6140" max="6140" width="14.26953125" style="313" bestFit="1" customWidth="1"/>
    <col min="6141" max="6141" width="14" style="313" bestFit="1" customWidth="1"/>
    <col min="6142" max="6386" width="9.1796875" style="313"/>
    <col min="6387" max="6387" width="7" style="313" customWidth="1"/>
    <col min="6388" max="6388" width="42.1796875" style="313" customWidth="1"/>
    <col min="6389" max="6389" width="6.26953125" style="313" customWidth="1"/>
    <col min="6390" max="6390" width="17.1796875" style="313" customWidth="1"/>
    <col min="6391" max="6391" width="8.7265625" style="313" customWidth="1"/>
    <col min="6392" max="6392" width="21" style="313" customWidth="1"/>
    <col min="6393" max="6395" width="14.1796875" style="313" customWidth="1"/>
    <col min="6396" max="6396" width="14.26953125" style="313" bestFit="1" customWidth="1"/>
    <col min="6397" max="6397" width="14" style="313" bestFit="1" customWidth="1"/>
    <col min="6398" max="6642" width="9.1796875" style="313"/>
    <col min="6643" max="6643" width="7" style="313" customWidth="1"/>
    <col min="6644" max="6644" width="42.1796875" style="313" customWidth="1"/>
    <col min="6645" max="6645" width="6.26953125" style="313" customWidth="1"/>
    <col min="6646" max="6646" width="17.1796875" style="313" customWidth="1"/>
    <col min="6647" max="6647" width="8.7265625" style="313" customWidth="1"/>
    <col min="6648" max="6648" width="21" style="313" customWidth="1"/>
    <col min="6649" max="6651" width="14.1796875" style="313" customWidth="1"/>
    <col min="6652" max="6652" width="14.26953125" style="313" bestFit="1" customWidth="1"/>
    <col min="6653" max="6653" width="14" style="313" bestFit="1" customWidth="1"/>
    <col min="6654" max="6898" width="9.1796875" style="313"/>
    <col min="6899" max="6899" width="7" style="313" customWidth="1"/>
    <col min="6900" max="6900" width="42.1796875" style="313" customWidth="1"/>
    <col min="6901" max="6901" width="6.26953125" style="313" customWidth="1"/>
    <col min="6902" max="6902" width="17.1796875" style="313" customWidth="1"/>
    <col min="6903" max="6903" width="8.7265625" style="313" customWidth="1"/>
    <col min="6904" max="6904" width="21" style="313" customWidth="1"/>
    <col min="6905" max="6907" width="14.1796875" style="313" customWidth="1"/>
    <col min="6908" max="6908" width="14.26953125" style="313" bestFit="1" customWidth="1"/>
    <col min="6909" max="6909" width="14" style="313" bestFit="1" customWidth="1"/>
    <col min="6910" max="7154" width="9.1796875" style="313"/>
    <col min="7155" max="7155" width="7" style="313" customWidth="1"/>
    <col min="7156" max="7156" width="42.1796875" style="313" customWidth="1"/>
    <col min="7157" max="7157" width="6.26953125" style="313" customWidth="1"/>
    <col min="7158" max="7158" width="17.1796875" style="313" customWidth="1"/>
    <col min="7159" max="7159" width="8.7265625" style="313" customWidth="1"/>
    <col min="7160" max="7160" width="21" style="313" customWidth="1"/>
    <col min="7161" max="7163" width="14.1796875" style="313" customWidth="1"/>
    <col min="7164" max="7164" width="14.26953125" style="313" bestFit="1" customWidth="1"/>
    <col min="7165" max="7165" width="14" style="313" bestFit="1" customWidth="1"/>
    <col min="7166" max="7410" width="9.1796875" style="313"/>
    <col min="7411" max="7411" width="7" style="313" customWidth="1"/>
    <col min="7412" max="7412" width="42.1796875" style="313" customWidth="1"/>
    <col min="7413" max="7413" width="6.26953125" style="313" customWidth="1"/>
    <col min="7414" max="7414" width="17.1796875" style="313" customWidth="1"/>
    <col min="7415" max="7415" width="8.7265625" style="313" customWidth="1"/>
    <col min="7416" max="7416" width="21" style="313" customWidth="1"/>
    <col min="7417" max="7419" width="14.1796875" style="313" customWidth="1"/>
    <col min="7420" max="7420" width="14.26953125" style="313" bestFit="1" customWidth="1"/>
    <col min="7421" max="7421" width="14" style="313" bestFit="1" customWidth="1"/>
    <col min="7422" max="7666" width="9.1796875" style="313"/>
    <col min="7667" max="7667" width="7" style="313" customWidth="1"/>
    <col min="7668" max="7668" width="42.1796875" style="313" customWidth="1"/>
    <col min="7669" max="7669" width="6.26953125" style="313" customWidth="1"/>
    <col min="7670" max="7670" width="17.1796875" style="313" customWidth="1"/>
    <col min="7671" max="7671" width="8.7265625" style="313" customWidth="1"/>
    <col min="7672" max="7672" width="21" style="313" customWidth="1"/>
    <col min="7673" max="7675" width="14.1796875" style="313" customWidth="1"/>
    <col min="7676" max="7676" width="14.26953125" style="313" bestFit="1" customWidth="1"/>
    <col min="7677" max="7677" width="14" style="313" bestFit="1" customWidth="1"/>
    <col min="7678" max="7922" width="9.1796875" style="313"/>
    <col min="7923" max="7923" width="7" style="313" customWidth="1"/>
    <col min="7924" max="7924" width="42.1796875" style="313" customWidth="1"/>
    <col min="7925" max="7925" width="6.26953125" style="313" customWidth="1"/>
    <col min="7926" max="7926" width="17.1796875" style="313" customWidth="1"/>
    <col min="7927" max="7927" width="8.7265625" style="313" customWidth="1"/>
    <col min="7928" max="7928" width="21" style="313" customWidth="1"/>
    <col min="7929" max="7931" width="14.1796875" style="313" customWidth="1"/>
    <col min="7932" max="7932" width="14.26953125" style="313" bestFit="1" customWidth="1"/>
    <col min="7933" max="7933" width="14" style="313" bestFit="1" customWidth="1"/>
    <col min="7934" max="8178" width="9.1796875" style="313"/>
    <col min="8179" max="8179" width="7" style="313" customWidth="1"/>
    <col min="8180" max="8180" width="42.1796875" style="313" customWidth="1"/>
    <col min="8181" max="8181" width="6.26953125" style="313" customWidth="1"/>
    <col min="8182" max="8182" width="17.1796875" style="313" customWidth="1"/>
    <col min="8183" max="8183" width="8.7265625" style="313" customWidth="1"/>
    <col min="8184" max="8184" width="21" style="313" customWidth="1"/>
    <col min="8185" max="8187" width="14.1796875" style="313" customWidth="1"/>
    <col min="8188" max="8188" width="14.26953125" style="313" bestFit="1" customWidth="1"/>
    <col min="8189" max="8189" width="14" style="313" bestFit="1" customWidth="1"/>
    <col min="8190" max="8434" width="9.1796875" style="313"/>
    <col min="8435" max="8435" width="7" style="313" customWidth="1"/>
    <col min="8436" max="8436" width="42.1796875" style="313" customWidth="1"/>
    <col min="8437" max="8437" width="6.26953125" style="313" customWidth="1"/>
    <col min="8438" max="8438" width="17.1796875" style="313" customWidth="1"/>
    <col min="8439" max="8439" width="8.7265625" style="313" customWidth="1"/>
    <col min="8440" max="8440" width="21" style="313" customWidth="1"/>
    <col min="8441" max="8443" width="14.1796875" style="313" customWidth="1"/>
    <col min="8444" max="8444" width="14.26953125" style="313" bestFit="1" customWidth="1"/>
    <col min="8445" max="8445" width="14" style="313" bestFit="1" customWidth="1"/>
    <col min="8446" max="8690" width="9.1796875" style="313"/>
    <col min="8691" max="8691" width="7" style="313" customWidth="1"/>
    <col min="8692" max="8692" width="42.1796875" style="313" customWidth="1"/>
    <col min="8693" max="8693" width="6.26953125" style="313" customWidth="1"/>
    <col min="8694" max="8694" width="17.1796875" style="313" customWidth="1"/>
    <col min="8695" max="8695" width="8.7265625" style="313" customWidth="1"/>
    <col min="8696" max="8696" width="21" style="313" customWidth="1"/>
    <col min="8697" max="8699" width="14.1796875" style="313" customWidth="1"/>
    <col min="8700" max="8700" width="14.26953125" style="313" bestFit="1" customWidth="1"/>
    <col min="8701" max="8701" width="14" style="313" bestFit="1" customWidth="1"/>
    <col min="8702" max="8946" width="9.1796875" style="313"/>
    <col min="8947" max="8947" width="7" style="313" customWidth="1"/>
    <col min="8948" max="8948" width="42.1796875" style="313" customWidth="1"/>
    <col min="8949" max="8949" width="6.26953125" style="313" customWidth="1"/>
    <col min="8950" max="8950" width="17.1796875" style="313" customWidth="1"/>
    <col min="8951" max="8951" width="8.7265625" style="313" customWidth="1"/>
    <col min="8952" max="8952" width="21" style="313" customWidth="1"/>
    <col min="8953" max="8955" width="14.1796875" style="313" customWidth="1"/>
    <col min="8956" max="8956" width="14.26953125" style="313" bestFit="1" customWidth="1"/>
    <col min="8957" max="8957" width="14" style="313" bestFit="1" customWidth="1"/>
    <col min="8958" max="9202" width="9.1796875" style="313"/>
    <col min="9203" max="9203" width="7" style="313" customWidth="1"/>
    <col min="9204" max="9204" width="42.1796875" style="313" customWidth="1"/>
    <col min="9205" max="9205" width="6.26953125" style="313" customWidth="1"/>
    <col min="9206" max="9206" width="17.1796875" style="313" customWidth="1"/>
    <col min="9207" max="9207" width="8.7265625" style="313" customWidth="1"/>
    <col min="9208" max="9208" width="21" style="313" customWidth="1"/>
    <col min="9209" max="9211" width="14.1796875" style="313" customWidth="1"/>
    <col min="9212" max="9212" width="14.26953125" style="313" bestFit="1" customWidth="1"/>
    <col min="9213" max="9213" width="14" style="313" bestFit="1" customWidth="1"/>
    <col min="9214" max="9458" width="9.1796875" style="313"/>
    <col min="9459" max="9459" width="7" style="313" customWidth="1"/>
    <col min="9460" max="9460" width="42.1796875" style="313" customWidth="1"/>
    <col min="9461" max="9461" width="6.26953125" style="313" customWidth="1"/>
    <col min="9462" max="9462" width="17.1796875" style="313" customWidth="1"/>
    <col min="9463" max="9463" width="8.7265625" style="313" customWidth="1"/>
    <col min="9464" max="9464" width="21" style="313" customWidth="1"/>
    <col min="9465" max="9467" width="14.1796875" style="313" customWidth="1"/>
    <col min="9468" max="9468" width="14.26953125" style="313" bestFit="1" customWidth="1"/>
    <col min="9469" max="9469" width="14" style="313" bestFit="1" customWidth="1"/>
    <col min="9470" max="9714" width="9.1796875" style="313"/>
    <col min="9715" max="9715" width="7" style="313" customWidth="1"/>
    <col min="9716" max="9716" width="42.1796875" style="313" customWidth="1"/>
    <col min="9717" max="9717" width="6.26953125" style="313" customWidth="1"/>
    <col min="9718" max="9718" width="17.1796875" style="313" customWidth="1"/>
    <col min="9719" max="9719" width="8.7265625" style="313" customWidth="1"/>
    <col min="9720" max="9720" width="21" style="313" customWidth="1"/>
    <col min="9721" max="9723" width="14.1796875" style="313" customWidth="1"/>
    <col min="9724" max="9724" width="14.26953125" style="313" bestFit="1" customWidth="1"/>
    <col min="9725" max="9725" width="14" style="313" bestFit="1" customWidth="1"/>
    <col min="9726" max="9970" width="9.1796875" style="313"/>
    <col min="9971" max="9971" width="7" style="313" customWidth="1"/>
    <col min="9972" max="9972" width="42.1796875" style="313" customWidth="1"/>
    <col min="9973" max="9973" width="6.26953125" style="313" customWidth="1"/>
    <col min="9974" max="9974" width="17.1796875" style="313" customWidth="1"/>
    <col min="9975" max="9975" width="8.7265625" style="313" customWidth="1"/>
    <col min="9976" max="9976" width="21" style="313" customWidth="1"/>
    <col min="9977" max="9979" width="14.1796875" style="313" customWidth="1"/>
    <col min="9980" max="9980" width="14.26953125" style="313" bestFit="1" customWidth="1"/>
    <col min="9981" max="9981" width="14" style="313" bestFit="1" customWidth="1"/>
    <col min="9982" max="10226" width="9.1796875" style="313"/>
    <col min="10227" max="10227" width="7" style="313" customWidth="1"/>
    <col min="10228" max="10228" width="42.1796875" style="313" customWidth="1"/>
    <col min="10229" max="10229" width="6.26953125" style="313" customWidth="1"/>
    <col min="10230" max="10230" width="17.1796875" style="313" customWidth="1"/>
    <col min="10231" max="10231" width="8.7265625" style="313" customWidth="1"/>
    <col min="10232" max="10232" width="21" style="313" customWidth="1"/>
    <col min="10233" max="10235" width="14.1796875" style="313" customWidth="1"/>
    <col min="10236" max="10236" width="14.26953125" style="313" bestFit="1" customWidth="1"/>
    <col min="10237" max="10237" width="14" style="313" bestFit="1" customWidth="1"/>
    <col min="10238" max="10482" width="9.1796875" style="313"/>
    <col min="10483" max="10483" width="7" style="313" customWidth="1"/>
    <col min="10484" max="10484" width="42.1796875" style="313" customWidth="1"/>
    <col min="10485" max="10485" width="6.26953125" style="313" customWidth="1"/>
    <col min="10486" max="10486" width="17.1796875" style="313" customWidth="1"/>
    <col min="10487" max="10487" width="8.7265625" style="313" customWidth="1"/>
    <col min="10488" max="10488" width="21" style="313" customWidth="1"/>
    <col min="10489" max="10491" width="14.1796875" style="313" customWidth="1"/>
    <col min="10492" max="10492" width="14.26953125" style="313" bestFit="1" customWidth="1"/>
    <col min="10493" max="10493" width="14" style="313" bestFit="1" customWidth="1"/>
    <col min="10494" max="10738" width="9.1796875" style="313"/>
    <col min="10739" max="10739" width="7" style="313" customWidth="1"/>
    <col min="10740" max="10740" width="42.1796875" style="313" customWidth="1"/>
    <col min="10741" max="10741" width="6.26953125" style="313" customWidth="1"/>
    <col min="10742" max="10742" width="17.1796875" style="313" customWidth="1"/>
    <col min="10743" max="10743" width="8.7265625" style="313" customWidth="1"/>
    <col min="10744" max="10744" width="21" style="313" customWidth="1"/>
    <col min="10745" max="10747" width="14.1796875" style="313" customWidth="1"/>
    <col min="10748" max="10748" width="14.26953125" style="313" bestFit="1" customWidth="1"/>
    <col min="10749" max="10749" width="14" style="313" bestFit="1" customWidth="1"/>
    <col min="10750" max="10994" width="9.1796875" style="313"/>
    <col min="10995" max="10995" width="7" style="313" customWidth="1"/>
    <col min="10996" max="10996" width="42.1796875" style="313" customWidth="1"/>
    <col min="10997" max="10997" width="6.26953125" style="313" customWidth="1"/>
    <col min="10998" max="10998" width="17.1796875" style="313" customWidth="1"/>
    <col min="10999" max="10999" width="8.7265625" style="313" customWidth="1"/>
    <col min="11000" max="11000" width="21" style="313" customWidth="1"/>
    <col min="11001" max="11003" width="14.1796875" style="313" customWidth="1"/>
    <col min="11004" max="11004" width="14.26953125" style="313" bestFit="1" customWidth="1"/>
    <col min="11005" max="11005" width="14" style="313" bestFit="1" customWidth="1"/>
    <col min="11006" max="11250" width="9.1796875" style="313"/>
    <col min="11251" max="11251" width="7" style="313" customWidth="1"/>
    <col min="11252" max="11252" width="42.1796875" style="313" customWidth="1"/>
    <col min="11253" max="11253" width="6.26953125" style="313" customWidth="1"/>
    <col min="11254" max="11254" width="17.1796875" style="313" customWidth="1"/>
    <col min="11255" max="11255" width="8.7265625" style="313" customWidth="1"/>
    <col min="11256" max="11256" width="21" style="313" customWidth="1"/>
    <col min="11257" max="11259" width="14.1796875" style="313" customWidth="1"/>
    <col min="11260" max="11260" width="14.26953125" style="313" bestFit="1" customWidth="1"/>
    <col min="11261" max="11261" width="14" style="313" bestFit="1" customWidth="1"/>
    <col min="11262" max="11506" width="9.1796875" style="313"/>
    <col min="11507" max="11507" width="7" style="313" customWidth="1"/>
    <col min="11508" max="11508" width="42.1796875" style="313" customWidth="1"/>
    <col min="11509" max="11509" width="6.26953125" style="313" customWidth="1"/>
    <col min="11510" max="11510" width="17.1796875" style="313" customWidth="1"/>
    <col min="11511" max="11511" width="8.7265625" style="313" customWidth="1"/>
    <col min="11512" max="11512" width="21" style="313" customWidth="1"/>
    <col min="11513" max="11515" width="14.1796875" style="313" customWidth="1"/>
    <col min="11516" max="11516" width="14.26953125" style="313" bestFit="1" customWidth="1"/>
    <col min="11517" max="11517" width="14" style="313" bestFit="1" customWidth="1"/>
    <col min="11518" max="11762" width="9.1796875" style="313"/>
    <col min="11763" max="11763" width="7" style="313" customWidth="1"/>
    <col min="11764" max="11764" width="42.1796875" style="313" customWidth="1"/>
    <col min="11765" max="11765" width="6.26953125" style="313" customWidth="1"/>
    <col min="11766" max="11766" width="17.1796875" style="313" customWidth="1"/>
    <col min="11767" max="11767" width="8.7265625" style="313" customWidth="1"/>
    <col min="11768" max="11768" width="21" style="313" customWidth="1"/>
    <col min="11769" max="11771" width="14.1796875" style="313" customWidth="1"/>
    <col min="11772" max="11772" width="14.26953125" style="313" bestFit="1" customWidth="1"/>
    <col min="11773" max="11773" width="14" style="313" bestFit="1" customWidth="1"/>
    <col min="11774" max="12018" width="9.1796875" style="313"/>
    <col min="12019" max="12019" width="7" style="313" customWidth="1"/>
    <col min="12020" max="12020" width="42.1796875" style="313" customWidth="1"/>
    <col min="12021" max="12021" width="6.26953125" style="313" customWidth="1"/>
    <col min="12022" max="12022" width="17.1796875" style="313" customWidth="1"/>
    <col min="12023" max="12023" width="8.7265625" style="313" customWidth="1"/>
    <col min="12024" max="12024" width="21" style="313" customWidth="1"/>
    <col min="12025" max="12027" width="14.1796875" style="313" customWidth="1"/>
    <col min="12028" max="12028" width="14.26953125" style="313" bestFit="1" customWidth="1"/>
    <col min="12029" max="12029" width="14" style="313" bestFit="1" customWidth="1"/>
    <col min="12030" max="12274" width="9.1796875" style="313"/>
    <col min="12275" max="12275" width="7" style="313" customWidth="1"/>
    <col min="12276" max="12276" width="42.1796875" style="313" customWidth="1"/>
    <col min="12277" max="12277" width="6.26953125" style="313" customWidth="1"/>
    <col min="12278" max="12278" width="17.1796875" style="313" customWidth="1"/>
    <col min="12279" max="12279" width="8.7265625" style="313" customWidth="1"/>
    <col min="12280" max="12280" width="21" style="313" customWidth="1"/>
    <col min="12281" max="12283" width="14.1796875" style="313" customWidth="1"/>
    <col min="12284" max="12284" width="14.26953125" style="313" bestFit="1" customWidth="1"/>
    <col min="12285" max="12285" width="14" style="313" bestFit="1" customWidth="1"/>
    <col min="12286" max="12530" width="9.1796875" style="313"/>
    <col min="12531" max="12531" width="7" style="313" customWidth="1"/>
    <col min="12532" max="12532" width="42.1796875" style="313" customWidth="1"/>
    <col min="12533" max="12533" width="6.26953125" style="313" customWidth="1"/>
    <col min="12534" max="12534" width="17.1796875" style="313" customWidth="1"/>
    <col min="12535" max="12535" width="8.7265625" style="313" customWidth="1"/>
    <col min="12536" max="12536" width="21" style="313" customWidth="1"/>
    <col min="12537" max="12539" width="14.1796875" style="313" customWidth="1"/>
    <col min="12540" max="12540" width="14.26953125" style="313" bestFit="1" customWidth="1"/>
    <col min="12541" max="12541" width="14" style="313" bestFit="1" customWidth="1"/>
    <col min="12542" max="12786" width="9.1796875" style="313"/>
    <col min="12787" max="12787" width="7" style="313" customWidth="1"/>
    <col min="12788" max="12788" width="42.1796875" style="313" customWidth="1"/>
    <col min="12789" max="12789" width="6.26953125" style="313" customWidth="1"/>
    <col min="12790" max="12790" width="17.1796875" style="313" customWidth="1"/>
    <col min="12791" max="12791" width="8.7265625" style="313" customWidth="1"/>
    <col min="12792" max="12792" width="21" style="313" customWidth="1"/>
    <col min="12793" max="12795" width="14.1796875" style="313" customWidth="1"/>
    <col min="12796" max="12796" width="14.26953125" style="313" bestFit="1" customWidth="1"/>
    <col min="12797" max="12797" width="14" style="313" bestFit="1" customWidth="1"/>
    <col min="12798" max="13042" width="9.1796875" style="313"/>
    <col min="13043" max="13043" width="7" style="313" customWidth="1"/>
    <col min="13044" max="13044" width="42.1796875" style="313" customWidth="1"/>
    <col min="13045" max="13045" width="6.26953125" style="313" customWidth="1"/>
    <col min="13046" max="13046" width="17.1796875" style="313" customWidth="1"/>
    <col min="13047" max="13047" width="8.7265625" style="313" customWidth="1"/>
    <col min="13048" max="13048" width="21" style="313" customWidth="1"/>
    <col min="13049" max="13051" width="14.1796875" style="313" customWidth="1"/>
    <col min="13052" max="13052" width="14.26953125" style="313" bestFit="1" customWidth="1"/>
    <col min="13053" max="13053" width="14" style="313" bestFit="1" customWidth="1"/>
    <col min="13054" max="13298" width="9.1796875" style="313"/>
    <col min="13299" max="13299" width="7" style="313" customWidth="1"/>
    <col min="13300" max="13300" width="42.1796875" style="313" customWidth="1"/>
    <col min="13301" max="13301" width="6.26953125" style="313" customWidth="1"/>
    <col min="13302" max="13302" width="17.1796875" style="313" customWidth="1"/>
    <col min="13303" max="13303" width="8.7265625" style="313" customWidth="1"/>
    <col min="13304" max="13304" width="21" style="313" customWidth="1"/>
    <col min="13305" max="13307" width="14.1796875" style="313" customWidth="1"/>
    <col min="13308" max="13308" width="14.26953125" style="313" bestFit="1" customWidth="1"/>
    <col min="13309" max="13309" width="14" style="313" bestFit="1" customWidth="1"/>
    <col min="13310" max="13554" width="9.1796875" style="313"/>
    <col min="13555" max="13555" width="7" style="313" customWidth="1"/>
    <col min="13556" max="13556" width="42.1796875" style="313" customWidth="1"/>
    <col min="13557" max="13557" width="6.26953125" style="313" customWidth="1"/>
    <col min="13558" max="13558" width="17.1796875" style="313" customWidth="1"/>
    <col min="13559" max="13559" width="8.7265625" style="313" customWidth="1"/>
    <col min="13560" max="13560" width="21" style="313" customWidth="1"/>
    <col min="13561" max="13563" width="14.1796875" style="313" customWidth="1"/>
    <col min="13564" max="13564" width="14.26953125" style="313" bestFit="1" customWidth="1"/>
    <col min="13565" max="13565" width="14" style="313" bestFit="1" customWidth="1"/>
    <col min="13566" max="13810" width="9.1796875" style="313"/>
    <col min="13811" max="13811" width="7" style="313" customWidth="1"/>
    <col min="13812" max="13812" width="42.1796875" style="313" customWidth="1"/>
    <col min="13813" max="13813" width="6.26953125" style="313" customWidth="1"/>
    <col min="13814" max="13814" width="17.1796875" style="313" customWidth="1"/>
    <col min="13815" max="13815" width="8.7265625" style="313" customWidth="1"/>
    <col min="13816" max="13816" width="21" style="313" customWidth="1"/>
    <col min="13817" max="13819" width="14.1796875" style="313" customWidth="1"/>
    <col min="13820" max="13820" width="14.26953125" style="313" bestFit="1" customWidth="1"/>
    <col min="13821" max="13821" width="14" style="313" bestFit="1" customWidth="1"/>
    <col min="13822" max="14066" width="9.1796875" style="313"/>
    <col min="14067" max="14067" width="7" style="313" customWidth="1"/>
    <col min="14068" max="14068" width="42.1796875" style="313" customWidth="1"/>
    <col min="14069" max="14069" width="6.26953125" style="313" customWidth="1"/>
    <col min="14070" max="14070" width="17.1796875" style="313" customWidth="1"/>
    <col min="14071" max="14071" width="8.7265625" style="313" customWidth="1"/>
    <col min="14072" max="14072" width="21" style="313" customWidth="1"/>
    <col min="14073" max="14075" width="14.1796875" style="313" customWidth="1"/>
    <col min="14076" max="14076" width="14.26953125" style="313" bestFit="1" customWidth="1"/>
    <col min="14077" max="14077" width="14" style="313" bestFit="1" customWidth="1"/>
    <col min="14078" max="14322" width="9.1796875" style="313"/>
    <col min="14323" max="14323" width="7" style="313" customWidth="1"/>
    <col min="14324" max="14324" width="42.1796875" style="313" customWidth="1"/>
    <col min="14325" max="14325" width="6.26953125" style="313" customWidth="1"/>
    <col min="14326" max="14326" width="17.1796875" style="313" customWidth="1"/>
    <col min="14327" max="14327" width="8.7265625" style="313" customWidth="1"/>
    <col min="14328" max="14328" width="21" style="313" customWidth="1"/>
    <col min="14329" max="14331" width="14.1796875" style="313" customWidth="1"/>
    <col min="14332" max="14332" width="14.26953125" style="313" bestFit="1" customWidth="1"/>
    <col min="14333" max="14333" width="14" style="313" bestFit="1" customWidth="1"/>
    <col min="14334" max="14578" width="9.1796875" style="313"/>
    <col min="14579" max="14579" width="7" style="313" customWidth="1"/>
    <col min="14580" max="14580" width="42.1796875" style="313" customWidth="1"/>
    <col min="14581" max="14581" width="6.26953125" style="313" customWidth="1"/>
    <col min="14582" max="14582" width="17.1796875" style="313" customWidth="1"/>
    <col min="14583" max="14583" width="8.7265625" style="313" customWidth="1"/>
    <col min="14584" max="14584" width="21" style="313" customWidth="1"/>
    <col min="14585" max="14587" width="14.1796875" style="313" customWidth="1"/>
    <col min="14588" max="14588" width="14.26953125" style="313" bestFit="1" customWidth="1"/>
    <col min="14589" max="14589" width="14" style="313" bestFit="1" customWidth="1"/>
    <col min="14590" max="14834" width="9.1796875" style="313"/>
    <col min="14835" max="14835" width="7" style="313" customWidth="1"/>
    <col min="14836" max="14836" width="42.1796875" style="313" customWidth="1"/>
    <col min="14837" max="14837" width="6.26953125" style="313" customWidth="1"/>
    <col min="14838" max="14838" width="17.1796875" style="313" customWidth="1"/>
    <col min="14839" max="14839" width="8.7265625" style="313" customWidth="1"/>
    <col min="14840" max="14840" width="21" style="313" customWidth="1"/>
    <col min="14841" max="14843" width="14.1796875" style="313" customWidth="1"/>
    <col min="14844" max="14844" width="14.26953125" style="313" bestFit="1" customWidth="1"/>
    <col min="14845" max="14845" width="14" style="313" bestFit="1" customWidth="1"/>
    <col min="14846" max="15090" width="9.1796875" style="313"/>
    <col min="15091" max="15091" width="7" style="313" customWidth="1"/>
    <col min="15092" max="15092" width="42.1796875" style="313" customWidth="1"/>
    <col min="15093" max="15093" width="6.26953125" style="313" customWidth="1"/>
    <col min="15094" max="15094" width="17.1796875" style="313" customWidth="1"/>
    <col min="15095" max="15095" width="8.7265625" style="313" customWidth="1"/>
    <col min="15096" max="15096" width="21" style="313" customWidth="1"/>
    <col min="15097" max="15099" width="14.1796875" style="313" customWidth="1"/>
    <col min="15100" max="15100" width="14.26953125" style="313" bestFit="1" customWidth="1"/>
    <col min="15101" max="15101" width="14" style="313" bestFit="1" customWidth="1"/>
    <col min="15102" max="15346" width="9.1796875" style="313"/>
    <col min="15347" max="15347" width="7" style="313" customWidth="1"/>
    <col min="15348" max="15348" width="42.1796875" style="313" customWidth="1"/>
    <col min="15349" max="15349" width="6.26953125" style="313" customWidth="1"/>
    <col min="15350" max="15350" width="17.1796875" style="313" customWidth="1"/>
    <col min="15351" max="15351" width="8.7265625" style="313" customWidth="1"/>
    <col min="15352" max="15352" width="21" style="313" customWidth="1"/>
    <col min="15353" max="15355" width="14.1796875" style="313" customWidth="1"/>
    <col min="15356" max="15356" width="14.26953125" style="313" bestFit="1" customWidth="1"/>
    <col min="15357" max="15357" width="14" style="313" bestFit="1" customWidth="1"/>
    <col min="15358" max="15602" width="9.1796875" style="313"/>
    <col min="15603" max="15603" width="7" style="313" customWidth="1"/>
    <col min="15604" max="15604" width="42.1796875" style="313" customWidth="1"/>
    <col min="15605" max="15605" width="6.26953125" style="313" customWidth="1"/>
    <col min="15606" max="15606" width="17.1796875" style="313" customWidth="1"/>
    <col min="15607" max="15607" width="8.7265625" style="313" customWidth="1"/>
    <col min="15608" max="15608" width="21" style="313" customWidth="1"/>
    <col min="15609" max="15611" width="14.1796875" style="313" customWidth="1"/>
    <col min="15612" max="15612" width="14.26953125" style="313" bestFit="1" customWidth="1"/>
    <col min="15613" max="15613" width="14" style="313" bestFit="1" customWidth="1"/>
    <col min="15614" max="15858" width="9.1796875" style="313"/>
    <col min="15859" max="15859" width="7" style="313" customWidth="1"/>
    <col min="15860" max="15860" width="42.1796875" style="313" customWidth="1"/>
    <col min="15861" max="15861" width="6.26953125" style="313" customWidth="1"/>
    <col min="15862" max="15862" width="17.1796875" style="313" customWidth="1"/>
    <col min="15863" max="15863" width="8.7265625" style="313" customWidth="1"/>
    <col min="15864" max="15864" width="21" style="313" customWidth="1"/>
    <col min="15865" max="15867" width="14.1796875" style="313" customWidth="1"/>
    <col min="15868" max="15868" width="14.26953125" style="313" bestFit="1" customWidth="1"/>
    <col min="15869" max="15869" width="14" style="313" bestFit="1" customWidth="1"/>
    <col min="15870" max="16114" width="9.1796875" style="313"/>
    <col min="16115" max="16115" width="7" style="313" customWidth="1"/>
    <col min="16116" max="16116" width="42.1796875" style="313" customWidth="1"/>
    <col min="16117" max="16117" width="6.26953125" style="313" customWidth="1"/>
    <col min="16118" max="16118" width="17.1796875" style="313" customWidth="1"/>
    <col min="16119" max="16119" width="8.7265625" style="313" customWidth="1"/>
    <col min="16120" max="16120" width="21" style="313" customWidth="1"/>
    <col min="16121" max="16123" width="14.1796875" style="313" customWidth="1"/>
    <col min="16124" max="16124" width="14.26953125" style="313" bestFit="1" customWidth="1"/>
    <col min="16125" max="16125" width="14" style="313" bestFit="1" customWidth="1"/>
    <col min="16126" max="16384" width="9.1796875" style="313"/>
  </cols>
  <sheetData>
    <row r="1" spans="1:16" ht="31.5" customHeight="1">
      <c r="A1" s="1061"/>
      <c r="B1" s="1061" t="s">
        <v>1002</v>
      </c>
      <c r="C1" s="1062"/>
      <c r="D1" s="1062"/>
      <c r="E1" s="1063" t="str">
        <f>'DIT''1217'!A4</f>
        <v>PER 31 DEC 2017</v>
      </c>
      <c r="F1" s="1064"/>
      <c r="G1" s="1065">
        <f>G336</f>
        <v>0.34999847412109375</v>
      </c>
      <c r="H1" s="1066"/>
      <c r="L1" s="1067">
        <v>-4263938796.3000107</v>
      </c>
    </row>
    <row r="2" spans="1:16" ht="12.75" customHeight="1">
      <c r="A2" s="265" t="s">
        <v>1003</v>
      </c>
      <c r="B2" s="265" t="s">
        <v>1004</v>
      </c>
      <c r="C2" s="1068"/>
      <c r="D2" s="1068"/>
      <c r="E2" s="1069" t="s">
        <v>1005</v>
      </c>
      <c r="F2" s="1070" t="s">
        <v>1006</v>
      </c>
      <c r="G2" s="1070" t="s">
        <v>1007</v>
      </c>
      <c r="H2" s="1117" t="s">
        <v>1008</v>
      </c>
      <c r="J2" s="859" t="s">
        <v>1058</v>
      </c>
      <c r="L2" s="1071">
        <f>SUM(H3:H157)-H154</f>
        <v>51252551662.26001</v>
      </c>
      <c r="M2" s="313" t="s">
        <v>1009</v>
      </c>
    </row>
    <row r="3" spans="1:16" s="1123" customFormat="1">
      <c r="A3" s="1079">
        <v>1</v>
      </c>
      <c r="B3" s="1079" t="s">
        <v>601</v>
      </c>
      <c r="C3" s="1120" t="s">
        <v>11</v>
      </c>
      <c r="D3" s="1120" t="s">
        <v>1010</v>
      </c>
      <c r="E3" s="1121">
        <v>299730959.44000006</v>
      </c>
      <c r="F3" s="1122">
        <v>366306613.86000001</v>
      </c>
      <c r="G3" s="1122">
        <v>285840058</v>
      </c>
      <c r="H3" s="1119">
        <f>E3+F3-G3</f>
        <v>380197515.30000007</v>
      </c>
      <c r="J3" s="1133"/>
      <c r="K3" s="1134" t="s">
        <v>1010</v>
      </c>
      <c r="L3" s="1135">
        <f>SUMIF(D:D,K3,H:H)</f>
        <v>49223528550.330002</v>
      </c>
      <c r="M3" s="1125">
        <f>SUM(H3:H21)</f>
        <v>3852902908.9399991</v>
      </c>
      <c r="P3" s="1126" t="s">
        <v>1435</v>
      </c>
    </row>
    <row r="4" spans="1:16" s="1123" customFormat="1">
      <c r="A4" s="1079">
        <v>2</v>
      </c>
      <c r="B4" s="1079" t="s">
        <v>604</v>
      </c>
      <c r="C4" s="1120" t="s">
        <v>11</v>
      </c>
      <c r="D4" s="1120" t="s">
        <v>1010</v>
      </c>
      <c r="E4" s="1121">
        <v>46529777.069999933</v>
      </c>
      <c r="F4" s="1122">
        <v>805667677.88999999</v>
      </c>
      <c r="G4" s="1122">
        <v>706625805.88999999</v>
      </c>
      <c r="H4" s="1119">
        <f t="shared" ref="H4:H67" si="0">E4+F4-G4</f>
        <v>145571649.06999993</v>
      </c>
      <c r="J4" s="1133"/>
      <c r="K4" s="1136" t="s">
        <v>10</v>
      </c>
      <c r="L4" s="1135">
        <f>SUMIF(D:D,K4,H:H)</f>
        <v>-8255990042.4200001</v>
      </c>
      <c r="P4" s="1126" t="s">
        <v>1437</v>
      </c>
    </row>
    <row r="5" spans="1:16" s="1123" customFormat="1">
      <c r="A5" s="1079">
        <v>3</v>
      </c>
      <c r="B5" s="1079" t="s">
        <v>606</v>
      </c>
      <c r="C5" s="1120" t="s">
        <v>11</v>
      </c>
      <c r="D5" s="1120" t="s">
        <v>1010</v>
      </c>
      <c r="E5" s="1121">
        <v>35660235.639999866</v>
      </c>
      <c r="F5" s="1122">
        <v>1029486557.5599999</v>
      </c>
      <c r="G5" s="1122">
        <v>1043580064</v>
      </c>
      <c r="H5" s="1119">
        <f t="shared" si="0"/>
        <v>21566729.199999809</v>
      </c>
      <c r="J5" s="1133"/>
      <c r="K5" s="1136" t="s">
        <v>27</v>
      </c>
      <c r="L5" s="1135">
        <f>SUMIF(D:D,K5,H:H)</f>
        <v>-43343537869.350006</v>
      </c>
      <c r="P5" s="1126" t="s">
        <v>1439</v>
      </c>
    </row>
    <row r="6" spans="1:16" s="1123" customFormat="1">
      <c r="A6" s="1079">
        <v>4</v>
      </c>
      <c r="B6" s="1079" t="s">
        <v>608</v>
      </c>
      <c r="C6" s="1120" t="s">
        <v>11</v>
      </c>
      <c r="D6" s="1120" t="s">
        <v>1010</v>
      </c>
      <c r="E6" s="1121">
        <v>6731794.1700000763</v>
      </c>
      <c r="F6" s="1122">
        <v>485007583.44</v>
      </c>
      <c r="G6" s="1122">
        <v>485199459</v>
      </c>
      <c r="H6" s="1119">
        <f t="shared" si="0"/>
        <v>6539918.6100000739</v>
      </c>
      <c r="I6" s="1137"/>
      <c r="J6" s="1132"/>
      <c r="K6" s="1137"/>
      <c r="L6" s="1138">
        <f>SUM(L4:L5)</f>
        <v>-51599527911.770004</v>
      </c>
      <c r="P6" s="1126" t="s">
        <v>1441</v>
      </c>
    </row>
    <row r="7" spans="1:16" s="1123" customFormat="1">
      <c r="A7" s="1079">
        <v>5</v>
      </c>
      <c r="B7" s="1079" t="s">
        <v>610</v>
      </c>
      <c r="C7" s="1120" t="s">
        <v>11</v>
      </c>
      <c r="D7" s="1120" t="s">
        <v>1010</v>
      </c>
      <c r="E7" s="1121">
        <v>472606672.46999979</v>
      </c>
      <c r="F7" s="1122">
        <v>1419688377.8</v>
      </c>
      <c r="G7" s="1122">
        <v>872390177.42999995</v>
      </c>
      <c r="H7" s="1119">
        <f t="shared" si="0"/>
        <v>1019904872.8399998</v>
      </c>
      <c r="I7" s="1137"/>
      <c r="J7" s="1132"/>
      <c r="K7" s="1137"/>
      <c r="L7" s="1139">
        <f>+L6+L3</f>
        <v>-2375999361.4400024</v>
      </c>
      <c r="P7" s="1126" t="s">
        <v>1443</v>
      </c>
    </row>
    <row r="8" spans="1:16" s="1123" customFormat="1">
      <c r="A8" s="1079"/>
      <c r="B8" s="1079" t="s">
        <v>1120</v>
      </c>
      <c r="C8" s="1120" t="s">
        <v>11</v>
      </c>
      <c r="D8" s="1120" t="s">
        <v>1010</v>
      </c>
      <c r="E8" s="1121">
        <v>6511080.1399998665</v>
      </c>
      <c r="F8" s="1122">
        <v>630062779.17999995</v>
      </c>
      <c r="G8" s="1122">
        <v>633666166</v>
      </c>
      <c r="H8" s="1119">
        <f t="shared" si="0"/>
        <v>2907693.319999814</v>
      </c>
      <c r="I8" s="1137"/>
      <c r="J8" s="1132"/>
      <c r="K8" s="1137"/>
      <c r="L8" s="1139"/>
      <c r="P8" s="1126" t="s">
        <v>1445</v>
      </c>
    </row>
    <row r="9" spans="1:16" s="1123" customFormat="1">
      <c r="A9" s="1079"/>
      <c r="B9" s="1079" t="s">
        <v>1410</v>
      </c>
      <c r="C9" s="1120" t="s">
        <v>11</v>
      </c>
      <c r="D9" s="1120" t="s">
        <v>1010</v>
      </c>
      <c r="E9" s="1131">
        <v>0</v>
      </c>
      <c r="F9" s="1122">
        <v>10000000</v>
      </c>
      <c r="G9" s="1122">
        <v>5000000</v>
      </c>
      <c r="H9" s="1119">
        <f t="shared" si="0"/>
        <v>5000000</v>
      </c>
      <c r="I9" s="1137"/>
      <c r="J9" s="1132"/>
      <c r="K9" s="1137"/>
      <c r="L9" s="1139"/>
      <c r="P9" s="1126" t="s">
        <v>1447</v>
      </c>
    </row>
    <row r="10" spans="1:16" s="1123" customFormat="1">
      <c r="A10" s="1079"/>
      <c r="B10" s="1079" t="s">
        <v>1411</v>
      </c>
      <c r="C10" s="1120" t="s">
        <v>11</v>
      </c>
      <c r="D10" s="1120" t="s">
        <v>1010</v>
      </c>
      <c r="E10" s="1131">
        <v>0</v>
      </c>
      <c r="F10" s="1122">
        <v>2000000</v>
      </c>
      <c r="G10" s="1122">
        <v>0</v>
      </c>
      <c r="H10" s="1119">
        <f t="shared" si="0"/>
        <v>2000000</v>
      </c>
      <c r="I10" s="1137"/>
      <c r="J10" s="1132"/>
      <c r="K10" s="1137"/>
      <c r="L10" s="1139"/>
      <c r="P10" s="1126" t="s">
        <v>1901</v>
      </c>
    </row>
    <row r="11" spans="1:16" s="1123" customFormat="1">
      <c r="A11" s="1079">
        <v>6</v>
      </c>
      <c r="B11" s="1079" t="s">
        <v>616</v>
      </c>
      <c r="C11" s="1120" t="s">
        <v>11</v>
      </c>
      <c r="D11" s="1120" t="s">
        <v>1010</v>
      </c>
      <c r="E11" s="1121">
        <v>25694329.919999957</v>
      </c>
      <c r="F11" s="1122">
        <v>7527013.0800000001</v>
      </c>
      <c r="G11" s="1122">
        <v>73586.880000000005</v>
      </c>
      <c r="H11" s="1119">
        <f t="shared" si="0"/>
        <v>33147756.119999956</v>
      </c>
      <c r="J11" s="1132"/>
      <c r="P11" s="1126" t="s">
        <v>1449</v>
      </c>
    </row>
    <row r="12" spans="1:16" s="1123" customFormat="1">
      <c r="A12" s="1079">
        <v>7</v>
      </c>
      <c r="B12" s="1079" t="s">
        <v>618</v>
      </c>
      <c r="C12" s="1120" t="s">
        <v>11</v>
      </c>
      <c r="D12" s="1120" t="s">
        <v>1010</v>
      </c>
      <c r="E12" s="1121">
        <v>526692067.72000003</v>
      </c>
      <c r="F12" s="1122">
        <v>3057763.76</v>
      </c>
      <c r="G12" s="1122">
        <v>33057</v>
      </c>
      <c r="H12" s="1119">
        <f t="shared" si="0"/>
        <v>529716774.48000002</v>
      </c>
      <c r="J12" s="1132"/>
      <c r="P12" s="1126" t="s">
        <v>1451</v>
      </c>
    </row>
    <row r="13" spans="1:16">
      <c r="A13" s="265">
        <v>8</v>
      </c>
      <c r="B13" s="265" t="s">
        <v>587</v>
      </c>
      <c r="C13" s="1072" t="s">
        <v>11</v>
      </c>
      <c r="D13" s="1072" t="s">
        <v>1010</v>
      </c>
      <c r="E13" s="1063">
        <v>1600000</v>
      </c>
      <c r="F13" s="1094">
        <v>0</v>
      </c>
      <c r="G13" s="1094">
        <v>0</v>
      </c>
      <c r="H13" s="1104">
        <f t="shared" si="0"/>
        <v>1600000</v>
      </c>
      <c r="P13" t="s">
        <v>1453</v>
      </c>
    </row>
    <row r="14" spans="1:16">
      <c r="A14" s="265">
        <v>9</v>
      </c>
      <c r="B14" s="265" t="s">
        <v>589</v>
      </c>
      <c r="C14" s="1072" t="s">
        <v>11</v>
      </c>
      <c r="D14" s="1072" t="s">
        <v>1010</v>
      </c>
      <c r="E14" s="1063">
        <v>2000000</v>
      </c>
      <c r="F14" s="1094">
        <v>0</v>
      </c>
      <c r="G14" s="1094">
        <v>0</v>
      </c>
      <c r="H14" s="1104">
        <f t="shared" si="0"/>
        <v>2000000</v>
      </c>
      <c r="L14" s="1067">
        <v>527111200.10000038</v>
      </c>
      <c r="P14" t="s">
        <v>1455</v>
      </c>
    </row>
    <row r="15" spans="1:16">
      <c r="A15" s="265"/>
      <c r="B15" s="265" t="s">
        <v>1068</v>
      </c>
      <c r="C15" s="1072" t="s">
        <v>11</v>
      </c>
      <c r="D15" s="1072" t="s">
        <v>1010</v>
      </c>
      <c r="E15" s="1063">
        <v>1500000</v>
      </c>
      <c r="F15" s="1094">
        <v>0</v>
      </c>
      <c r="G15" s="1094">
        <v>0</v>
      </c>
      <c r="H15" s="1104">
        <f t="shared" si="0"/>
        <v>1500000</v>
      </c>
      <c r="L15" s="1067"/>
      <c r="P15" t="s">
        <v>1457</v>
      </c>
    </row>
    <row r="16" spans="1:16">
      <c r="A16" s="265">
        <v>10</v>
      </c>
      <c r="B16" s="265" t="s">
        <v>592</v>
      </c>
      <c r="C16" s="1072" t="s">
        <v>11</v>
      </c>
      <c r="D16" s="1072" t="s">
        <v>1010</v>
      </c>
      <c r="E16" s="1063">
        <v>1750000</v>
      </c>
      <c r="F16" s="1094">
        <v>0</v>
      </c>
      <c r="G16" s="1094">
        <v>0</v>
      </c>
      <c r="H16" s="1104">
        <f t="shared" si="0"/>
        <v>1750000</v>
      </c>
      <c r="P16" t="s">
        <v>1453</v>
      </c>
    </row>
    <row r="17" spans="1:17">
      <c r="A17" s="265">
        <v>11</v>
      </c>
      <c r="B17" s="265" t="s">
        <v>597</v>
      </c>
      <c r="C17" s="1072" t="s">
        <v>11</v>
      </c>
      <c r="D17" s="1072" t="s">
        <v>1010</v>
      </c>
      <c r="E17" s="1063">
        <v>2000000</v>
      </c>
      <c r="F17" s="1094">
        <v>0</v>
      </c>
      <c r="G17" s="1094">
        <v>0</v>
      </c>
      <c r="H17" s="1104">
        <f t="shared" si="0"/>
        <v>2000000</v>
      </c>
      <c r="P17" t="s">
        <v>1453</v>
      </c>
    </row>
    <row r="18" spans="1:17">
      <c r="A18" s="265"/>
      <c r="B18" s="265" t="s">
        <v>1368</v>
      </c>
      <c r="C18" s="1072" t="s">
        <v>11</v>
      </c>
      <c r="D18" s="1072" t="s">
        <v>1010</v>
      </c>
      <c r="E18" s="1063">
        <v>2000000</v>
      </c>
      <c r="F18" s="1094">
        <v>0</v>
      </c>
      <c r="G18" s="1094">
        <v>0</v>
      </c>
      <c r="H18" s="1104">
        <f t="shared" si="0"/>
        <v>2000000</v>
      </c>
      <c r="P18" t="s">
        <v>1453</v>
      </c>
    </row>
    <row r="19" spans="1:17">
      <c r="A19" s="265"/>
      <c r="B19" s="265" t="s">
        <v>1431</v>
      </c>
      <c r="C19" s="1072"/>
      <c r="D19" s="1072"/>
      <c r="E19" s="1063"/>
      <c r="F19" s="1094">
        <v>2000000</v>
      </c>
      <c r="G19" s="1094">
        <v>0</v>
      </c>
      <c r="H19" s="1104">
        <f t="shared" si="0"/>
        <v>2000000</v>
      </c>
      <c r="N19" s="313">
        <v>0</v>
      </c>
      <c r="O19" s="313">
        <v>2000000</v>
      </c>
      <c r="P19" t="s">
        <v>1453</v>
      </c>
    </row>
    <row r="20" spans="1:17">
      <c r="A20" s="265">
        <v>12</v>
      </c>
      <c r="B20" s="265" t="s">
        <v>1011</v>
      </c>
      <c r="C20" s="1072" t="s">
        <v>11</v>
      </c>
      <c r="D20" s="1072" t="s">
        <v>1010</v>
      </c>
      <c r="E20" s="1063">
        <v>0</v>
      </c>
      <c r="F20" s="1094">
        <v>1137000000</v>
      </c>
      <c r="G20" s="1094">
        <v>1137000000</v>
      </c>
      <c r="H20" s="1104">
        <f t="shared" si="0"/>
        <v>0</v>
      </c>
      <c r="P20" t="s">
        <v>1462</v>
      </c>
    </row>
    <row r="21" spans="1:17">
      <c r="A21" s="265">
        <v>14</v>
      </c>
      <c r="B21" s="265" t="s">
        <v>1012</v>
      </c>
      <c r="C21" s="1072" t="s">
        <v>11</v>
      </c>
      <c r="D21" s="1072" t="s">
        <v>1010</v>
      </c>
      <c r="E21" s="1063">
        <v>1689625000</v>
      </c>
      <c r="F21" s="1094">
        <v>3875000</v>
      </c>
      <c r="G21" s="1094">
        <v>0</v>
      </c>
      <c r="H21" s="1104">
        <f t="shared" si="0"/>
        <v>1693500000</v>
      </c>
      <c r="P21" t="s">
        <v>1465</v>
      </c>
    </row>
    <row r="22" spans="1:17">
      <c r="A22" s="265"/>
      <c r="B22" s="265" t="s">
        <v>1384</v>
      </c>
      <c r="C22" s="1072"/>
      <c r="D22" s="1072"/>
      <c r="E22" s="1063">
        <v>1000000000</v>
      </c>
      <c r="F22" s="1094">
        <v>0</v>
      </c>
      <c r="G22" s="1094">
        <v>0</v>
      </c>
      <c r="H22" s="1104">
        <f t="shared" si="0"/>
        <v>1000000000</v>
      </c>
      <c r="P22" t="s">
        <v>1467</v>
      </c>
    </row>
    <row r="23" spans="1:17">
      <c r="A23" s="265"/>
      <c r="B23" s="265" t="s">
        <v>1105</v>
      </c>
      <c r="C23" s="1072"/>
      <c r="D23" s="1072"/>
      <c r="E23" s="1063">
        <v>-9.9999904632568359E-2</v>
      </c>
      <c r="F23" s="1094">
        <v>1000000000.1</v>
      </c>
      <c r="G23" s="1094">
        <v>1000000000</v>
      </c>
      <c r="H23" s="1104">
        <f t="shared" si="0"/>
        <v>0</v>
      </c>
      <c r="P23" t="s">
        <v>1469</v>
      </c>
    </row>
    <row r="24" spans="1:17" s="1123" customFormat="1">
      <c r="A24" s="1079">
        <v>15</v>
      </c>
      <c r="B24" s="1079" t="s">
        <v>662</v>
      </c>
      <c r="C24" s="1120" t="s">
        <v>15</v>
      </c>
      <c r="D24" s="1120" t="s">
        <v>1010</v>
      </c>
      <c r="E24" s="1121">
        <v>96890296.170000032</v>
      </c>
      <c r="F24" s="1122">
        <v>100936005.22</v>
      </c>
      <c r="G24" s="1122">
        <v>96890317.840000004</v>
      </c>
      <c r="H24" s="1119">
        <f t="shared" si="0"/>
        <v>100935983.55000004</v>
      </c>
      <c r="J24" s="1132">
        <v>100936005.02999999</v>
      </c>
      <c r="K24" s="1127">
        <f>H24-J24</f>
        <v>-21.47999994456768</v>
      </c>
      <c r="M24" s="1125">
        <f>SUM(H24:H52)</f>
        <v>1896954048.9999995</v>
      </c>
      <c r="P24" s="1126" t="s">
        <v>1471</v>
      </c>
    </row>
    <row r="25" spans="1:17" s="1123" customFormat="1">
      <c r="A25" s="1079">
        <v>16</v>
      </c>
      <c r="B25" s="1079" t="s">
        <v>621</v>
      </c>
      <c r="C25" s="1120" t="s">
        <v>15</v>
      </c>
      <c r="D25" s="1120" t="s">
        <v>1010</v>
      </c>
      <c r="E25" s="1121">
        <v>286120309.61999989</v>
      </c>
      <c r="F25" s="1122">
        <v>177912341.78999999</v>
      </c>
      <c r="G25" s="1122">
        <v>286120311.92000002</v>
      </c>
      <c r="H25" s="1119">
        <f t="shared" si="0"/>
        <v>177912339.48999983</v>
      </c>
      <c r="J25" s="1132">
        <v>177912341.78</v>
      </c>
      <c r="K25" s="1127">
        <f t="shared" ref="K25:K68" si="1">H25-J25</f>
        <v>-2.2900001704692841</v>
      </c>
      <c r="P25" s="1126" t="s">
        <v>1471</v>
      </c>
    </row>
    <row r="26" spans="1:17" s="1123" customFormat="1">
      <c r="A26" s="1079">
        <v>17</v>
      </c>
      <c r="B26" s="1079" t="s">
        <v>623</v>
      </c>
      <c r="C26" s="1120" t="s">
        <v>15</v>
      </c>
      <c r="D26" s="1120" t="s">
        <v>1010</v>
      </c>
      <c r="E26" s="1121">
        <v>83562306.659999996</v>
      </c>
      <c r="F26" s="1122">
        <v>87216264.519999996</v>
      </c>
      <c r="G26" s="1122">
        <v>83562332</v>
      </c>
      <c r="H26" s="1119">
        <f t="shared" si="0"/>
        <v>87216239.180000007</v>
      </c>
      <c r="J26" s="1132">
        <v>87216264</v>
      </c>
      <c r="K26" s="1127">
        <f t="shared" si="1"/>
        <v>-24.819999992847443</v>
      </c>
      <c r="P26" s="1126" t="s">
        <v>1471</v>
      </c>
    </row>
    <row r="27" spans="1:17" s="1123" customFormat="1">
      <c r="A27" s="1079">
        <v>18</v>
      </c>
      <c r="B27" s="1079" t="s">
        <v>625</v>
      </c>
      <c r="C27" s="1120" t="s">
        <v>15</v>
      </c>
      <c r="D27" s="1120" t="s">
        <v>1010</v>
      </c>
      <c r="E27" s="1121">
        <v>242866236.62</v>
      </c>
      <c r="F27" s="1122">
        <v>265101951.94999999</v>
      </c>
      <c r="G27" s="1122">
        <v>242866240</v>
      </c>
      <c r="H27" s="1119">
        <f t="shared" si="0"/>
        <v>265101948.56999999</v>
      </c>
      <c r="J27" s="1132">
        <v>265101952</v>
      </c>
      <c r="K27" s="1127">
        <f t="shared" si="1"/>
        <v>-3.4300000071525574</v>
      </c>
      <c r="P27" s="1126" t="s">
        <v>1471</v>
      </c>
    </row>
    <row r="28" spans="1:17" s="1123" customFormat="1">
      <c r="A28" s="1079">
        <v>19</v>
      </c>
      <c r="B28" s="1079" t="s">
        <v>627</v>
      </c>
      <c r="C28" s="1120" t="s">
        <v>15</v>
      </c>
      <c r="D28" s="1120" t="s">
        <v>1010</v>
      </c>
      <c r="E28" s="1121">
        <v>359986582.36000001</v>
      </c>
      <c r="F28" s="1122">
        <v>390520135.86000001</v>
      </c>
      <c r="G28" s="1122">
        <v>359986582.36000001</v>
      </c>
      <c r="H28" s="1119">
        <f t="shared" si="0"/>
        <v>390520135.86000001</v>
      </c>
      <c r="J28" s="1132">
        <v>390520135.86000001</v>
      </c>
      <c r="K28" s="1127">
        <f t="shared" si="1"/>
        <v>0</v>
      </c>
      <c r="P28" s="1126" t="s">
        <v>1471</v>
      </c>
    </row>
    <row r="29" spans="1:17" s="1123" customFormat="1">
      <c r="A29" s="1079">
        <v>20</v>
      </c>
      <c r="B29" s="1079" t="s">
        <v>629</v>
      </c>
      <c r="C29" s="1120" t="s">
        <v>15</v>
      </c>
      <c r="D29" s="1120" t="s">
        <v>1010</v>
      </c>
      <c r="E29" s="1121">
        <v>153570996.67000002</v>
      </c>
      <c r="F29" s="1122">
        <v>135852989.63999999</v>
      </c>
      <c r="G29" s="1122">
        <v>153571020.72999999</v>
      </c>
      <c r="H29" s="1119">
        <f t="shared" si="0"/>
        <v>135852965.58000001</v>
      </c>
      <c r="J29" s="1132"/>
      <c r="K29" s="1127">
        <f t="shared" si="1"/>
        <v>135852965.58000001</v>
      </c>
      <c r="P29" s="1126" t="s">
        <v>1471</v>
      </c>
    </row>
    <row r="30" spans="1:17" s="1123" customFormat="1">
      <c r="A30" s="1079">
        <v>21</v>
      </c>
      <c r="B30" s="1079" t="s">
        <v>631</v>
      </c>
      <c r="C30" s="1120" t="s">
        <v>15</v>
      </c>
      <c r="D30" s="1120" t="s">
        <v>1010</v>
      </c>
      <c r="E30" s="1121">
        <v>7453462.5600000005</v>
      </c>
      <c r="F30" s="1122">
        <v>7794340.4800000004</v>
      </c>
      <c r="G30" s="1122">
        <v>7449078.8300000001</v>
      </c>
      <c r="H30" s="1119">
        <f t="shared" si="0"/>
        <v>7798724.2100000009</v>
      </c>
      <c r="J30" s="1132"/>
      <c r="K30" s="1127">
        <f t="shared" si="1"/>
        <v>7798724.2100000009</v>
      </c>
      <c r="P30" s="1126" t="s">
        <v>1471</v>
      </c>
      <c r="Q30" s="1123" t="s">
        <v>1904</v>
      </c>
    </row>
    <row r="31" spans="1:17" s="1123" customFormat="1">
      <c r="A31" s="1079">
        <v>22</v>
      </c>
      <c r="B31" s="1079" t="s">
        <v>633</v>
      </c>
      <c r="C31" s="1120" t="s">
        <v>15</v>
      </c>
      <c r="D31" s="1120" t="s">
        <v>1010</v>
      </c>
      <c r="E31" s="1121">
        <v>35948154.619999997</v>
      </c>
      <c r="F31" s="1122">
        <v>37142296.140000001</v>
      </c>
      <c r="G31" s="1122">
        <v>35948176.700000003</v>
      </c>
      <c r="H31" s="1119">
        <f t="shared" si="0"/>
        <v>37142274.059999987</v>
      </c>
      <c r="J31" s="1132">
        <v>37142296.140000001</v>
      </c>
      <c r="K31" s="1127">
        <f t="shared" si="1"/>
        <v>-22.080000013113022</v>
      </c>
      <c r="P31" s="1126" t="s">
        <v>1471</v>
      </c>
    </row>
    <row r="32" spans="1:17" s="1123" customFormat="1">
      <c r="A32" s="1079">
        <v>23</v>
      </c>
      <c r="B32" s="1079" t="s">
        <v>635</v>
      </c>
      <c r="C32" s="1120" t="s">
        <v>15</v>
      </c>
      <c r="D32" s="1120" t="s">
        <v>1010</v>
      </c>
      <c r="E32" s="1121">
        <v>3803538.7699999996</v>
      </c>
      <c r="F32" s="1122">
        <v>7542526.3399999999</v>
      </c>
      <c r="G32" s="1122">
        <v>7607119.7800000003</v>
      </c>
      <c r="H32" s="1119">
        <f t="shared" si="0"/>
        <v>3738945.3299999991</v>
      </c>
      <c r="J32" s="1132">
        <v>3738966.45</v>
      </c>
      <c r="K32" s="1127">
        <f t="shared" si="1"/>
        <v>-21.120000001043081</v>
      </c>
      <c r="P32" s="1126" t="s">
        <v>1471</v>
      </c>
    </row>
    <row r="33" spans="1:16" s="1123" customFormat="1">
      <c r="A33" s="1079">
        <v>24</v>
      </c>
      <c r="B33" s="1079" t="s">
        <v>637</v>
      </c>
      <c r="C33" s="1120" t="s">
        <v>15</v>
      </c>
      <c r="D33" s="1120" t="s">
        <v>1010</v>
      </c>
      <c r="E33" s="1121">
        <v>11265266.129999995</v>
      </c>
      <c r="F33" s="1122">
        <v>12898942.029999999</v>
      </c>
      <c r="G33" s="1122">
        <v>11265284.4</v>
      </c>
      <c r="H33" s="1119">
        <f t="shared" si="0"/>
        <v>12898923.759999996</v>
      </c>
      <c r="J33" s="1132">
        <v>12898942.029999999</v>
      </c>
      <c r="K33" s="1127">
        <f t="shared" si="1"/>
        <v>-18.270000003278255</v>
      </c>
      <c r="P33" s="1126" t="s">
        <v>1471</v>
      </c>
    </row>
    <row r="34" spans="1:16" s="1123" customFormat="1">
      <c r="A34" s="1079">
        <v>25</v>
      </c>
      <c r="B34" s="1079" t="s">
        <v>639</v>
      </c>
      <c r="C34" s="1120" t="s">
        <v>15</v>
      </c>
      <c r="D34" s="1120" t="s">
        <v>1010</v>
      </c>
      <c r="E34" s="1121">
        <v>6281273.6999999993</v>
      </c>
      <c r="F34" s="1122">
        <v>761297.72</v>
      </c>
      <c r="G34" s="1122">
        <v>6281273.7000000002</v>
      </c>
      <c r="H34" s="1119">
        <f t="shared" si="0"/>
        <v>761297.71999999881</v>
      </c>
      <c r="J34" s="1132">
        <v>761297.72</v>
      </c>
      <c r="K34" s="1127">
        <f t="shared" si="1"/>
        <v>-1.1641532182693481E-9</v>
      </c>
      <c r="P34" s="1126" t="s">
        <v>1471</v>
      </c>
    </row>
    <row r="35" spans="1:16" s="1123" customFormat="1">
      <c r="A35" s="1079">
        <v>26</v>
      </c>
      <c r="B35" s="1079" t="s">
        <v>644</v>
      </c>
      <c r="C35" s="1120" t="s">
        <v>15</v>
      </c>
      <c r="D35" s="1120" t="s">
        <v>1010</v>
      </c>
      <c r="E35" s="1121">
        <v>13999831.530000001</v>
      </c>
      <c r="F35" s="1122">
        <v>14542613.75</v>
      </c>
      <c r="G35" s="1122">
        <v>13999835</v>
      </c>
      <c r="H35" s="1119">
        <f t="shared" si="0"/>
        <v>14542610.280000001</v>
      </c>
      <c r="J35" s="1132">
        <v>14542614</v>
      </c>
      <c r="K35" s="1127">
        <f t="shared" si="1"/>
        <v>-3.7199999988079071</v>
      </c>
      <c r="P35" s="1126" t="s">
        <v>1471</v>
      </c>
    </row>
    <row r="36" spans="1:16" s="1123" customFormat="1">
      <c r="A36" s="1079">
        <v>27</v>
      </c>
      <c r="B36" s="1079" t="s">
        <v>646</v>
      </c>
      <c r="C36" s="1120" t="s">
        <v>15</v>
      </c>
      <c r="D36" s="1120" t="s">
        <v>1010</v>
      </c>
      <c r="E36" s="1121">
        <v>45976193.130000025</v>
      </c>
      <c r="F36" s="1122">
        <v>29700318.969999999</v>
      </c>
      <c r="G36" s="1122">
        <v>45978456.850000001</v>
      </c>
      <c r="H36" s="1119">
        <f t="shared" si="0"/>
        <v>29698055.250000022</v>
      </c>
      <c r="J36" s="1132">
        <v>29698055.25</v>
      </c>
      <c r="K36" s="1127">
        <f t="shared" si="1"/>
        <v>0</v>
      </c>
      <c r="P36" s="1126" t="s">
        <v>1471</v>
      </c>
    </row>
    <row r="37" spans="1:16" s="1123" customFormat="1">
      <c r="A37" s="1079">
        <v>28</v>
      </c>
      <c r="B37" s="1079" t="s">
        <v>648</v>
      </c>
      <c r="C37" s="1120" t="s">
        <v>15</v>
      </c>
      <c r="D37" s="1120" t="s">
        <v>1010</v>
      </c>
      <c r="E37" s="1121">
        <v>1.7400000002235174</v>
      </c>
      <c r="F37" s="1122">
        <v>0</v>
      </c>
      <c r="G37" s="1122">
        <v>1.74</v>
      </c>
      <c r="H37" s="1119">
        <f t="shared" si="0"/>
        <v>2.2351742678949904E-10</v>
      </c>
      <c r="J37" s="1132"/>
      <c r="K37" s="1127">
        <f t="shared" si="1"/>
        <v>2.2351742678949904E-10</v>
      </c>
      <c r="P37" s="1126" t="s">
        <v>1471</v>
      </c>
    </row>
    <row r="38" spans="1:16" s="1123" customFormat="1">
      <c r="A38" s="1079">
        <v>29</v>
      </c>
      <c r="B38" s="1079" t="s">
        <v>650</v>
      </c>
      <c r="C38" s="1120" t="s">
        <v>15</v>
      </c>
      <c r="D38" s="1120" t="s">
        <v>1010</v>
      </c>
      <c r="E38" s="1121">
        <v>7010362.8999999994</v>
      </c>
      <c r="F38" s="1122">
        <v>6942392.0199999996</v>
      </c>
      <c r="G38" s="1122">
        <v>7010363.4199999999</v>
      </c>
      <c r="H38" s="1119">
        <f t="shared" si="0"/>
        <v>6942391.4999999981</v>
      </c>
      <c r="J38" s="1132">
        <v>6942392.0199999996</v>
      </c>
      <c r="K38" s="1127">
        <f t="shared" si="1"/>
        <v>-0.52000000141561031</v>
      </c>
      <c r="P38" s="1126" t="s">
        <v>1471</v>
      </c>
    </row>
    <row r="39" spans="1:16" s="1123" customFormat="1">
      <c r="A39" s="1079">
        <v>30</v>
      </c>
      <c r="B39" s="1079" t="s">
        <v>652</v>
      </c>
      <c r="C39" s="1120" t="s">
        <v>15</v>
      </c>
      <c r="D39" s="1120" t="s">
        <v>1010</v>
      </c>
      <c r="E39" s="1121">
        <v>7786505.8599999994</v>
      </c>
      <c r="F39" s="1122">
        <v>7934962.2199999997</v>
      </c>
      <c r="G39" s="1122">
        <v>7786509</v>
      </c>
      <c r="H39" s="1119">
        <f t="shared" si="0"/>
        <v>7934959.0799999982</v>
      </c>
      <c r="J39" s="1132">
        <v>7934962</v>
      </c>
      <c r="K39" s="1127">
        <f t="shared" si="1"/>
        <v>-2.9200000017881393</v>
      </c>
      <c r="P39" s="1126" t="s">
        <v>1471</v>
      </c>
    </row>
    <row r="40" spans="1:16" s="1123" customFormat="1">
      <c r="A40" s="1079">
        <v>31</v>
      </c>
      <c r="B40" s="1079" t="s">
        <v>654</v>
      </c>
      <c r="C40" s="1120" t="s">
        <v>15</v>
      </c>
      <c r="D40" s="1120" t="s">
        <v>1010</v>
      </c>
      <c r="E40" s="1121">
        <v>20988191.459999993</v>
      </c>
      <c r="F40" s="1122">
        <v>21706276.129999999</v>
      </c>
      <c r="G40" s="1122">
        <v>20988191.449999999</v>
      </c>
      <c r="H40" s="1119">
        <f t="shared" si="0"/>
        <v>21706276.139999989</v>
      </c>
      <c r="J40" s="1132">
        <v>21706276.140000001</v>
      </c>
      <c r="K40" s="1127">
        <f t="shared" si="1"/>
        <v>0</v>
      </c>
      <c r="P40" s="1126" t="s">
        <v>1471</v>
      </c>
    </row>
    <row r="41" spans="1:16" s="1123" customFormat="1">
      <c r="A41" s="1079">
        <v>32</v>
      </c>
      <c r="B41" s="1079" t="s">
        <v>656</v>
      </c>
      <c r="C41" s="1120" t="s">
        <v>15</v>
      </c>
      <c r="D41" s="1120" t="s">
        <v>1010</v>
      </c>
      <c r="E41" s="1121">
        <v>31979648.839999992</v>
      </c>
      <c r="F41" s="1122">
        <v>35365601.090000004</v>
      </c>
      <c r="G41" s="1122">
        <v>31979648.850000001</v>
      </c>
      <c r="H41" s="1119">
        <f t="shared" si="0"/>
        <v>35365601.079999991</v>
      </c>
      <c r="J41" s="1132">
        <v>35365601.079999998</v>
      </c>
      <c r="K41" s="1127">
        <f t="shared" si="1"/>
        <v>0</v>
      </c>
      <c r="P41" s="1126" t="s">
        <v>1471</v>
      </c>
    </row>
    <row r="42" spans="1:16" s="1123" customFormat="1">
      <c r="A42" s="1079">
        <v>33</v>
      </c>
      <c r="B42" s="1079" t="s">
        <v>660</v>
      </c>
      <c r="C42" s="1120" t="s">
        <v>15</v>
      </c>
      <c r="D42" s="1120" t="s">
        <v>1010</v>
      </c>
      <c r="E42" s="1121">
        <v>78882092.789999992</v>
      </c>
      <c r="F42" s="1122">
        <v>102765869.95999999</v>
      </c>
      <c r="G42" s="1122">
        <v>78882096.159999996</v>
      </c>
      <c r="H42" s="1119">
        <f t="shared" si="0"/>
        <v>102765866.59</v>
      </c>
      <c r="J42" s="1132">
        <v>102765869.95999999</v>
      </c>
      <c r="K42" s="1127">
        <f t="shared" si="1"/>
        <v>-3.3699999898672104</v>
      </c>
      <c r="P42" s="1126" t="s">
        <v>1471</v>
      </c>
    </row>
    <row r="43" spans="1:16" s="1123" customFormat="1">
      <c r="A43" s="1079">
        <v>34</v>
      </c>
      <c r="B43" s="1079" t="s">
        <v>658</v>
      </c>
      <c r="C43" s="1120" t="s">
        <v>15</v>
      </c>
      <c r="D43" s="1120" t="s">
        <v>1010</v>
      </c>
      <c r="E43" s="1121">
        <v>19093012.210000001</v>
      </c>
      <c r="F43" s="1122">
        <v>16126557.26</v>
      </c>
      <c r="G43" s="1122">
        <v>19093015</v>
      </c>
      <c r="H43" s="1119">
        <f t="shared" si="0"/>
        <v>16126554.469999999</v>
      </c>
      <c r="J43" s="1132">
        <v>16126557</v>
      </c>
      <c r="K43" s="1127">
        <f t="shared" si="1"/>
        <v>-2.5300000011920929</v>
      </c>
      <c r="P43" s="1126" t="s">
        <v>1471</v>
      </c>
    </row>
    <row r="44" spans="1:16" s="1123" customFormat="1">
      <c r="A44" s="1079">
        <v>35</v>
      </c>
      <c r="B44" s="1079" t="s">
        <v>664</v>
      </c>
      <c r="C44" s="1120" t="s">
        <v>15</v>
      </c>
      <c r="D44" s="1120" t="s">
        <v>1010</v>
      </c>
      <c r="E44" s="1121">
        <v>32766139.229999997</v>
      </c>
      <c r="F44" s="1122">
        <v>34273673.560000002</v>
      </c>
      <c r="G44" s="1122">
        <v>32766139.219999999</v>
      </c>
      <c r="H44" s="1119">
        <f t="shared" si="0"/>
        <v>34273673.57</v>
      </c>
      <c r="J44" s="1132">
        <v>34273673.57</v>
      </c>
      <c r="K44" s="1127">
        <f t="shared" si="1"/>
        <v>0</v>
      </c>
      <c r="P44" s="1126" t="s">
        <v>1471</v>
      </c>
    </row>
    <row r="45" spans="1:16" s="1123" customFormat="1">
      <c r="A45" s="1079">
        <v>36</v>
      </c>
      <c r="B45" s="1079" t="s">
        <v>666</v>
      </c>
      <c r="C45" s="1120" t="s">
        <v>15</v>
      </c>
      <c r="D45" s="1120" t="s">
        <v>1010</v>
      </c>
      <c r="E45" s="1121">
        <v>7651145.4100000001</v>
      </c>
      <c r="F45" s="1122">
        <v>7384744.1200000001</v>
      </c>
      <c r="G45" s="1122">
        <v>7651145.4000000004</v>
      </c>
      <c r="H45" s="1119">
        <f t="shared" si="0"/>
        <v>7384744.1300000008</v>
      </c>
      <c r="J45" s="1132">
        <v>7384744.1299999999</v>
      </c>
      <c r="K45" s="1127">
        <f t="shared" si="1"/>
        <v>0</v>
      </c>
      <c r="P45" s="1126" t="s">
        <v>1471</v>
      </c>
    </row>
    <row r="46" spans="1:16" s="1123" customFormat="1">
      <c r="A46" s="1079">
        <v>37</v>
      </c>
      <c r="B46" s="1079" t="s">
        <v>668</v>
      </c>
      <c r="C46" s="1120" t="s">
        <v>15</v>
      </c>
      <c r="D46" s="1120" t="s">
        <v>1010</v>
      </c>
      <c r="E46" s="1121">
        <v>30504170.659999996</v>
      </c>
      <c r="F46" s="1122">
        <v>31758661.75</v>
      </c>
      <c r="G46" s="1122">
        <v>30504173</v>
      </c>
      <c r="H46" s="1119">
        <f t="shared" si="0"/>
        <v>31758659.409999996</v>
      </c>
      <c r="J46" s="1132">
        <v>31758662</v>
      </c>
      <c r="K46" s="1127">
        <f t="shared" si="1"/>
        <v>-2.5900000035762787</v>
      </c>
      <c r="P46" s="1126" t="s">
        <v>1471</v>
      </c>
    </row>
    <row r="47" spans="1:16" s="1123" customFormat="1">
      <c r="A47" s="1079">
        <v>38</v>
      </c>
      <c r="B47" s="1079" t="s">
        <v>670</v>
      </c>
      <c r="C47" s="1120" t="s">
        <v>15</v>
      </c>
      <c r="D47" s="1120" t="s">
        <v>1010</v>
      </c>
      <c r="E47" s="1121">
        <v>5120861.3600000031</v>
      </c>
      <c r="F47" s="1122">
        <v>5312992.17</v>
      </c>
      <c r="G47" s="1122">
        <v>5120862</v>
      </c>
      <c r="H47" s="1119">
        <f t="shared" si="0"/>
        <v>5312991.5300000031</v>
      </c>
      <c r="J47" s="1132">
        <v>5312992</v>
      </c>
      <c r="K47" s="1127">
        <f t="shared" si="1"/>
        <v>-0.46999999694526196</v>
      </c>
      <c r="P47" s="1126" t="s">
        <v>1471</v>
      </c>
    </row>
    <row r="48" spans="1:16" s="1123" customFormat="1">
      <c r="A48" s="1079">
        <v>39</v>
      </c>
      <c r="B48" s="1079" t="s">
        <v>672</v>
      </c>
      <c r="C48" s="1120" t="s">
        <v>15</v>
      </c>
      <c r="D48" s="1120" t="s">
        <v>1010</v>
      </c>
      <c r="E48" s="1121">
        <v>259905622.88999999</v>
      </c>
      <c r="F48" s="1122">
        <v>281253471.88999999</v>
      </c>
      <c r="G48" s="1122">
        <v>259905623.78</v>
      </c>
      <c r="H48" s="1119">
        <f t="shared" si="0"/>
        <v>281253471</v>
      </c>
      <c r="J48" s="1132">
        <v>281253471</v>
      </c>
      <c r="K48" s="1127">
        <f t="shared" si="1"/>
        <v>0</v>
      </c>
      <c r="P48" s="1126" t="s">
        <v>1471</v>
      </c>
    </row>
    <row r="49" spans="1:17" s="1123" customFormat="1">
      <c r="A49" s="1079">
        <v>40</v>
      </c>
      <c r="B49" s="1079" t="s">
        <v>674</v>
      </c>
      <c r="C49" s="1120" t="s">
        <v>15</v>
      </c>
      <c r="D49" s="1120" t="s">
        <v>1010</v>
      </c>
      <c r="E49" s="1121">
        <v>3930537.34</v>
      </c>
      <c r="F49" s="1122">
        <v>4080174.37</v>
      </c>
      <c r="G49" s="1122">
        <v>3930537.35</v>
      </c>
      <c r="H49" s="1119">
        <f t="shared" si="0"/>
        <v>4080174.36</v>
      </c>
      <c r="J49" s="1132">
        <v>4080174.36</v>
      </c>
      <c r="K49" s="1127">
        <f t="shared" si="1"/>
        <v>0</v>
      </c>
      <c r="P49" s="1126" t="s">
        <v>1471</v>
      </c>
    </row>
    <row r="50" spans="1:17" s="1123" customFormat="1">
      <c r="A50" s="1079">
        <v>41</v>
      </c>
      <c r="B50" s="1079" t="s">
        <v>676</v>
      </c>
      <c r="C50" s="1120" t="s">
        <v>15</v>
      </c>
      <c r="D50" s="1120" t="s">
        <v>1010</v>
      </c>
      <c r="E50" s="1121">
        <v>20185758.499999996</v>
      </c>
      <c r="F50" s="1122">
        <v>17620779.359999999</v>
      </c>
      <c r="G50" s="1122">
        <v>20185758.510000002</v>
      </c>
      <c r="H50" s="1119">
        <f t="shared" si="0"/>
        <v>17620779.349999998</v>
      </c>
      <c r="J50" s="1132">
        <v>17620779.350000001</v>
      </c>
      <c r="K50" s="1127">
        <f t="shared" si="1"/>
        <v>0</v>
      </c>
      <c r="P50" s="1126" t="s">
        <v>1471</v>
      </c>
    </row>
    <row r="51" spans="1:17" s="1123" customFormat="1">
      <c r="A51" s="1079">
        <v>42</v>
      </c>
      <c r="B51" s="1079" t="s">
        <v>680</v>
      </c>
      <c r="C51" s="1120" t="s">
        <v>15</v>
      </c>
      <c r="D51" s="1120" t="s">
        <v>1010</v>
      </c>
      <c r="E51" s="1121">
        <v>7173873.5299999993</v>
      </c>
      <c r="F51" s="1122">
        <v>7503890.6600000001</v>
      </c>
      <c r="G51" s="1122">
        <v>7163873.7599999998</v>
      </c>
      <c r="H51" s="1119">
        <f t="shared" si="0"/>
        <v>7513890.4299999997</v>
      </c>
      <c r="J51" s="1132">
        <v>7513890.6600000001</v>
      </c>
      <c r="K51" s="1127">
        <f t="shared" si="1"/>
        <v>-0.23000000044703484</v>
      </c>
      <c r="P51" s="1126" t="s">
        <v>1471</v>
      </c>
    </row>
    <row r="52" spans="1:17" s="1123" customFormat="1">
      <c r="A52" s="1079">
        <v>43</v>
      </c>
      <c r="B52" s="1079" t="s">
        <v>678</v>
      </c>
      <c r="C52" s="1120" t="s">
        <v>15</v>
      </c>
      <c r="D52" s="1120" t="s">
        <v>1010</v>
      </c>
      <c r="E52" s="1121">
        <v>50403489.5</v>
      </c>
      <c r="F52" s="1122">
        <v>65211647.030000001</v>
      </c>
      <c r="G52" s="1122">
        <v>62821563.009999998</v>
      </c>
      <c r="H52" s="1119">
        <f t="shared" si="0"/>
        <v>52793573.520000003</v>
      </c>
      <c r="J52" s="1132">
        <v>52793573.030000001</v>
      </c>
      <c r="K52" s="1127">
        <f t="shared" si="1"/>
        <v>0.49000000208616257</v>
      </c>
      <c r="P52" s="1126" t="s">
        <v>1471</v>
      </c>
    </row>
    <row r="53" spans="1:17" s="1123" customFormat="1">
      <c r="A53" s="1079">
        <v>44</v>
      </c>
      <c r="B53" s="1079" t="s">
        <v>682</v>
      </c>
      <c r="C53" s="1120" t="s">
        <v>15</v>
      </c>
      <c r="D53" s="1120" t="s">
        <v>1010</v>
      </c>
      <c r="E53" s="1121">
        <v>810211.53000000119</v>
      </c>
      <c r="F53" s="1122">
        <v>127996330.53</v>
      </c>
      <c r="G53" s="1122">
        <v>810212.06</v>
      </c>
      <c r="H53" s="1119">
        <f t="shared" si="0"/>
        <v>127996330</v>
      </c>
      <c r="I53" s="1140"/>
      <c r="J53" s="1132">
        <v>127996330</v>
      </c>
      <c r="K53" s="1127">
        <f t="shared" si="1"/>
        <v>0</v>
      </c>
      <c r="L53" s="1123">
        <v>810182</v>
      </c>
      <c r="M53" s="1125"/>
      <c r="P53" s="1126" t="s">
        <v>1471</v>
      </c>
    </row>
    <row r="54" spans="1:17" s="1123" customFormat="1">
      <c r="A54" s="1079"/>
      <c r="B54" s="1079" t="s">
        <v>1403</v>
      </c>
      <c r="C54" s="1120"/>
      <c r="D54" s="1120"/>
      <c r="E54" s="1121">
        <v>25663004.300000004</v>
      </c>
      <c r="F54" s="1122">
        <v>26714473.809999999</v>
      </c>
      <c r="G54" s="1122">
        <v>25663005</v>
      </c>
      <c r="H54" s="1119">
        <f t="shared" si="0"/>
        <v>26714473.109999999</v>
      </c>
      <c r="I54" s="1140"/>
      <c r="J54" s="1132"/>
      <c r="K54" s="1127">
        <f t="shared" si="1"/>
        <v>26714473.109999999</v>
      </c>
      <c r="L54" s="1127">
        <f>K53-L53</f>
        <v>-810182</v>
      </c>
      <c r="M54" s="1125"/>
      <c r="P54" s="1126" t="s">
        <v>1471</v>
      </c>
    </row>
    <row r="55" spans="1:17" s="1123" customFormat="1">
      <c r="A55" s="1079"/>
      <c r="B55" s="1079" t="s">
        <v>1404</v>
      </c>
      <c r="C55" s="1120"/>
      <c r="D55" s="1120"/>
      <c r="E55" s="1121">
        <v>28046007.930000011</v>
      </c>
      <c r="F55" s="1122">
        <v>29065591.420000002</v>
      </c>
      <c r="G55" s="1122">
        <v>28046007.710000001</v>
      </c>
      <c r="H55" s="1119">
        <f t="shared" si="0"/>
        <v>29065591.640000008</v>
      </c>
      <c r="I55" s="1140"/>
      <c r="J55" s="1132">
        <v>29065591.43</v>
      </c>
      <c r="K55" s="1127">
        <f t="shared" si="1"/>
        <v>0.21000000834465027</v>
      </c>
      <c r="M55" s="1125"/>
      <c r="P55" s="1126" t="s">
        <v>1471</v>
      </c>
    </row>
    <row r="56" spans="1:17" s="1123" customFormat="1">
      <c r="A56" s="1079"/>
      <c r="B56" s="1079" t="s">
        <v>1376</v>
      </c>
      <c r="C56" s="1120"/>
      <c r="D56" s="1120"/>
      <c r="E56" s="1121">
        <v>28855571.580000002</v>
      </c>
      <c r="F56" s="1122">
        <v>32554713.879999999</v>
      </c>
      <c r="G56" s="1122">
        <v>30154345.989999998</v>
      </c>
      <c r="H56" s="1119">
        <f t="shared" si="0"/>
        <v>31255939.470000003</v>
      </c>
      <c r="I56" s="1140"/>
      <c r="J56" s="1132">
        <v>31255939.890000001</v>
      </c>
      <c r="K56" s="1127">
        <f t="shared" si="1"/>
        <v>-0.41999999806284904</v>
      </c>
      <c r="M56" s="1125"/>
      <c r="P56" s="1126" t="s">
        <v>1471</v>
      </c>
    </row>
    <row r="57" spans="1:17" s="1123" customFormat="1">
      <c r="A57" s="1079"/>
      <c r="B57" s="1079" t="s">
        <v>1385</v>
      </c>
      <c r="C57" s="1120"/>
      <c r="D57" s="1120"/>
      <c r="E57" s="1121">
        <v>26247988.449999999</v>
      </c>
      <c r="F57" s="1122">
        <v>27304912.800000001</v>
      </c>
      <c r="G57" s="1122">
        <v>26247988.449999999</v>
      </c>
      <c r="H57" s="1119">
        <f t="shared" si="0"/>
        <v>27304912.800000001</v>
      </c>
      <c r="I57" s="1140"/>
      <c r="J57" s="1132">
        <v>27304912.800000001</v>
      </c>
      <c r="K57" s="1127">
        <f t="shared" si="1"/>
        <v>0</v>
      </c>
      <c r="M57" s="1125"/>
      <c r="P57" s="1126" t="s">
        <v>1471</v>
      </c>
    </row>
    <row r="58" spans="1:17" s="1123" customFormat="1">
      <c r="A58" s="1079"/>
      <c r="B58" s="1079" t="s">
        <v>1388</v>
      </c>
      <c r="C58" s="1120"/>
      <c r="D58" s="1120"/>
      <c r="E58" s="1121">
        <v>15335028.269999998</v>
      </c>
      <c r="F58" s="1122">
        <v>15963180.800000001</v>
      </c>
      <c r="G58" s="1122">
        <v>15335028.27</v>
      </c>
      <c r="H58" s="1119">
        <f t="shared" si="0"/>
        <v>15963180.800000001</v>
      </c>
      <c r="I58" s="1140"/>
      <c r="J58" s="1132">
        <v>15963180.800000001</v>
      </c>
      <c r="K58" s="1127">
        <f t="shared" si="1"/>
        <v>0</v>
      </c>
      <c r="M58" s="1125"/>
      <c r="P58" s="1126" t="s">
        <v>1471</v>
      </c>
    </row>
    <row r="59" spans="1:17" s="1123" customFormat="1">
      <c r="A59" s="1079"/>
      <c r="B59" s="1079" t="s">
        <v>1389</v>
      </c>
      <c r="C59" s="1120"/>
      <c r="D59" s="1120"/>
      <c r="E59" s="1121">
        <v>10412066.83</v>
      </c>
      <c r="F59" s="1122">
        <v>0</v>
      </c>
      <c r="G59" s="1122">
        <v>10412066.83</v>
      </c>
      <c r="H59" s="1119">
        <f t="shared" si="0"/>
        <v>0</v>
      </c>
      <c r="I59" s="1140"/>
      <c r="J59" s="1132"/>
      <c r="K59" s="1127">
        <f t="shared" si="1"/>
        <v>0</v>
      </c>
      <c r="M59" s="1125"/>
      <c r="P59" s="1126" t="s">
        <v>1471</v>
      </c>
    </row>
    <row r="60" spans="1:17" s="1123" customFormat="1">
      <c r="A60" s="1079"/>
      <c r="B60" s="1079" t="s">
        <v>1390</v>
      </c>
      <c r="C60" s="1120"/>
      <c r="D60" s="1120"/>
      <c r="E60" s="1121">
        <v>12418073.449999999</v>
      </c>
      <c r="F60" s="1122">
        <v>12980458.390000001</v>
      </c>
      <c r="G60" s="1122">
        <v>12418074</v>
      </c>
      <c r="H60" s="1119">
        <f t="shared" si="0"/>
        <v>12980457.84</v>
      </c>
      <c r="I60" s="1140"/>
      <c r="J60" s="1132">
        <v>12980458.390000001</v>
      </c>
      <c r="K60" s="1127">
        <f t="shared" si="1"/>
        <v>-0.55000000074505806</v>
      </c>
      <c r="M60" s="1125"/>
      <c r="P60" s="1126" t="s">
        <v>1471</v>
      </c>
    </row>
    <row r="61" spans="1:17" s="1123" customFormat="1">
      <c r="A61" s="1079"/>
      <c r="B61" s="1079" t="s">
        <v>1391</v>
      </c>
      <c r="C61" s="1120"/>
      <c r="D61" s="1120"/>
      <c r="E61" s="1121">
        <v>5127815.78</v>
      </c>
      <c r="F61" s="1122">
        <v>9970259.3000000007</v>
      </c>
      <c r="G61" s="1122">
        <v>5127816</v>
      </c>
      <c r="H61" s="1119">
        <f t="shared" si="0"/>
        <v>9970259.0800000019</v>
      </c>
      <c r="I61" s="1140"/>
      <c r="J61" s="1132">
        <v>9970259</v>
      </c>
      <c r="K61" s="1127">
        <f t="shared" si="1"/>
        <v>8.0000001937150955E-2</v>
      </c>
      <c r="M61" s="1125"/>
      <c r="P61" s="1126" t="s">
        <v>1471</v>
      </c>
    </row>
    <row r="62" spans="1:17" s="1123" customFormat="1">
      <c r="A62" s="1079"/>
      <c r="B62" s="1079" t="s">
        <v>1401</v>
      </c>
      <c r="C62" s="1120"/>
      <c r="D62" s="1120"/>
      <c r="E62" s="1121">
        <v>4114122.12</v>
      </c>
      <c r="F62" s="1122">
        <v>21360936.52</v>
      </c>
      <c r="G62" s="1122">
        <v>4114122.12</v>
      </c>
      <c r="H62" s="1119">
        <f t="shared" si="0"/>
        <v>21360936.52</v>
      </c>
      <c r="I62" s="1140"/>
      <c r="J62" s="1132">
        <v>21360936.52</v>
      </c>
      <c r="K62" s="1127">
        <f t="shared" si="1"/>
        <v>0</v>
      </c>
      <c r="M62" s="1125"/>
      <c r="P62" s="1126" t="s">
        <v>1471</v>
      </c>
    </row>
    <row r="63" spans="1:17">
      <c r="A63" s="265"/>
      <c r="B63" s="265" t="s">
        <v>1412</v>
      </c>
      <c r="C63" s="1072"/>
      <c r="D63" s="1072"/>
      <c r="E63" s="1063">
        <v>0</v>
      </c>
      <c r="F63" s="1094">
        <v>7879904.1699999999</v>
      </c>
      <c r="G63" s="1094">
        <v>0</v>
      </c>
      <c r="H63" s="1104">
        <f t="shared" si="0"/>
        <v>7879904.1699999999</v>
      </c>
      <c r="I63" s="1075"/>
      <c r="K63" s="1071">
        <f t="shared" si="1"/>
        <v>7879904.1699999999</v>
      </c>
      <c r="M63" s="1073"/>
      <c r="P63" t="s">
        <v>1471</v>
      </c>
      <c r="Q63" s="313" t="s">
        <v>1905</v>
      </c>
    </row>
    <row r="64" spans="1:17" s="1123" customFormat="1">
      <c r="A64" s="1079"/>
      <c r="B64" s="1079" t="s">
        <v>1413</v>
      </c>
      <c r="C64" s="1120"/>
      <c r="D64" s="1120"/>
      <c r="E64" s="1121">
        <v>0</v>
      </c>
      <c r="F64" s="1122">
        <v>26221417.420000002</v>
      </c>
      <c r="G64" s="1122">
        <v>0</v>
      </c>
      <c r="H64" s="1119">
        <f t="shared" si="0"/>
        <v>26221417.420000002</v>
      </c>
      <c r="I64" s="1140"/>
      <c r="J64" s="1132">
        <v>26221417.420000002</v>
      </c>
      <c r="K64" s="1127">
        <f t="shared" si="1"/>
        <v>0</v>
      </c>
      <c r="M64" s="1125"/>
      <c r="P64" s="1126" t="s">
        <v>1471</v>
      </c>
    </row>
    <row r="65" spans="1:16" s="1123" customFormat="1">
      <c r="A65" s="1079"/>
      <c r="B65" s="1079" t="s">
        <v>1414</v>
      </c>
      <c r="C65" s="1120"/>
      <c r="D65" s="1120"/>
      <c r="E65" s="1121">
        <v>0</v>
      </c>
      <c r="F65" s="1122">
        <v>13729689.85</v>
      </c>
      <c r="G65" s="1122">
        <v>249630.85</v>
      </c>
      <c r="H65" s="1119">
        <f t="shared" si="0"/>
        <v>13480059</v>
      </c>
      <c r="I65" s="1140"/>
      <c r="J65" s="1132">
        <v>13480059</v>
      </c>
      <c r="K65" s="1140">
        <f>J65-H65</f>
        <v>0</v>
      </c>
      <c r="M65" s="1125"/>
      <c r="P65" s="1126" t="s">
        <v>1471</v>
      </c>
    </row>
    <row r="66" spans="1:16" s="1123" customFormat="1">
      <c r="A66" s="1079"/>
      <c r="B66" s="1079" t="s">
        <v>1415</v>
      </c>
      <c r="C66" s="1120"/>
      <c r="D66" s="1120"/>
      <c r="E66" s="1121">
        <v>0</v>
      </c>
      <c r="F66" s="1122">
        <v>1118330.6000000001</v>
      </c>
      <c r="G66" s="1122">
        <v>0</v>
      </c>
      <c r="H66" s="1119">
        <f t="shared" si="0"/>
        <v>1118330.6000000001</v>
      </c>
      <c r="I66" s="1140"/>
      <c r="J66" s="1132">
        <v>1118331</v>
      </c>
      <c r="K66" s="1140">
        <f t="shared" si="1"/>
        <v>-0.39999999990686774</v>
      </c>
      <c r="M66" s="1125"/>
      <c r="P66" s="1126" t="s">
        <v>1471</v>
      </c>
    </row>
    <row r="67" spans="1:16" s="1123" customFormat="1">
      <c r="A67" s="1079"/>
      <c r="B67" s="1079" t="s">
        <v>1416</v>
      </c>
      <c r="C67" s="1120"/>
      <c r="D67" s="1120"/>
      <c r="E67" s="1121">
        <v>0</v>
      </c>
      <c r="F67" s="1122">
        <v>66540600.799999997</v>
      </c>
      <c r="G67" s="1122">
        <v>0</v>
      </c>
      <c r="H67" s="1119">
        <f t="shared" si="0"/>
        <v>66540600.799999997</v>
      </c>
      <c r="I67" s="1140"/>
      <c r="J67" s="1132">
        <v>66540601</v>
      </c>
      <c r="K67" s="1140">
        <f t="shared" si="1"/>
        <v>-0.20000000298023224</v>
      </c>
      <c r="M67" s="1125"/>
      <c r="P67" s="1126" t="s">
        <v>1471</v>
      </c>
    </row>
    <row r="68" spans="1:16" s="1123" customFormat="1">
      <c r="A68" s="1079"/>
      <c r="B68" s="1079" t="s">
        <v>1417</v>
      </c>
      <c r="C68" s="1120"/>
      <c r="D68" s="1120"/>
      <c r="E68" s="1121">
        <v>0</v>
      </c>
      <c r="F68" s="1122">
        <v>2520479.46</v>
      </c>
      <c r="G68" s="1122">
        <v>0</v>
      </c>
      <c r="H68" s="1119">
        <f t="shared" ref="H68:H131" si="2">E68+F68-G68</f>
        <v>2520479.46</v>
      </c>
      <c r="I68" s="1140"/>
      <c r="J68" s="1132">
        <v>2520479.4700000002</v>
      </c>
      <c r="K68" s="1140">
        <f t="shared" si="1"/>
        <v>-1.0000000242143869E-2</v>
      </c>
      <c r="M68" s="1125"/>
      <c r="P68" s="1126" t="s">
        <v>1471</v>
      </c>
    </row>
    <row r="69" spans="1:16" s="1123" customFormat="1">
      <c r="A69" s="1079">
        <v>45</v>
      </c>
      <c r="B69" s="1079" t="s">
        <v>138</v>
      </c>
      <c r="C69" s="1120" t="s">
        <v>20</v>
      </c>
      <c r="D69" s="1120" t="s">
        <v>1010</v>
      </c>
      <c r="E69" s="1121">
        <v>4990342500</v>
      </c>
      <c r="F69" s="1122">
        <v>1364880000</v>
      </c>
      <c r="G69" s="1122">
        <v>1322227500</v>
      </c>
      <c r="H69" s="1119">
        <f t="shared" si="2"/>
        <v>5032995000</v>
      </c>
      <c r="I69" s="1140"/>
      <c r="J69" s="1132"/>
      <c r="K69" s="1140"/>
      <c r="P69" s="1126" t="s">
        <v>1511</v>
      </c>
    </row>
    <row r="70" spans="1:16" s="1123" customFormat="1">
      <c r="A70" s="1079">
        <v>46</v>
      </c>
      <c r="B70" s="1079" t="s">
        <v>145</v>
      </c>
      <c r="C70" s="1120" t="s">
        <v>20</v>
      </c>
      <c r="D70" s="1120" t="s">
        <v>1010</v>
      </c>
      <c r="E70" s="1121">
        <v>12656149500</v>
      </c>
      <c r="F70" s="1122">
        <v>0</v>
      </c>
      <c r="G70" s="1122">
        <v>0</v>
      </c>
      <c r="H70" s="1119">
        <f t="shared" si="2"/>
        <v>12656149500</v>
      </c>
      <c r="I70" s="1140"/>
      <c r="J70" s="1132"/>
      <c r="K70" s="1140"/>
      <c r="P70" s="1126" t="s">
        <v>1511</v>
      </c>
    </row>
    <row r="71" spans="1:16" s="1123" customFormat="1">
      <c r="A71" s="1079">
        <v>47</v>
      </c>
      <c r="B71" s="1079" t="s">
        <v>143</v>
      </c>
      <c r="C71" s="1120" t="s">
        <v>20</v>
      </c>
      <c r="D71" s="1120" t="s">
        <v>1010</v>
      </c>
      <c r="E71" s="1121">
        <v>4050</v>
      </c>
      <c r="F71" s="1122">
        <v>0</v>
      </c>
      <c r="G71" s="1122">
        <v>0</v>
      </c>
      <c r="H71" s="1119">
        <f t="shared" si="2"/>
        <v>4050</v>
      </c>
      <c r="I71" s="1140"/>
      <c r="J71" s="1132"/>
      <c r="K71" s="1140"/>
      <c r="P71" s="1126" t="s">
        <v>1511</v>
      </c>
    </row>
    <row r="72" spans="1:16" s="1123" customFormat="1">
      <c r="A72" s="1079">
        <v>48</v>
      </c>
      <c r="B72" s="1079" t="s">
        <v>140</v>
      </c>
      <c r="C72" s="1120" t="s">
        <v>20</v>
      </c>
      <c r="D72" s="1120" t="s">
        <v>1010</v>
      </c>
      <c r="E72" s="1121">
        <v>1304550000</v>
      </c>
      <c r="F72" s="1122">
        <v>180630000</v>
      </c>
      <c r="G72" s="1122">
        <v>195682500</v>
      </c>
      <c r="H72" s="1119">
        <f t="shared" si="2"/>
        <v>1289497500</v>
      </c>
      <c r="I72" s="1140"/>
      <c r="J72" s="1132"/>
      <c r="K72" s="1140"/>
      <c r="P72" s="1126" t="s">
        <v>1511</v>
      </c>
    </row>
    <row r="73" spans="1:16" s="1123" customFormat="1">
      <c r="A73" s="1079">
        <v>49</v>
      </c>
      <c r="B73" s="1079" t="s">
        <v>147</v>
      </c>
      <c r="C73" s="1120" t="s">
        <v>20</v>
      </c>
      <c r="D73" s="1120" t="s">
        <v>1010</v>
      </c>
      <c r="E73" s="1121">
        <v>616819500</v>
      </c>
      <c r="F73" s="1122">
        <v>26388000</v>
      </c>
      <c r="G73" s="1122">
        <v>128641500</v>
      </c>
      <c r="H73" s="1119">
        <f t="shared" si="2"/>
        <v>514566000</v>
      </c>
      <c r="I73" s="1140"/>
      <c r="J73" s="1132"/>
      <c r="K73" s="1140"/>
      <c r="P73" s="1126" t="s">
        <v>1511</v>
      </c>
    </row>
    <row r="74" spans="1:16" s="1123" customFormat="1">
      <c r="A74" s="1079">
        <v>50</v>
      </c>
      <c r="B74" s="1079" t="s">
        <v>149</v>
      </c>
      <c r="C74" s="1120" t="s">
        <v>20</v>
      </c>
      <c r="D74" s="1120" t="s">
        <v>1010</v>
      </c>
      <c r="E74" s="1121">
        <v>440375000</v>
      </c>
      <c r="F74" s="1122">
        <v>141375000</v>
      </c>
      <c r="G74" s="1122">
        <v>167375000</v>
      </c>
      <c r="H74" s="1119">
        <f t="shared" si="2"/>
        <v>414375000</v>
      </c>
      <c r="I74" s="1140"/>
      <c r="J74" s="1132"/>
      <c r="K74" s="1140"/>
      <c r="P74" s="1126" t="s">
        <v>1511</v>
      </c>
    </row>
    <row r="75" spans="1:16" s="1123" customFormat="1">
      <c r="A75" s="1079">
        <v>51</v>
      </c>
      <c r="B75" s="1079" t="s">
        <v>151</v>
      </c>
      <c r="C75" s="1120" t="s">
        <v>20</v>
      </c>
      <c r="D75" s="1120" t="s">
        <v>1010</v>
      </c>
      <c r="E75" s="1121">
        <v>215000000</v>
      </c>
      <c r="F75" s="1122">
        <v>21500000</v>
      </c>
      <c r="G75" s="1122">
        <v>17200000</v>
      </c>
      <c r="H75" s="1119">
        <f t="shared" si="2"/>
        <v>219300000</v>
      </c>
      <c r="I75" s="1141"/>
      <c r="J75" s="1132"/>
      <c r="K75" s="1141"/>
      <c r="P75" s="1126" t="s">
        <v>1511</v>
      </c>
    </row>
    <row r="76" spans="1:16" s="1123" customFormat="1">
      <c r="A76" s="1079">
        <v>53</v>
      </c>
      <c r="B76" s="1079" t="s">
        <v>156</v>
      </c>
      <c r="C76" s="1120" t="s">
        <v>20</v>
      </c>
      <c r="D76" s="1120" t="s">
        <v>1010</v>
      </c>
      <c r="E76" s="1121">
        <v>3188222898.0200005</v>
      </c>
      <c r="F76" s="1122">
        <v>13823865</v>
      </c>
      <c r="G76" s="1122">
        <v>999834900</v>
      </c>
      <c r="H76" s="1119">
        <f t="shared" si="2"/>
        <v>2202211863.0200005</v>
      </c>
      <c r="I76" s="1141"/>
      <c r="J76" s="1132"/>
      <c r="K76" s="1141"/>
      <c r="P76" s="1126" t="s">
        <v>1519</v>
      </c>
    </row>
    <row r="77" spans="1:16" s="1123" customFormat="1">
      <c r="A77" s="1079">
        <v>54</v>
      </c>
      <c r="B77" s="1079" t="s">
        <v>162</v>
      </c>
      <c r="C77" s="1120" t="s">
        <v>20</v>
      </c>
      <c r="D77" s="1120" t="s">
        <v>1010</v>
      </c>
      <c r="E77" s="1121">
        <v>251312483.48000002</v>
      </c>
      <c r="F77" s="1122">
        <v>6350526</v>
      </c>
      <c r="G77" s="1122">
        <v>26955161</v>
      </c>
      <c r="H77" s="1119">
        <f t="shared" si="2"/>
        <v>230707848.48000002</v>
      </c>
      <c r="I77" s="1141"/>
      <c r="J77" s="1132"/>
      <c r="K77" s="1141"/>
      <c r="P77" s="1126" t="s">
        <v>1519</v>
      </c>
    </row>
    <row r="78" spans="1:16" s="1123" customFormat="1">
      <c r="A78" s="1079">
        <v>55</v>
      </c>
      <c r="B78" s="1079" t="s">
        <v>164</v>
      </c>
      <c r="C78" s="1120" t="s">
        <v>20</v>
      </c>
      <c r="D78" s="1120" t="s">
        <v>1010</v>
      </c>
      <c r="E78" s="1121">
        <v>-2.5900000035762787</v>
      </c>
      <c r="F78" s="1122">
        <v>2.59</v>
      </c>
      <c r="G78" s="1122">
        <v>0</v>
      </c>
      <c r="H78" s="1119">
        <f t="shared" si="2"/>
        <v>-3.5762788286319847E-9</v>
      </c>
      <c r="J78" s="1132"/>
      <c r="P78" s="1126" t="s">
        <v>1519</v>
      </c>
    </row>
    <row r="79" spans="1:16" s="1123" customFormat="1">
      <c r="A79" s="1079">
        <v>56</v>
      </c>
      <c r="B79" s="1079" t="s">
        <v>154</v>
      </c>
      <c r="C79" s="1120" t="s">
        <v>20</v>
      </c>
      <c r="D79" s="1120" t="s">
        <v>1010</v>
      </c>
      <c r="E79" s="1121">
        <v>5158637500</v>
      </c>
      <c r="F79" s="1122">
        <v>0</v>
      </c>
      <c r="G79" s="1122">
        <v>1280500</v>
      </c>
      <c r="H79" s="1119">
        <f t="shared" si="2"/>
        <v>5157357000</v>
      </c>
      <c r="J79" s="1132"/>
      <c r="P79" s="1126" t="s">
        <v>1519</v>
      </c>
    </row>
    <row r="80" spans="1:16" s="1123" customFormat="1">
      <c r="A80" s="1079">
        <v>57</v>
      </c>
      <c r="B80" s="1079" t="s">
        <v>167</v>
      </c>
      <c r="C80" s="1120" t="s">
        <v>20</v>
      </c>
      <c r="D80" s="1120" t="s">
        <v>1010</v>
      </c>
      <c r="E80" s="1121">
        <v>-0.39</v>
      </c>
      <c r="F80" s="1122">
        <v>0.39</v>
      </c>
      <c r="G80" s="1122">
        <v>0</v>
      </c>
      <c r="H80" s="1119">
        <f t="shared" si="2"/>
        <v>0</v>
      </c>
      <c r="I80" s="1147"/>
      <c r="J80" s="1132"/>
      <c r="K80" s="1147"/>
      <c r="P80" s="1126" t="s">
        <v>1519</v>
      </c>
    </row>
    <row r="81" spans="1:16" s="1123" customFormat="1">
      <c r="A81" s="1079">
        <v>59</v>
      </c>
      <c r="B81" s="1079" t="s">
        <v>695</v>
      </c>
      <c r="C81" s="1146" t="s">
        <v>37</v>
      </c>
      <c r="D81" s="1146" t="s">
        <v>1010</v>
      </c>
      <c r="E81" s="1121">
        <v>2255733117.8000002</v>
      </c>
      <c r="F81" s="1122">
        <v>10100000</v>
      </c>
      <c r="G81" s="1122">
        <v>0</v>
      </c>
      <c r="H81" s="1119">
        <f t="shared" si="2"/>
        <v>2265833117.8000002</v>
      </c>
      <c r="J81" s="1124"/>
      <c r="P81" s="1126" t="s">
        <v>1527</v>
      </c>
    </row>
    <row r="82" spans="1:16" s="1123" customFormat="1">
      <c r="A82" s="1079">
        <v>60</v>
      </c>
      <c r="B82" s="1079" t="s">
        <v>690</v>
      </c>
      <c r="C82" s="1146" t="s">
        <v>37</v>
      </c>
      <c r="D82" s="1146" t="s">
        <v>1010</v>
      </c>
      <c r="E82" s="1121">
        <v>3093150000</v>
      </c>
      <c r="F82" s="1122">
        <v>0</v>
      </c>
      <c r="G82" s="1122">
        <v>0</v>
      </c>
      <c r="H82" s="1119">
        <f t="shared" si="2"/>
        <v>3093150000</v>
      </c>
      <c r="J82" s="1124"/>
      <c r="P82" s="1126" t="s">
        <v>1529</v>
      </c>
    </row>
    <row r="83" spans="1:16" s="1123" customFormat="1">
      <c r="A83" s="1079">
        <v>61</v>
      </c>
      <c r="B83" s="1079" t="s">
        <v>692</v>
      </c>
      <c r="C83" s="1146" t="s">
        <v>37</v>
      </c>
      <c r="D83" s="1146" t="s">
        <v>1010</v>
      </c>
      <c r="E83" s="1121">
        <v>13950000</v>
      </c>
      <c r="F83" s="1122">
        <v>0</v>
      </c>
      <c r="G83" s="1122">
        <v>0</v>
      </c>
      <c r="H83" s="1119">
        <f t="shared" si="2"/>
        <v>13950000</v>
      </c>
      <c r="J83" s="1124"/>
      <c r="P83" s="1126" t="s">
        <v>1529</v>
      </c>
    </row>
    <row r="84" spans="1:16" s="1123" customFormat="1">
      <c r="A84" s="1079">
        <v>62</v>
      </c>
      <c r="B84" s="1079" t="s">
        <v>687</v>
      </c>
      <c r="C84" s="1146" t="s">
        <v>37</v>
      </c>
      <c r="D84" s="1146" t="s">
        <v>1010</v>
      </c>
      <c r="E84" s="1121">
        <v>6418361125.1999998</v>
      </c>
      <c r="F84" s="1122">
        <v>0</v>
      </c>
      <c r="G84" s="1122">
        <v>0</v>
      </c>
      <c r="H84" s="1119">
        <f t="shared" si="2"/>
        <v>6418361125.1999998</v>
      </c>
      <c r="J84" s="1132"/>
      <c r="P84" s="1126" t="s">
        <v>1532</v>
      </c>
    </row>
    <row r="85" spans="1:16" s="1123" customFormat="1">
      <c r="A85" s="1079">
        <v>63</v>
      </c>
      <c r="B85" s="1079" t="s">
        <v>697</v>
      </c>
      <c r="C85" s="1146" t="s">
        <v>37</v>
      </c>
      <c r="D85" s="1146" t="s">
        <v>1010</v>
      </c>
      <c r="E85" s="1121">
        <v>36338100</v>
      </c>
      <c r="F85" s="1122">
        <v>0</v>
      </c>
      <c r="G85" s="1122">
        <v>0</v>
      </c>
      <c r="H85" s="1119">
        <f t="shared" si="2"/>
        <v>36338100</v>
      </c>
      <c r="J85" s="1132"/>
      <c r="P85" s="1126" t="s">
        <v>1532</v>
      </c>
    </row>
    <row r="86" spans="1:16" s="1123" customFormat="1">
      <c r="A86" s="1079">
        <v>64</v>
      </c>
      <c r="B86" s="1079" t="s">
        <v>699</v>
      </c>
      <c r="C86" s="1146" t="s">
        <v>37</v>
      </c>
      <c r="D86" s="1146" t="s">
        <v>1010</v>
      </c>
      <c r="E86" s="1121">
        <v>152439595</v>
      </c>
      <c r="F86" s="1122">
        <v>7460000</v>
      </c>
      <c r="G86" s="1122">
        <v>0</v>
      </c>
      <c r="H86" s="1119">
        <f t="shared" si="2"/>
        <v>159899595</v>
      </c>
      <c r="J86" s="1132"/>
      <c r="P86" s="1126" t="s">
        <v>1532</v>
      </c>
    </row>
    <row r="87" spans="1:16" s="1123" customFormat="1">
      <c r="A87" s="1079">
        <v>65</v>
      </c>
      <c r="B87" s="1079" t="s">
        <v>701</v>
      </c>
      <c r="C87" s="1146" t="s">
        <v>37</v>
      </c>
      <c r="D87" s="1146" t="s">
        <v>1010</v>
      </c>
      <c r="E87" s="1121">
        <v>35096920</v>
      </c>
      <c r="F87" s="1122">
        <v>0</v>
      </c>
      <c r="G87" s="1122">
        <v>0</v>
      </c>
      <c r="H87" s="1119">
        <f t="shared" si="2"/>
        <v>35096920</v>
      </c>
      <c r="J87" s="1132"/>
      <c r="P87" s="1126" t="s">
        <v>1532</v>
      </c>
    </row>
    <row r="88" spans="1:16" s="1123" customFormat="1">
      <c r="A88" s="1079">
        <v>66</v>
      </c>
      <c r="B88" s="1079" t="s">
        <v>703</v>
      </c>
      <c r="C88" s="1146" t="s">
        <v>37</v>
      </c>
      <c r="D88" s="1146" t="s">
        <v>1010</v>
      </c>
      <c r="E88" s="1121">
        <v>16642000</v>
      </c>
      <c r="F88" s="1122">
        <v>0</v>
      </c>
      <c r="G88" s="1122">
        <v>0</v>
      </c>
      <c r="H88" s="1119">
        <f t="shared" si="2"/>
        <v>16642000</v>
      </c>
      <c r="J88" s="1132"/>
      <c r="P88" s="1126" t="s">
        <v>1532</v>
      </c>
    </row>
    <row r="89" spans="1:16" s="1123" customFormat="1">
      <c r="A89" s="1079">
        <v>67</v>
      </c>
      <c r="B89" s="1079" t="s">
        <v>705</v>
      </c>
      <c r="C89" s="1146" t="s">
        <v>37</v>
      </c>
      <c r="D89" s="1146" t="s">
        <v>1010</v>
      </c>
      <c r="E89" s="1121">
        <v>15520000</v>
      </c>
      <c r="F89" s="1122">
        <v>0</v>
      </c>
      <c r="G89" s="1122">
        <v>0</v>
      </c>
      <c r="H89" s="1119">
        <f t="shared" si="2"/>
        <v>15520000</v>
      </c>
      <c r="J89" s="1132"/>
      <c r="P89" s="1126" t="s">
        <v>1532</v>
      </c>
    </row>
    <row r="90" spans="1:16" s="1123" customFormat="1">
      <c r="A90" s="1079">
        <v>68</v>
      </c>
      <c r="B90" s="1079" t="s">
        <v>707</v>
      </c>
      <c r="C90" s="1146" t="s">
        <v>37</v>
      </c>
      <c r="D90" s="1146" t="s">
        <v>1010</v>
      </c>
      <c r="E90" s="1121">
        <v>2500000</v>
      </c>
      <c r="F90" s="1122">
        <v>0</v>
      </c>
      <c r="G90" s="1122">
        <v>0</v>
      </c>
      <c r="H90" s="1119">
        <f t="shared" si="2"/>
        <v>2500000</v>
      </c>
      <c r="J90" s="1132"/>
      <c r="P90" s="1126" t="s">
        <v>1527</v>
      </c>
    </row>
    <row r="91" spans="1:16" s="1123" customFormat="1">
      <c r="A91" s="1079">
        <v>69</v>
      </c>
      <c r="B91" s="1079" t="s">
        <v>709</v>
      </c>
      <c r="C91" s="1146" t="s">
        <v>37</v>
      </c>
      <c r="D91" s="1146" t="s">
        <v>1010</v>
      </c>
      <c r="E91" s="1121">
        <v>128777649</v>
      </c>
      <c r="F91" s="1122">
        <v>0</v>
      </c>
      <c r="G91" s="1122">
        <v>0</v>
      </c>
      <c r="H91" s="1119">
        <f t="shared" si="2"/>
        <v>128777649</v>
      </c>
      <c r="J91" s="1132"/>
      <c r="P91" s="1126" t="s">
        <v>1527</v>
      </c>
    </row>
    <row r="92" spans="1:16" s="1123" customFormat="1">
      <c r="A92" s="1079">
        <v>70</v>
      </c>
      <c r="B92" s="1079" t="s">
        <v>711</v>
      </c>
      <c r="C92" s="1146" t="s">
        <v>37</v>
      </c>
      <c r="D92" s="1146" t="s">
        <v>1010</v>
      </c>
      <c r="E92" s="1121">
        <v>71535000</v>
      </c>
      <c r="F92" s="1122">
        <v>0</v>
      </c>
      <c r="G92" s="1122">
        <v>0</v>
      </c>
      <c r="H92" s="1119">
        <f t="shared" si="2"/>
        <v>71535000</v>
      </c>
      <c r="J92" s="1132"/>
      <c r="P92" s="1126" t="s">
        <v>1532</v>
      </c>
    </row>
    <row r="93" spans="1:16" s="1123" customFormat="1">
      <c r="A93" s="1079">
        <v>71</v>
      </c>
      <c r="B93" s="1079" t="s">
        <v>713</v>
      </c>
      <c r="C93" s="1146" t="s">
        <v>37</v>
      </c>
      <c r="D93" s="1146" t="s">
        <v>1010</v>
      </c>
      <c r="E93" s="1121">
        <v>168886950</v>
      </c>
      <c r="F93" s="1122">
        <v>0</v>
      </c>
      <c r="G93" s="1122">
        <v>0</v>
      </c>
      <c r="H93" s="1119">
        <f t="shared" si="2"/>
        <v>168886950</v>
      </c>
      <c r="J93" s="1132"/>
      <c r="P93" s="1126" t="s">
        <v>1532</v>
      </c>
    </row>
    <row r="94" spans="1:16" s="1123" customFormat="1">
      <c r="A94" s="1079">
        <v>72</v>
      </c>
      <c r="B94" s="1079" t="s">
        <v>715</v>
      </c>
      <c r="C94" s="1146" t="s">
        <v>37</v>
      </c>
      <c r="D94" s="1146" t="s">
        <v>1010</v>
      </c>
      <c r="E94" s="1121">
        <v>-1</v>
      </c>
      <c r="F94" s="1122">
        <v>1</v>
      </c>
      <c r="G94" s="1122">
        <v>0</v>
      </c>
      <c r="H94" s="1119">
        <f t="shared" si="2"/>
        <v>0</v>
      </c>
      <c r="J94" s="1132"/>
      <c r="P94" s="1126" t="s">
        <v>1527</v>
      </c>
    </row>
    <row r="95" spans="1:16" s="1123" customFormat="1">
      <c r="A95" s="1079">
        <v>73</v>
      </c>
      <c r="B95" s="1079" t="s">
        <v>717</v>
      </c>
      <c r="C95" s="1146" t="s">
        <v>37</v>
      </c>
      <c r="D95" s="1146" t="s">
        <v>1010</v>
      </c>
      <c r="E95" s="1121">
        <v>35000000</v>
      </c>
      <c r="F95" s="1122">
        <v>0</v>
      </c>
      <c r="G95" s="1122">
        <v>0</v>
      </c>
      <c r="H95" s="1119">
        <f t="shared" si="2"/>
        <v>35000000</v>
      </c>
      <c r="J95" s="1132"/>
      <c r="P95" s="1126" t="s">
        <v>1527</v>
      </c>
    </row>
    <row r="96" spans="1:16" s="1123" customFormat="1">
      <c r="A96" s="1079">
        <v>74</v>
      </c>
      <c r="B96" s="1079" t="s">
        <v>721</v>
      </c>
      <c r="C96" s="1146" t="s">
        <v>37</v>
      </c>
      <c r="D96" s="1146" t="s">
        <v>1010</v>
      </c>
      <c r="E96" s="1121">
        <v>412499602</v>
      </c>
      <c r="F96" s="1122">
        <v>0</v>
      </c>
      <c r="G96" s="1122">
        <v>0</v>
      </c>
      <c r="H96" s="1119">
        <f t="shared" si="2"/>
        <v>412499602</v>
      </c>
      <c r="J96" s="1132"/>
      <c r="P96" s="1126" t="s">
        <v>1527</v>
      </c>
    </row>
    <row r="97" spans="1:16">
      <c r="A97" s="265">
        <v>75</v>
      </c>
      <c r="B97" s="265" t="s">
        <v>726</v>
      </c>
      <c r="C97" s="1077" t="s">
        <v>37</v>
      </c>
      <c r="D97" s="1077" t="s">
        <v>1010</v>
      </c>
      <c r="E97" s="1063">
        <v>2121900000</v>
      </c>
      <c r="F97" s="1094">
        <v>0</v>
      </c>
      <c r="G97" s="1094">
        <v>0</v>
      </c>
      <c r="H97" s="1104">
        <f t="shared" si="2"/>
        <v>2121900000</v>
      </c>
      <c r="M97" s="1073"/>
      <c r="P97" t="s">
        <v>1546</v>
      </c>
    </row>
    <row r="98" spans="1:16" s="1123" customFormat="1">
      <c r="A98" s="1079">
        <v>76</v>
      </c>
      <c r="B98" s="1079" t="s">
        <v>731</v>
      </c>
      <c r="C98" s="1120" t="s">
        <v>39</v>
      </c>
      <c r="D98" s="1120" t="s">
        <v>1010</v>
      </c>
      <c r="E98" s="1121">
        <v>-1975477687.6800001</v>
      </c>
      <c r="F98" s="1122">
        <v>0</v>
      </c>
      <c r="G98" s="1122">
        <v>41039552</v>
      </c>
      <c r="H98" s="1119">
        <f t="shared" si="2"/>
        <v>-2016517239.6800001</v>
      </c>
      <c r="J98" s="1132"/>
      <c r="K98" s="1130"/>
      <c r="P98" s="1126" t="s">
        <v>1548</v>
      </c>
    </row>
    <row r="99" spans="1:16" s="1123" customFormat="1">
      <c r="A99" s="1079">
        <v>77</v>
      </c>
      <c r="B99" s="1079" t="s">
        <v>729</v>
      </c>
      <c r="C99" s="1120" t="s">
        <v>39</v>
      </c>
      <c r="D99" s="1120" t="s">
        <v>1010</v>
      </c>
      <c r="E99" s="1121">
        <v>-2839966664.9299998</v>
      </c>
      <c r="F99" s="1122">
        <v>0</v>
      </c>
      <c r="G99" s="1122">
        <v>32360000</v>
      </c>
      <c r="H99" s="1119">
        <f t="shared" si="2"/>
        <v>-2872326664.9299998</v>
      </c>
      <c r="J99" s="1132"/>
      <c r="K99" s="1130"/>
      <c r="P99" s="1126" t="s">
        <v>1550</v>
      </c>
    </row>
    <row r="100" spans="1:16" s="1123" customFormat="1">
      <c r="A100" s="1079">
        <v>78</v>
      </c>
      <c r="B100" s="1079" t="s">
        <v>730</v>
      </c>
      <c r="C100" s="1120" t="s">
        <v>39</v>
      </c>
      <c r="D100" s="1120" t="s">
        <v>1010</v>
      </c>
      <c r="E100" s="1121">
        <v>-13950000</v>
      </c>
      <c r="F100" s="1122">
        <v>0</v>
      </c>
      <c r="G100" s="1122">
        <v>0</v>
      </c>
      <c r="H100" s="1119">
        <f t="shared" si="2"/>
        <v>-13950000</v>
      </c>
      <c r="J100" s="1132"/>
      <c r="P100" s="1126" t="s">
        <v>1550</v>
      </c>
    </row>
    <row r="101" spans="1:16" s="1123" customFormat="1">
      <c r="A101" s="1079">
        <v>79</v>
      </c>
      <c r="B101" s="1079" t="s">
        <v>728</v>
      </c>
      <c r="C101" s="1120" t="s">
        <v>39</v>
      </c>
      <c r="D101" s="1120" t="s">
        <v>1010</v>
      </c>
      <c r="E101" s="1121">
        <v>-4412718215.8299999</v>
      </c>
      <c r="F101" s="1122">
        <v>0</v>
      </c>
      <c r="G101" s="1122">
        <v>89887506</v>
      </c>
      <c r="H101" s="1119">
        <f t="shared" si="2"/>
        <v>-4502605721.8299999</v>
      </c>
      <c r="J101" s="1132"/>
      <c r="K101" s="1130"/>
      <c r="P101" s="1126" t="s">
        <v>1553</v>
      </c>
    </row>
    <row r="102" spans="1:16" s="1123" customFormat="1">
      <c r="A102" s="1079">
        <v>80</v>
      </c>
      <c r="B102" s="1079" t="s">
        <v>732</v>
      </c>
      <c r="C102" s="1120" t="s">
        <v>39</v>
      </c>
      <c r="D102" s="1120" t="s">
        <v>1010</v>
      </c>
      <c r="E102" s="1121">
        <v>-36023099.990000002</v>
      </c>
      <c r="F102" s="1122">
        <v>0</v>
      </c>
      <c r="G102" s="1122">
        <v>45000</v>
      </c>
      <c r="H102" s="1119">
        <f t="shared" si="2"/>
        <v>-36068099.990000002</v>
      </c>
      <c r="J102" s="1132"/>
      <c r="K102" s="1130"/>
      <c r="P102" s="1126" t="s">
        <v>1553</v>
      </c>
    </row>
    <row r="103" spans="1:16" s="1123" customFormat="1">
      <c r="A103" s="1079">
        <v>81</v>
      </c>
      <c r="B103" s="1079" t="s">
        <v>733</v>
      </c>
      <c r="C103" s="1120" t="s">
        <v>39</v>
      </c>
      <c r="D103" s="1120" t="s">
        <v>1010</v>
      </c>
      <c r="E103" s="1121">
        <v>-19242059</v>
      </c>
      <c r="F103" s="1122">
        <v>0</v>
      </c>
      <c r="G103" s="1122">
        <v>0</v>
      </c>
      <c r="H103" s="1119">
        <f t="shared" si="2"/>
        <v>-19242059</v>
      </c>
      <c r="J103" s="1132"/>
      <c r="K103" s="1130"/>
      <c r="P103" s="1126" t="s">
        <v>1553</v>
      </c>
    </row>
    <row r="104" spans="1:16" s="1123" customFormat="1">
      <c r="A104" s="1079">
        <v>82</v>
      </c>
      <c r="B104" s="1079" t="s">
        <v>734</v>
      </c>
      <c r="C104" s="1120" t="s">
        <v>39</v>
      </c>
      <c r="D104" s="1120" t="s">
        <v>1010</v>
      </c>
      <c r="E104" s="1121">
        <v>-34618395.159999996</v>
      </c>
      <c r="F104" s="1122">
        <v>0</v>
      </c>
      <c r="G104" s="1122">
        <v>73457</v>
      </c>
      <c r="H104" s="1119">
        <f t="shared" si="2"/>
        <v>-34691852.159999996</v>
      </c>
      <c r="J104" s="1132"/>
      <c r="K104" s="1130"/>
      <c r="P104" s="1126" t="s">
        <v>1553</v>
      </c>
    </row>
    <row r="105" spans="1:16" s="1123" customFormat="1">
      <c r="A105" s="1079">
        <v>83</v>
      </c>
      <c r="B105" s="1079" t="s">
        <v>735</v>
      </c>
      <c r="C105" s="1120" t="s">
        <v>39</v>
      </c>
      <c r="D105" s="1120" t="s">
        <v>1010</v>
      </c>
      <c r="E105" s="1121">
        <v>-16642000.060000001</v>
      </c>
      <c r="F105" s="1122">
        <v>0</v>
      </c>
      <c r="G105" s="1122">
        <v>0</v>
      </c>
      <c r="H105" s="1119">
        <f t="shared" si="2"/>
        <v>-16642000.060000001</v>
      </c>
      <c r="J105" s="1132"/>
      <c r="K105" s="1130"/>
      <c r="P105" s="1126" t="s">
        <v>1553</v>
      </c>
    </row>
    <row r="106" spans="1:16" s="1123" customFormat="1">
      <c r="A106" s="1079">
        <v>84</v>
      </c>
      <c r="B106" s="1079" t="s">
        <v>736</v>
      </c>
      <c r="C106" s="1120" t="s">
        <v>39</v>
      </c>
      <c r="D106" s="1120" t="s">
        <v>1010</v>
      </c>
      <c r="E106" s="1121">
        <v>-15520000.210000001</v>
      </c>
      <c r="F106" s="1122">
        <v>0</v>
      </c>
      <c r="G106" s="1122">
        <v>0</v>
      </c>
      <c r="H106" s="1119">
        <f t="shared" si="2"/>
        <v>-15520000.210000001</v>
      </c>
      <c r="J106" s="1132"/>
      <c r="K106" s="1130"/>
      <c r="P106" s="1126" t="s">
        <v>1553</v>
      </c>
    </row>
    <row r="107" spans="1:16" s="1123" customFormat="1">
      <c r="A107" s="1079">
        <v>85</v>
      </c>
      <c r="B107" s="1079" t="s">
        <v>737</v>
      </c>
      <c r="C107" s="1120" t="s">
        <v>39</v>
      </c>
      <c r="D107" s="1120" t="s">
        <v>1010</v>
      </c>
      <c r="E107" s="1121">
        <v>-2500000.2000000002</v>
      </c>
      <c r="F107" s="1122">
        <v>0</v>
      </c>
      <c r="G107" s="1122">
        <v>0</v>
      </c>
      <c r="H107" s="1119">
        <f t="shared" si="2"/>
        <v>-2500000.2000000002</v>
      </c>
      <c r="J107" s="1132"/>
      <c r="K107" s="1130"/>
      <c r="P107" s="1126" t="s">
        <v>1548</v>
      </c>
    </row>
    <row r="108" spans="1:16" s="1123" customFormat="1">
      <c r="A108" s="1079">
        <v>86</v>
      </c>
      <c r="B108" s="1079" t="s">
        <v>738</v>
      </c>
      <c r="C108" s="1120" t="s">
        <v>39</v>
      </c>
      <c r="D108" s="1120" t="s">
        <v>1010</v>
      </c>
      <c r="E108" s="1121">
        <v>-128777649</v>
      </c>
      <c r="F108" s="1122">
        <v>0</v>
      </c>
      <c r="G108" s="1122">
        <v>0</v>
      </c>
      <c r="H108" s="1119">
        <f t="shared" si="2"/>
        <v>-128777649</v>
      </c>
      <c r="J108" s="1132"/>
      <c r="K108" s="1130"/>
      <c r="P108" s="1126" t="s">
        <v>1548</v>
      </c>
    </row>
    <row r="109" spans="1:16" s="1123" customFormat="1">
      <c r="A109" s="1079">
        <v>87</v>
      </c>
      <c r="B109" s="1079" t="s">
        <v>739</v>
      </c>
      <c r="C109" s="1120" t="s">
        <v>39</v>
      </c>
      <c r="D109" s="1120" t="s">
        <v>1010</v>
      </c>
      <c r="E109" s="1121">
        <v>-71535000</v>
      </c>
      <c r="F109" s="1122">
        <v>0</v>
      </c>
      <c r="G109" s="1122">
        <v>0</v>
      </c>
      <c r="H109" s="1119">
        <f t="shared" si="2"/>
        <v>-71535000</v>
      </c>
      <c r="J109" s="1132"/>
      <c r="K109" s="1130"/>
      <c r="P109" s="1126" t="s">
        <v>1553</v>
      </c>
    </row>
    <row r="110" spans="1:16" s="1123" customFormat="1">
      <c r="A110" s="1079">
        <v>88</v>
      </c>
      <c r="B110" s="1079" t="s">
        <v>740</v>
      </c>
      <c r="C110" s="1120" t="s">
        <v>39</v>
      </c>
      <c r="D110" s="1120" t="s">
        <v>1010</v>
      </c>
      <c r="E110" s="1121">
        <v>-167721942.59</v>
      </c>
      <c r="F110" s="1122">
        <v>0</v>
      </c>
      <c r="G110" s="1122">
        <v>171667</v>
      </c>
      <c r="H110" s="1119">
        <f t="shared" si="2"/>
        <v>-167893609.59</v>
      </c>
      <c r="J110" s="1132"/>
      <c r="K110" s="1130"/>
      <c r="L110" s="1130">
        <f>K110+K102+K104</f>
        <v>0</v>
      </c>
      <c r="P110" s="1126" t="s">
        <v>1553</v>
      </c>
    </row>
    <row r="111" spans="1:16" s="1123" customFormat="1">
      <c r="A111" s="1079">
        <v>89</v>
      </c>
      <c r="B111" s="1079" t="s">
        <v>741</v>
      </c>
      <c r="C111" s="1120" t="s">
        <v>39</v>
      </c>
      <c r="D111" s="1120" t="s">
        <v>1010</v>
      </c>
      <c r="E111" s="1121">
        <v>0.5</v>
      </c>
      <c r="F111" s="1122">
        <v>0</v>
      </c>
      <c r="G111" s="1122">
        <v>0.5</v>
      </c>
      <c r="H111" s="1119">
        <f t="shared" si="2"/>
        <v>0</v>
      </c>
      <c r="J111" s="1132"/>
      <c r="K111" s="1130"/>
      <c r="P111" s="1126" t="s">
        <v>1548</v>
      </c>
    </row>
    <row r="112" spans="1:16" s="1123" customFormat="1">
      <c r="A112" s="1079">
        <v>90</v>
      </c>
      <c r="B112" s="1079" t="s">
        <v>742</v>
      </c>
      <c r="C112" s="1120" t="s">
        <v>39</v>
      </c>
      <c r="D112" s="1120" t="s">
        <v>1010</v>
      </c>
      <c r="E112" s="1121">
        <v>-32749986.66</v>
      </c>
      <c r="F112" s="1122">
        <v>0</v>
      </c>
      <c r="G112" s="1122">
        <v>375000</v>
      </c>
      <c r="H112" s="1119">
        <f t="shared" si="2"/>
        <v>-33124986.66</v>
      </c>
      <c r="J112" s="1132"/>
      <c r="K112" s="1130"/>
      <c r="P112" s="1126" t="s">
        <v>1548</v>
      </c>
    </row>
    <row r="113" spans="1:16" s="1123" customFormat="1">
      <c r="A113" s="1079">
        <v>91</v>
      </c>
      <c r="B113" s="1079" t="s">
        <v>743</v>
      </c>
      <c r="C113" s="1120" t="s">
        <v>39</v>
      </c>
      <c r="D113" s="1120" t="s">
        <v>1010</v>
      </c>
      <c r="E113" s="1121">
        <v>-305946483.24000001</v>
      </c>
      <c r="F113" s="1122">
        <v>0</v>
      </c>
      <c r="G113" s="1122">
        <v>6063763</v>
      </c>
      <c r="H113" s="1119">
        <f t="shared" si="2"/>
        <v>-312010246.24000001</v>
      </c>
      <c r="J113" s="1132"/>
      <c r="K113" s="1130"/>
      <c r="L113" s="1130">
        <f>K113+K112+K98</f>
        <v>0</v>
      </c>
      <c r="P113" s="1126" t="s">
        <v>1548</v>
      </c>
    </row>
    <row r="114" spans="1:16">
      <c r="A114" s="265">
        <v>92</v>
      </c>
      <c r="B114" s="265" t="s">
        <v>744</v>
      </c>
      <c r="C114" s="1072" t="s">
        <v>39</v>
      </c>
      <c r="D114" s="1072" t="s">
        <v>1010</v>
      </c>
      <c r="E114" s="1063">
        <v>-519955005</v>
      </c>
      <c r="F114" s="1094">
        <v>10083333</v>
      </c>
      <c r="G114" s="1094">
        <v>35365000</v>
      </c>
      <c r="H114" s="1104">
        <f t="shared" si="2"/>
        <v>-545236672</v>
      </c>
      <c r="K114" s="1067"/>
      <c r="M114" s="1073"/>
      <c r="P114" t="s">
        <v>1567</v>
      </c>
    </row>
    <row r="115" spans="1:16" s="1123" customFormat="1">
      <c r="A115" s="1079">
        <v>93</v>
      </c>
      <c r="B115" s="1079" t="s">
        <v>258</v>
      </c>
      <c r="C115" s="1120" t="s">
        <v>46</v>
      </c>
      <c r="D115" s="1120" t="s">
        <v>1010</v>
      </c>
      <c r="E115" s="1121">
        <v>6000000</v>
      </c>
      <c r="F115" s="1122">
        <v>0</v>
      </c>
      <c r="G115" s="1122">
        <v>0</v>
      </c>
      <c r="H115" s="1119">
        <f t="shared" si="2"/>
        <v>6000000</v>
      </c>
      <c r="J115" s="1132"/>
      <c r="P115" s="1126" t="s">
        <v>1569</v>
      </c>
    </row>
    <row r="116" spans="1:16" s="1123" customFormat="1">
      <c r="A116" s="1079">
        <v>94</v>
      </c>
      <c r="B116" s="1079" t="s">
        <v>262</v>
      </c>
      <c r="C116" s="1120" t="s">
        <v>46</v>
      </c>
      <c r="D116" s="1120" t="s">
        <v>1010</v>
      </c>
      <c r="E116" s="1121">
        <v>16469375</v>
      </c>
      <c r="F116" s="1122">
        <v>0</v>
      </c>
      <c r="G116" s="1122">
        <v>0</v>
      </c>
      <c r="H116" s="1119">
        <f t="shared" si="2"/>
        <v>16469375</v>
      </c>
      <c r="J116" s="1132"/>
      <c r="P116" s="1126" t="s">
        <v>1569</v>
      </c>
    </row>
    <row r="117" spans="1:16" s="1123" customFormat="1">
      <c r="A117" s="1079">
        <v>95</v>
      </c>
      <c r="B117" s="1079" t="s">
        <v>264</v>
      </c>
      <c r="C117" s="1120" t="s">
        <v>46</v>
      </c>
      <c r="D117" s="1120" t="s">
        <v>1010</v>
      </c>
      <c r="E117" s="1121">
        <v>24000000</v>
      </c>
      <c r="F117" s="1122">
        <v>0</v>
      </c>
      <c r="G117" s="1122">
        <v>0</v>
      </c>
      <c r="H117" s="1119">
        <f t="shared" si="2"/>
        <v>24000000</v>
      </c>
      <c r="J117" s="1132"/>
      <c r="P117" s="1126" t="s">
        <v>1569</v>
      </c>
    </row>
    <row r="118" spans="1:16" s="1123" customFormat="1">
      <c r="A118" s="1079">
        <v>96</v>
      </c>
      <c r="B118" s="1079" t="s">
        <v>287</v>
      </c>
      <c r="C118" s="1120" t="s">
        <v>46</v>
      </c>
      <c r="D118" s="1120" t="s">
        <v>1010</v>
      </c>
      <c r="E118" s="1121">
        <v>3750000</v>
      </c>
      <c r="F118" s="1122">
        <v>0</v>
      </c>
      <c r="G118" s="1122">
        <v>0</v>
      </c>
      <c r="H118" s="1119">
        <f t="shared" si="2"/>
        <v>3750000</v>
      </c>
      <c r="J118" s="1132"/>
      <c r="P118" s="1126" t="s">
        <v>1573</v>
      </c>
    </row>
    <row r="119" spans="1:16" s="1123" customFormat="1">
      <c r="A119" s="1079">
        <v>97</v>
      </c>
      <c r="B119" s="1079" t="s">
        <v>289</v>
      </c>
      <c r="C119" s="1120" t="s">
        <v>46</v>
      </c>
      <c r="D119" s="1120" t="s">
        <v>1010</v>
      </c>
      <c r="E119" s="1121">
        <v>2000000</v>
      </c>
      <c r="F119" s="1122">
        <v>0</v>
      </c>
      <c r="G119" s="1122">
        <v>0</v>
      </c>
      <c r="H119" s="1119">
        <f t="shared" si="2"/>
        <v>2000000</v>
      </c>
      <c r="J119" s="1132"/>
      <c r="P119" s="1126" t="s">
        <v>1573</v>
      </c>
    </row>
    <row r="120" spans="1:16" s="1123" customFormat="1">
      <c r="A120" s="1079">
        <v>98</v>
      </c>
      <c r="B120" s="1079" t="s">
        <v>266</v>
      </c>
      <c r="C120" s="1120" t="s">
        <v>46</v>
      </c>
      <c r="D120" s="1120" t="s">
        <v>1010</v>
      </c>
      <c r="E120" s="1121">
        <v>195734400</v>
      </c>
      <c r="F120" s="1122">
        <v>0</v>
      </c>
      <c r="G120" s="1122">
        <v>0</v>
      </c>
      <c r="H120" s="1119">
        <f t="shared" si="2"/>
        <v>195734400</v>
      </c>
      <c r="J120" s="1132"/>
      <c r="P120" s="1126" t="s">
        <v>1576</v>
      </c>
    </row>
    <row r="121" spans="1:16" s="1123" customFormat="1">
      <c r="A121" s="1079">
        <v>99</v>
      </c>
      <c r="B121" s="1079" t="s">
        <v>268</v>
      </c>
      <c r="C121" s="1120" t="s">
        <v>46</v>
      </c>
      <c r="D121" s="1120" t="s">
        <v>1010</v>
      </c>
      <c r="E121" s="1121">
        <v>45214467</v>
      </c>
      <c r="F121" s="1122">
        <v>0</v>
      </c>
      <c r="G121" s="1122">
        <v>0</v>
      </c>
      <c r="H121" s="1119">
        <f t="shared" si="2"/>
        <v>45214467</v>
      </c>
      <c r="J121" s="1132"/>
      <c r="P121" s="1126" t="s">
        <v>1576</v>
      </c>
    </row>
    <row r="122" spans="1:16" s="1123" customFormat="1">
      <c r="A122" s="1079">
        <v>100</v>
      </c>
      <c r="B122" s="1079" t="s">
        <v>270</v>
      </c>
      <c r="C122" s="1120" t="s">
        <v>46</v>
      </c>
      <c r="D122" s="1120" t="s">
        <v>1010</v>
      </c>
      <c r="E122" s="1121">
        <v>9535900</v>
      </c>
      <c r="F122" s="1122">
        <v>0</v>
      </c>
      <c r="G122" s="1122">
        <v>0</v>
      </c>
      <c r="H122" s="1119">
        <f t="shared" si="2"/>
        <v>9535900</v>
      </c>
      <c r="J122" s="1132"/>
      <c r="P122" s="1126" t="s">
        <v>1576</v>
      </c>
    </row>
    <row r="123" spans="1:16" s="1123" customFormat="1">
      <c r="A123" s="1079">
        <v>101</v>
      </c>
      <c r="B123" s="1079" t="s">
        <v>274</v>
      </c>
      <c r="C123" s="1120" t="s">
        <v>46</v>
      </c>
      <c r="D123" s="1120" t="s">
        <v>1010</v>
      </c>
      <c r="E123" s="1121">
        <v>316913500</v>
      </c>
      <c r="F123" s="1122">
        <v>0</v>
      </c>
      <c r="G123" s="1122">
        <v>0</v>
      </c>
      <c r="H123" s="1119">
        <f t="shared" si="2"/>
        <v>316913500</v>
      </c>
      <c r="J123" s="1132"/>
      <c r="P123" s="1126" t="s">
        <v>1576</v>
      </c>
    </row>
    <row r="124" spans="1:16" s="1123" customFormat="1">
      <c r="A124" s="1079">
        <v>102</v>
      </c>
      <c r="B124" s="1079" t="s">
        <v>282</v>
      </c>
      <c r="C124" s="1120" t="s">
        <v>46</v>
      </c>
      <c r="D124" s="1120" t="s">
        <v>1010</v>
      </c>
      <c r="E124" s="1121">
        <v>873300000</v>
      </c>
      <c r="F124" s="1122">
        <v>0</v>
      </c>
      <c r="G124" s="1122">
        <v>0</v>
      </c>
      <c r="H124" s="1119">
        <f t="shared" si="2"/>
        <v>873300000</v>
      </c>
      <c r="J124" s="1132"/>
      <c r="P124" s="1126" t="s">
        <v>1576</v>
      </c>
    </row>
    <row r="125" spans="1:16" s="1123" customFormat="1">
      <c r="A125" s="1079">
        <v>103</v>
      </c>
      <c r="B125" s="1079" t="s">
        <v>284</v>
      </c>
      <c r="C125" s="1120" t="s">
        <v>46</v>
      </c>
      <c r="D125" s="1120" t="s">
        <v>1010</v>
      </c>
      <c r="E125" s="1121">
        <v>214500000</v>
      </c>
      <c r="F125" s="1122">
        <v>0</v>
      </c>
      <c r="G125" s="1122">
        <v>0</v>
      </c>
      <c r="H125" s="1119">
        <f t="shared" si="2"/>
        <v>214500000</v>
      </c>
      <c r="J125" s="1132"/>
      <c r="P125" s="1126" t="s">
        <v>1576</v>
      </c>
    </row>
    <row r="126" spans="1:16" s="1123" customFormat="1">
      <c r="A126" s="1079">
        <v>104</v>
      </c>
      <c r="B126" s="1079" t="s">
        <v>276</v>
      </c>
      <c r="C126" s="1120" t="s">
        <v>46</v>
      </c>
      <c r="D126" s="1120" t="s">
        <v>1010</v>
      </c>
      <c r="E126" s="1121">
        <v>860000</v>
      </c>
      <c r="F126" s="1122">
        <v>0</v>
      </c>
      <c r="G126" s="1122">
        <v>0</v>
      </c>
      <c r="H126" s="1119">
        <f t="shared" si="2"/>
        <v>860000</v>
      </c>
      <c r="J126" s="1132"/>
      <c r="M126" s="1125"/>
      <c r="P126" s="1126" t="s">
        <v>1573</v>
      </c>
    </row>
    <row r="127" spans="1:16" s="1123" customFormat="1">
      <c r="A127" s="1079"/>
      <c r="B127" s="1079" t="s">
        <v>1370</v>
      </c>
      <c r="C127" s="1120"/>
      <c r="D127" s="1120"/>
      <c r="E127" s="1121">
        <v>600000</v>
      </c>
      <c r="F127" s="1122">
        <v>0</v>
      </c>
      <c r="G127" s="1122">
        <v>0</v>
      </c>
      <c r="H127" s="1119">
        <f t="shared" si="2"/>
        <v>600000</v>
      </c>
      <c r="J127" s="1132">
        <f>SUM(H115:H127)</f>
        <v>1708877642</v>
      </c>
      <c r="M127" s="1125"/>
      <c r="P127" s="1126" t="s">
        <v>1573</v>
      </c>
    </row>
    <row r="128" spans="1:16" s="1123" customFormat="1">
      <c r="A128" s="1079">
        <v>105</v>
      </c>
      <c r="B128" s="1079" t="s">
        <v>217</v>
      </c>
      <c r="C128" s="1120" t="s">
        <v>25</v>
      </c>
      <c r="D128" s="1120" t="s">
        <v>1010</v>
      </c>
      <c r="E128" s="1121">
        <v>682000</v>
      </c>
      <c r="F128" s="1122">
        <v>0</v>
      </c>
      <c r="G128" s="1122">
        <v>0</v>
      </c>
      <c r="H128" s="1119">
        <f t="shared" si="2"/>
        <v>682000</v>
      </c>
      <c r="J128" s="1132">
        <f>'Detail WBS''1217'!P77+'Detail WBS''1217'!P78+'Detail WBS''1217'!P79</f>
        <v>0</v>
      </c>
      <c r="P128" s="1126" t="s">
        <v>1585</v>
      </c>
    </row>
    <row r="129" spans="1:16" s="1123" customFormat="1">
      <c r="A129" s="1079">
        <v>106</v>
      </c>
      <c r="B129" s="1079" t="s">
        <v>185</v>
      </c>
      <c r="C129" s="1120" t="s">
        <v>25</v>
      </c>
      <c r="D129" s="1120" t="s">
        <v>1010</v>
      </c>
      <c r="E129" s="1121">
        <v>126224031.66999999</v>
      </c>
      <c r="F129" s="1122">
        <v>0</v>
      </c>
      <c r="G129" s="1122">
        <v>14144591</v>
      </c>
      <c r="H129" s="1119">
        <f t="shared" si="2"/>
        <v>112079440.66999999</v>
      </c>
      <c r="I129" s="1123" t="s">
        <v>1380</v>
      </c>
      <c r="J129" s="1132">
        <f>J127-J128</f>
        <v>1708877642</v>
      </c>
      <c r="P129" s="1126" t="s">
        <v>1587</v>
      </c>
    </row>
    <row r="130" spans="1:16" s="1123" customFormat="1">
      <c r="A130" s="1079">
        <v>107</v>
      </c>
      <c r="B130" s="1079" t="s">
        <v>210</v>
      </c>
      <c r="C130" s="1120" t="s">
        <v>25</v>
      </c>
      <c r="D130" s="1120" t="s">
        <v>1010</v>
      </c>
      <c r="E130" s="1121">
        <v>67837.25</v>
      </c>
      <c r="F130" s="1122">
        <v>0</v>
      </c>
      <c r="G130" s="1122">
        <v>7538</v>
      </c>
      <c r="H130" s="1119">
        <f t="shared" si="2"/>
        <v>60299.25</v>
      </c>
      <c r="J130" s="1142"/>
      <c r="L130" s="1127"/>
      <c r="P130" s="1126" t="s">
        <v>1589</v>
      </c>
    </row>
    <row r="131" spans="1:16" s="1123" customFormat="1">
      <c r="A131" s="1079">
        <v>108</v>
      </c>
      <c r="B131" s="1079" t="s">
        <v>187</v>
      </c>
      <c r="C131" s="1120" t="s">
        <v>25</v>
      </c>
      <c r="D131" s="1120" t="s">
        <v>1010</v>
      </c>
      <c r="E131" s="1121">
        <v>9004581.5</v>
      </c>
      <c r="F131" s="1122">
        <v>0</v>
      </c>
      <c r="G131" s="1122">
        <v>458603</v>
      </c>
      <c r="H131" s="1119">
        <f t="shared" si="2"/>
        <v>8545978.5</v>
      </c>
      <c r="I131" s="1123" t="s">
        <v>1380</v>
      </c>
      <c r="J131" s="1142"/>
      <c r="L131" s="1127"/>
      <c r="P131" s="1126" t="s">
        <v>1589</v>
      </c>
    </row>
    <row r="132" spans="1:16" s="1123" customFormat="1">
      <c r="A132" s="1079">
        <v>109</v>
      </c>
      <c r="B132" s="1079" t="s">
        <v>193</v>
      </c>
      <c r="C132" s="1120" t="s">
        <v>25</v>
      </c>
      <c r="D132" s="1120" t="s">
        <v>1010</v>
      </c>
      <c r="E132" s="1121">
        <v>3445941.5</v>
      </c>
      <c r="F132" s="1122">
        <v>0</v>
      </c>
      <c r="G132" s="1122">
        <v>382883</v>
      </c>
      <c r="H132" s="1119">
        <f t="shared" ref="H132:H195" si="3">E132+F132-G132</f>
        <v>3063058.5</v>
      </c>
      <c r="J132" s="1142"/>
      <c r="L132" s="1127"/>
      <c r="P132" s="1126" t="s">
        <v>1589</v>
      </c>
    </row>
    <row r="133" spans="1:16" s="1123" customFormat="1">
      <c r="A133" s="1079">
        <v>110</v>
      </c>
      <c r="B133" s="1079" t="s">
        <v>195</v>
      </c>
      <c r="C133" s="1120" t="s">
        <v>25</v>
      </c>
      <c r="D133" s="1120" t="s">
        <v>1010</v>
      </c>
      <c r="E133" s="1121">
        <v>1963563.58</v>
      </c>
      <c r="F133" s="1122">
        <v>0</v>
      </c>
      <c r="G133" s="1122">
        <v>218174</v>
      </c>
      <c r="H133" s="1119">
        <f t="shared" si="3"/>
        <v>1745389.58</v>
      </c>
      <c r="J133" s="1142"/>
      <c r="L133" s="1127"/>
      <c r="P133" s="1126" t="s">
        <v>1589</v>
      </c>
    </row>
    <row r="134" spans="1:16" s="1123" customFormat="1">
      <c r="A134" s="1079">
        <v>111</v>
      </c>
      <c r="B134" s="1079" t="s">
        <v>198</v>
      </c>
      <c r="C134" s="1120" t="s">
        <v>25</v>
      </c>
      <c r="D134" s="1120" t="s">
        <v>1010</v>
      </c>
      <c r="E134" s="1121">
        <v>6705111.46</v>
      </c>
      <c r="F134" s="1122">
        <v>0</v>
      </c>
      <c r="G134" s="1122">
        <v>745013</v>
      </c>
      <c r="H134" s="1119">
        <f t="shared" si="3"/>
        <v>5960098.46</v>
      </c>
      <c r="J134" s="1142"/>
      <c r="L134" s="1127"/>
      <c r="P134" s="1126" t="s">
        <v>1589</v>
      </c>
    </row>
    <row r="135" spans="1:16" s="1123" customFormat="1">
      <c r="A135" s="1079">
        <v>112</v>
      </c>
      <c r="B135" s="1079" t="s">
        <v>203</v>
      </c>
      <c r="C135" s="1120" t="s">
        <v>25</v>
      </c>
      <c r="D135" s="1120" t="s">
        <v>1010</v>
      </c>
      <c r="E135" s="1121">
        <v>3628686.5</v>
      </c>
      <c r="F135" s="1122">
        <v>0</v>
      </c>
      <c r="G135" s="1122">
        <v>403188</v>
      </c>
      <c r="H135" s="1119">
        <f t="shared" si="3"/>
        <v>3225498.5</v>
      </c>
      <c r="J135" s="1142"/>
      <c r="L135" s="1127"/>
      <c r="P135" s="1126" t="s">
        <v>1589</v>
      </c>
    </row>
    <row r="136" spans="1:16" s="1123" customFormat="1">
      <c r="A136" s="1079">
        <v>113</v>
      </c>
      <c r="B136" s="1079" t="s">
        <v>212</v>
      </c>
      <c r="C136" s="1120" t="s">
        <v>25</v>
      </c>
      <c r="D136" s="1120" t="s">
        <v>1010</v>
      </c>
      <c r="E136" s="1121">
        <v>2103300</v>
      </c>
      <c r="F136" s="1122">
        <v>0</v>
      </c>
      <c r="G136" s="1122">
        <v>233700</v>
      </c>
      <c r="H136" s="1119">
        <f t="shared" si="3"/>
        <v>1869600</v>
      </c>
      <c r="J136" s="1142"/>
      <c r="L136" s="1127"/>
      <c r="P136" s="1126" t="s">
        <v>1589</v>
      </c>
    </row>
    <row r="137" spans="1:16" s="1123" customFormat="1">
      <c r="A137" s="1079">
        <v>114</v>
      </c>
      <c r="B137" s="1079" t="s">
        <v>214</v>
      </c>
      <c r="C137" s="1120" t="s">
        <v>25</v>
      </c>
      <c r="D137" s="1120" t="s">
        <v>1010</v>
      </c>
      <c r="E137" s="1121">
        <v>2157186.84</v>
      </c>
      <c r="F137" s="1122">
        <v>0</v>
      </c>
      <c r="G137" s="1122">
        <v>239688</v>
      </c>
      <c r="H137" s="1119">
        <f t="shared" si="3"/>
        <v>1917498.8399999999</v>
      </c>
      <c r="J137" s="1132"/>
      <c r="K137" s="1143"/>
      <c r="M137" s="1127"/>
      <c r="P137" s="1126" t="s">
        <v>1589</v>
      </c>
    </row>
    <row r="138" spans="1:16" s="1123" customFormat="1">
      <c r="A138" s="1079">
        <v>115</v>
      </c>
      <c r="B138" s="1079" t="s">
        <v>223</v>
      </c>
      <c r="C138" s="1120" t="s">
        <v>25</v>
      </c>
      <c r="D138" s="1120" t="s">
        <v>1010</v>
      </c>
      <c r="E138" s="1121">
        <v>7585856.2200000007</v>
      </c>
      <c r="F138" s="1122">
        <v>0</v>
      </c>
      <c r="G138" s="1122">
        <v>583528</v>
      </c>
      <c r="H138" s="1119">
        <f t="shared" si="3"/>
        <v>7002328.2200000007</v>
      </c>
      <c r="J138" s="1132"/>
      <c r="P138" s="1126" t="s">
        <v>1589</v>
      </c>
    </row>
    <row r="139" spans="1:16" s="1123" customFormat="1">
      <c r="A139" s="1079">
        <v>116</v>
      </c>
      <c r="B139" s="1079" t="s">
        <v>226</v>
      </c>
      <c r="C139" s="1120" t="s">
        <v>25</v>
      </c>
      <c r="D139" s="1120" t="s">
        <v>1010</v>
      </c>
      <c r="E139" s="1121">
        <v>14425846.690000001</v>
      </c>
      <c r="F139" s="1122">
        <v>0</v>
      </c>
      <c r="G139" s="1122">
        <v>1697159</v>
      </c>
      <c r="H139" s="1119">
        <f t="shared" si="3"/>
        <v>12728687.690000001</v>
      </c>
      <c r="J139" s="1132"/>
      <c r="P139" s="1126" t="s">
        <v>1589</v>
      </c>
    </row>
    <row r="140" spans="1:16" s="1123" customFormat="1">
      <c r="A140" s="1079">
        <v>117</v>
      </c>
      <c r="B140" s="1079" t="s">
        <v>230</v>
      </c>
      <c r="C140" s="1120" t="s">
        <v>25</v>
      </c>
      <c r="D140" s="1120" t="s">
        <v>1010</v>
      </c>
      <c r="E140" s="1121">
        <v>7405535</v>
      </c>
      <c r="F140" s="1122">
        <v>0</v>
      </c>
      <c r="G140" s="1122">
        <v>151133</v>
      </c>
      <c r="H140" s="1119">
        <f t="shared" si="3"/>
        <v>7254402</v>
      </c>
      <c r="J140" s="1132"/>
      <c r="P140" s="1126" t="s">
        <v>1600</v>
      </c>
    </row>
    <row r="141" spans="1:16" s="1123" customFormat="1">
      <c r="A141" s="1079"/>
      <c r="B141" s="1079" t="s">
        <v>1392</v>
      </c>
      <c r="C141" s="1120"/>
      <c r="D141" s="1120"/>
      <c r="E141" s="1121">
        <v>20374028</v>
      </c>
      <c r="F141" s="1122">
        <v>0</v>
      </c>
      <c r="G141" s="1122">
        <v>599236</v>
      </c>
      <c r="H141" s="1119">
        <f t="shared" si="3"/>
        <v>19774792</v>
      </c>
      <c r="J141" s="1132"/>
      <c r="P141" s="1126" t="s">
        <v>1589</v>
      </c>
    </row>
    <row r="142" spans="1:16" s="1123" customFormat="1">
      <c r="A142" s="1079">
        <v>118</v>
      </c>
      <c r="B142" s="1079" t="s">
        <v>200</v>
      </c>
      <c r="C142" s="1120" t="s">
        <v>25</v>
      </c>
      <c r="D142" s="1120" t="s">
        <v>1010</v>
      </c>
      <c r="E142" s="1121">
        <v>1991075749</v>
      </c>
      <c r="F142" s="1122">
        <v>0</v>
      </c>
      <c r="G142" s="1122">
        <v>56887878</v>
      </c>
      <c r="H142" s="1119">
        <f t="shared" si="3"/>
        <v>1934187871</v>
      </c>
      <c r="J142" s="1132"/>
      <c r="P142" s="1126" t="s">
        <v>1603</v>
      </c>
    </row>
    <row r="143" spans="1:16" s="1123" customFormat="1">
      <c r="A143" s="1079"/>
      <c r="B143" s="1144" t="s">
        <v>1121</v>
      </c>
      <c r="C143" s="1120"/>
      <c r="D143" s="1120"/>
      <c r="E143" s="1121">
        <v>146914967.34</v>
      </c>
      <c r="F143" s="1122">
        <v>0</v>
      </c>
      <c r="G143" s="1122">
        <v>11096296</v>
      </c>
      <c r="H143" s="1119">
        <f t="shared" si="3"/>
        <v>135818671.34</v>
      </c>
      <c r="J143" s="1132"/>
      <c r="P143" s="1126" t="s">
        <v>1603</v>
      </c>
    </row>
    <row r="144" spans="1:16" s="1123" customFormat="1">
      <c r="A144" s="1079">
        <v>119</v>
      </c>
      <c r="B144" s="1079" t="s">
        <v>228</v>
      </c>
      <c r="C144" s="1120" t="s">
        <v>25</v>
      </c>
      <c r="D144" s="1120" t="s">
        <v>1010</v>
      </c>
      <c r="E144" s="1121">
        <v>70972166.799999997</v>
      </c>
      <c r="F144" s="1122">
        <v>0</v>
      </c>
      <c r="G144" s="1122">
        <v>5754500</v>
      </c>
      <c r="H144" s="1119">
        <f t="shared" si="3"/>
        <v>65217666.799999997</v>
      </c>
      <c r="J144" s="1132"/>
      <c r="P144" s="1126" t="s">
        <v>1603</v>
      </c>
    </row>
    <row r="145" spans="1:16" s="1123" customFormat="1">
      <c r="A145" s="1079"/>
      <c r="B145" s="1079" t="s">
        <v>1069</v>
      </c>
      <c r="C145" s="1120"/>
      <c r="D145" s="1120"/>
      <c r="E145" s="1121">
        <v>49431960</v>
      </c>
      <c r="F145" s="1122">
        <v>0</v>
      </c>
      <c r="G145" s="1122">
        <v>24715980</v>
      </c>
      <c r="H145" s="1119">
        <f t="shared" si="3"/>
        <v>24715980</v>
      </c>
      <c r="J145" s="1132"/>
      <c r="P145" s="1126" t="s">
        <v>1608</v>
      </c>
    </row>
    <row r="146" spans="1:16" s="1123" customFormat="1">
      <c r="A146" s="1079"/>
      <c r="B146" s="1079" t="s">
        <v>219</v>
      </c>
      <c r="C146" s="1120" t="s">
        <v>25</v>
      </c>
      <c r="D146" s="1120" t="s">
        <v>1010</v>
      </c>
      <c r="E146" s="1121">
        <v>-8036000</v>
      </c>
      <c r="F146" s="1122">
        <v>16072000</v>
      </c>
      <c r="G146" s="1122">
        <v>0</v>
      </c>
      <c r="H146" s="1119">
        <f t="shared" si="3"/>
        <v>8036000</v>
      </c>
      <c r="J146" s="1132"/>
      <c r="P146" s="1126" t="s">
        <v>1610</v>
      </c>
    </row>
    <row r="147" spans="1:16" s="1123" customFormat="1">
      <c r="A147" s="1079">
        <v>120</v>
      </c>
      <c r="B147" s="1079" t="s">
        <v>221</v>
      </c>
      <c r="C147" s="1120" t="s">
        <v>25</v>
      </c>
      <c r="D147" s="1120" t="s">
        <v>1010</v>
      </c>
      <c r="E147" s="1121">
        <v>1192046760</v>
      </c>
      <c r="F147" s="1122">
        <v>0</v>
      </c>
      <c r="G147" s="1122">
        <v>0</v>
      </c>
      <c r="H147" s="1119">
        <f t="shared" si="3"/>
        <v>1192046760</v>
      </c>
      <c r="J147" s="1132"/>
      <c r="P147" s="1126" t="s">
        <v>1612</v>
      </c>
    </row>
    <row r="148" spans="1:16" s="1123" customFormat="1">
      <c r="A148" s="1079"/>
      <c r="B148" s="1079" t="s">
        <v>1070</v>
      </c>
      <c r="C148" s="1120"/>
      <c r="D148" s="1120"/>
      <c r="E148" s="1121">
        <v>1719579891.1300001</v>
      </c>
      <c r="F148" s="1122">
        <v>375619048</v>
      </c>
      <c r="G148" s="1122">
        <v>375737924.98000002</v>
      </c>
      <c r="H148" s="1119">
        <f t="shared" si="3"/>
        <v>1719461014.1500001</v>
      </c>
      <c r="J148" s="1132"/>
      <c r="P148" s="1126" t="s">
        <v>1614</v>
      </c>
    </row>
    <row r="149" spans="1:16" s="1123" customFormat="1">
      <c r="A149" s="1079">
        <v>121</v>
      </c>
      <c r="B149" s="1079" t="s">
        <v>181</v>
      </c>
      <c r="C149" s="1120" t="s">
        <v>25</v>
      </c>
      <c r="D149" s="1120" t="s">
        <v>1010</v>
      </c>
      <c r="E149" s="1121">
        <v>1230439431</v>
      </c>
      <c r="F149" s="1122">
        <v>56561000</v>
      </c>
      <c r="G149" s="1122">
        <v>46133000</v>
      </c>
      <c r="H149" s="1119">
        <f t="shared" si="3"/>
        <v>1240867431</v>
      </c>
      <c r="J149" s="1132"/>
      <c r="M149" s="1125"/>
      <c r="P149" s="1126" t="s">
        <v>1614</v>
      </c>
    </row>
    <row r="150" spans="1:16" s="1123" customFormat="1">
      <c r="A150" s="1079">
        <v>122</v>
      </c>
      <c r="B150" s="1079" t="s">
        <v>232</v>
      </c>
      <c r="C150" s="1120" t="s">
        <v>26</v>
      </c>
      <c r="D150" s="1120" t="s">
        <v>1010</v>
      </c>
      <c r="E150" s="1121">
        <v>360396931.31</v>
      </c>
      <c r="F150" s="1122">
        <v>249630.85</v>
      </c>
      <c r="G150" s="1122">
        <v>202546</v>
      </c>
      <c r="H150" s="1119">
        <f t="shared" si="3"/>
        <v>360444016.16000003</v>
      </c>
      <c r="J150" s="1132"/>
      <c r="P150" s="1126" t="s">
        <v>1617</v>
      </c>
    </row>
    <row r="151" spans="1:16" s="1123" customFormat="1">
      <c r="A151" s="1079">
        <v>123</v>
      </c>
      <c r="B151" s="1079" t="s">
        <v>234</v>
      </c>
      <c r="C151" s="1120" t="s">
        <v>26</v>
      </c>
      <c r="D151" s="1120" t="s">
        <v>1010</v>
      </c>
      <c r="E151" s="1121">
        <v>0</v>
      </c>
      <c r="F151" s="1122"/>
      <c r="G151" s="1122"/>
      <c r="H151" s="1119">
        <f t="shared" si="3"/>
        <v>0</v>
      </c>
      <c r="J151" s="1132"/>
      <c r="P151" s="1126" t="s">
        <v>1619</v>
      </c>
    </row>
    <row r="152" spans="1:16" s="1123" customFormat="1">
      <c r="A152" s="1079">
        <v>124</v>
      </c>
      <c r="B152" s="1079" t="s">
        <v>320</v>
      </c>
      <c r="C152" s="1120" t="s">
        <v>17</v>
      </c>
      <c r="D152" s="1120" t="s">
        <v>10</v>
      </c>
      <c r="E152" s="1121">
        <v>0.32999992370605469</v>
      </c>
      <c r="F152" s="1122">
        <v>1270501086</v>
      </c>
      <c r="G152" s="1122">
        <v>1270501086.3299999</v>
      </c>
      <c r="H152" s="1119">
        <f t="shared" si="3"/>
        <v>0</v>
      </c>
      <c r="J152" s="1132"/>
      <c r="K152" s="1127"/>
      <c r="M152" s="1125"/>
      <c r="P152" s="1126" t="s">
        <v>1621</v>
      </c>
    </row>
    <row r="153" spans="1:16" s="1123" customFormat="1">
      <c r="A153" s="1079"/>
      <c r="B153" s="1079" t="s">
        <v>236</v>
      </c>
      <c r="C153" s="1120" t="s">
        <v>26</v>
      </c>
      <c r="D153" s="1120" t="s">
        <v>1010</v>
      </c>
      <c r="E153" s="1121">
        <v>1096734736</v>
      </c>
      <c r="F153" s="1122">
        <v>0</v>
      </c>
      <c r="G153" s="1122">
        <v>0</v>
      </c>
      <c r="H153" s="1119">
        <f t="shared" si="3"/>
        <v>1096734736</v>
      </c>
      <c r="J153" s="1132"/>
      <c r="P153" s="1126" t="s">
        <v>1623</v>
      </c>
    </row>
    <row r="154" spans="1:16" s="1123" customFormat="1">
      <c r="A154" s="1079">
        <v>125</v>
      </c>
      <c r="B154" s="1079" t="s">
        <v>28</v>
      </c>
      <c r="C154" s="1120" t="s">
        <v>1013</v>
      </c>
      <c r="D154" s="1120" t="s">
        <v>1010</v>
      </c>
      <c r="E154" s="1121">
        <v>1887725361</v>
      </c>
      <c r="F154" s="1122">
        <v>0</v>
      </c>
      <c r="G154" s="1122">
        <v>0</v>
      </c>
      <c r="H154" s="1119">
        <f t="shared" si="3"/>
        <v>1887725361</v>
      </c>
      <c r="J154" s="1132"/>
      <c r="K154" s="1127"/>
      <c r="P154" s="1126" t="s">
        <v>1625</v>
      </c>
    </row>
    <row r="155" spans="1:16" s="1123" customFormat="1" ht="14.25" customHeight="1">
      <c r="A155" s="1079">
        <v>126</v>
      </c>
      <c r="B155" s="1079" t="s">
        <v>278</v>
      </c>
      <c r="C155" s="1120" t="s">
        <v>1014</v>
      </c>
      <c r="D155" s="1120" t="s">
        <v>1010</v>
      </c>
      <c r="E155" s="1121">
        <v>1752089582</v>
      </c>
      <c r="F155" s="1122">
        <v>174010757</v>
      </c>
      <c r="G155" s="1122">
        <v>361206424</v>
      </c>
      <c r="H155" s="1119">
        <f t="shared" si="3"/>
        <v>1564893915</v>
      </c>
      <c r="J155" s="1132"/>
      <c r="K155" s="1127"/>
      <c r="M155" s="1125"/>
      <c r="P155" s="1126" t="s">
        <v>1629</v>
      </c>
    </row>
    <row r="156" spans="1:16" s="1123" customFormat="1" ht="14.25" customHeight="1">
      <c r="A156" s="1079"/>
      <c r="B156" s="1079" t="s">
        <v>1367</v>
      </c>
      <c r="C156" s="1145"/>
      <c r="D156" s="1120" t="s">
        <v>1010</v>
      </c>
      <c r="E156" s="1121">
        <v>9003037</v>
      </c>
      <c r="F156" s="1122">
        <v>2357500</v>
      </c>
      <c r="G156" s="1122">
        <v>0</v>
      </c>
      <c r="H156" s="1119">
        <f t="shared" si="3"/>
        <v>11360537</v>
      </c>
      <c r="J156" s="1132"/>
      <c r="K156" s="1127"/>
      <c r="M156" s="1125"/>
      <c r="P156" s="1126" t="s">
        <v>1631</v>
      </c>
    </row>
    <row r="157" spans="1:16" s="1123" customFormat="1">
      <c r="A157" s="1079">
        <v>127</v>
      </c>
      <c r="B157" s="1079" t="s">
        <v>1015</v>
      </c>
      <c r="C157" s="1120" t="s">
        <v>43</v>
      </c>
      <c r="D157" s="1120" t="s">
        <v>1010</v>
      </c>
      <c r="E157" s="1121">
        <v>909338500</v>
      </c>
      <c r="F157" s="1122">
        <v>0</v>
      </c>
      <c r="G157" s="1122">
        <v>0</v>
      </c>
      <c r="H157" s="1119">
        <f t="shared" si="3"/>
        <v>909338500</v>
      </c>
      <c r="J157" s="1132"/>
      <c r="K157" s="1127"/>
      <c r="M157" s="1125"/>
      <c r="P157" s="1126" t="s">
        <v>1633</v>
      </c>
    </row>
    <row r="158" spans="1:16" s="1123" customFormat="1">
      <c r="A158" s="1079">
        <v>128</v>
      </c>
      <c r="B158" s="1079" t="s">
        <v>254</v>
      </c>
      <c r="C158" s="1120" t="s">
        <v>43</v>
      </c>
      <c r="D158" s="1120" t="s">
        <v>1010</v>
      </c>
      <c r="E158" s="1121">
        <v>-615276563.73000002</v>
      </c>
      <c r="F158" s="1122">
        <v>0</v>
      </c>
      <c r="G158" s="1122">
        <v>7001475</v>
      </c>
      <c r="H158" s="1119">
        <f t="shared" si="3"/>
        <v>-622278038.73000002</v>
      </c>
      <c r="I158" s="1127">
        <f>SUM(H3:H157)</f>
        <v>53140277023.26001</v>
      </c>
      <c r="J158" s="1132"/>
      <c r="K158" s="1148"/>
      <c r="P158" s="1126" t="s">
        <v>1635</v>
      </c>
    </row>
    <row r="159" spans="1:16" s="1123" customFormat="1">
      <c r="A159" s="1079">
        <v>130</v>
      </c>
      <c r="B159" s="1079" t="s">
        <v>308</v>
      </c>
      <c r="C159" s="1120" t="s">
        <v>17</v>
      </c>
      <c r="D159" s="1120" t="s">
        <v>10</v>
      </c>
      <c r="E159" s="1121">
        <v>-137626899</v>
      </c>
      <c r="F159" s="1122">
        <v>137626901</v>
      </c>
      <c r="G159" s="1122">
        <v>220000299.5</v>
      </c>
      <c r="H159" s="1119">
        <f t="shared" si="3"/>
        <v>-220000297.5</v>
      </c>
      <c r="J159" s="1132"/>
      <c r="K159" s="1148"/>
      <c r="P159" s="1126" t="s">
        <v>1637</v>
      </c>
    </row>
    <row r="160" spans="1:16" s="1123" customFormat="1">
      <c r="A160" s="1079">
        <v>131</v>
      </c>
      <c r="B160" s="1079" t="s">
        <v>310</v>
      </c>
      <c r="C160" s="1120" t="s">
        <v>17</v>
      </c>
      <c r="D160" s="1120" t="s">
        <v>10</v>
      </c>
      <c r="E160" s="1121">
        <v>-4910305.9800000004</v>
      </c>
      <c r="F160" s="1122">
        <v>4910297</v>
      </c>
      <c r="G160" s="1122">
        <v>11485274</v>
      </c>
      <c r="H160" s="1119">
        <f t="shared" si="3"/>
        <v>-11485282.98</v>
      </c>
      <c r="J160" s="1132"/>
      <c r="K160" s="1148"/>
      <c r="P160" s="1126" t="s">
        <v>1639</v>
      </c>
    </row>
    <row r="161" spans="1:16" s="1123" customFormat="1">
      <c r="A161" s="1079">
        <v>132</v>
      </c>
      <c r="B161" s="1079" t="s">
        <v>313</v>
      </c>
      <c r="C161" s="1120" t="s">
        <v>17</v>
      </c>
      <c r="D161" s="1120" t="s">
        <v>10</v>
      </c>
      <c r="E161" s="1121">
        <v>-7414794</v>
      </c>
      <c r="F161" s="1122">
        <v>14829588</v>
      </c>
      <c r="G161" s="1122">
        <v>7414794</v>
      </c>
      <c r="H161" s="1119">
        <f t="shared" si="3"/>
        <v>0</v>
      </c>
      <c r="J161" s="1132"/>
      <c r="K161" s="1149"/>
      <c r="P161" s="1126" t="s">
        <v>1641</v>
      </c>
    </row>
    <row r="162" spans="1:16" s="1123" customFormat="1">
      <c r="A162" s="1079">
        <v>133</v>
      </c>
      <c r="B162" s="1079" t="s">
        <v>316</v>
      </c>
      <c r="C162" s="1120" t="s">
        <v>17</v>
      </c>
      <c r="D162" s="1120" t="s">
        <v>10</v>
      </c>
      <c r="E162" s="1121">
        <v>-136551700.58999991</v>
      </c>
      <c r="F162" s="1122">
        <v>1367175305.3299999</v>
      </c>
      <c r="G162" s="1122">
        <v>1405141873.27</v>
      </c>
      <c r="H162" s="1119">
        <f t="shared" si="3"/>
        <v>-174518268.52999997</v>
      </c>
      <c r="I162" s="1150"/>
      <c r="J162" s="1142"/>
      <c r="K162" s="1151"/>
      <c r="L162" s="1127"/>
      <c r="P162" s="1126" t="s">
        <v>1643</v>
      </c>
    </row>
    <row r="163" spans="1:16" s="1123" customFormat="1">
      <c r="A163" s="1079">
        <v>134</v>
      </c>
      <c r="B163" s="1079" t="s">
        <v>31</v>
      </c>
      <c r="C163" s="1120" t="s">
        <v>1013</v>
      </c>
      <c r="D163" s="1120" t="s">
        <v>1010</v>
      </c>
      <c r="E163" s="1121">
        <v>-99723434</v>
      </c>
      <c r="F163" s="1122">
        <v>0</v>
      </c>
      <c r="G163" s="1122">
        <v>0</v>
      </c>
      <c r="H163" s="1119">
        <f t="shared" si="3"/>
        <v>-99723434</v>
      </c>
      <c r="J163" s="1132"/>
      <c r="K163" s="1079"/>
      <c r="M163" s="1125"/>
      <c r="P163" s="1126" t="s">
        <v>1645</v>
      </c>
    </row>
    <row r="164" spans="1:16" s="1123" customFormat="1">
      <c r="A164" s="1079">
        <v>135</v>
      </c>
      <c r="B164" s="1079" t="s">
        <v>318</v>
      </c>
      <c r="C164" s="1120" t="s">
        <v>13</v>
      </c>
      <c r="D164" s="1120" t="s">
        <v>10</v>
      </c>
      <c r="E164" s="1121">
        <v>-40712601</v>
      </c>
      <c r="F164" s="1122">
        <v>40712592</v>
      </c>
      <c r="G164" s="1122">
        <v>4227329</v>
      </c>
      <c r="H164" s="1119">
        <f t="shared" si="3"/>
        <v>-4227338</v>
      </c>
      <c r="J164" s="1132"/>
      <c r="M164" s="1125"/>
      <c r="P164" s="1126" t="s">
        <v>1647</v>
      </c>
    </row>
    <row r="165" spans="1:16" s="1123" customFormat="1">
      <c r="A165" s="1079">
        <v>136</v>
      </c>
      <c r="B165" s="1079" t="s">
        <v>295</v>
      </c>
      <c r="C165" s="1120" t="s">
        <v>13</v>
      </c>
      <c r="D165" s="1120" t="s">
        <v>10</v>
      </c>
      <c r="E165" s="1121">
        <v>-1156598477.4100001</v>
      </c>
      <c r="F165" s="1122">
        <v>1255081029</v>
      </c>
      <c r="G165" s="1122">
        <v>1242902020</v>
      </c>
      <c r="H165" s="1119">
        <f t="shared" si="3"/>
        <v>-1144419468.4100001</v>
      </c>
      <c r="J165" s="1132"/>
      <c r="K165" s="1130"/>
      <c r="P165" s="1126" t="s">
        <v>1649</v>
      </c>
    </row>
    <row r="166" spans="1:16" s="1123" customFormat="1">
      <c r="A166" s="1079">
        <v>137</v>
      </c>
      <c r="B166" s="1079" t="s">
        <v>297</v>
      </c>
      <c r="C166" s="1120" t="s">
        <v>1016</v>
      </c>
      <c r="D166" s="1120" t="s">
        <v>10</v>
      </c>
      <c r="E166" s="1121">
        <v>-875841128</v>
      </c>
      <c r="F166" s="1122">
        <v>0</v>
      </c>
      <c r="G166" s="1122">
        <v>349963526</v>
      </c>
      <c r="H166" s="1119">
        <f t="shared" si="3"/>
        <v>-1225804654</v>
      </c>
      <c r="J166" s="1132"/>
      <c r="P166" s="1126" t="s">
        <v>1651</v>
      </c>
    </row>
    <row r="167" spans="1:16" s="1123" customFormat="1">
      <c r="A167" s="1079">
        <v>138</v>
      </c>
      <c r="B167" s="1079" t="s">
        <v>333</v>
      </c>
      <c r="C167" s="1120" t="s">
        <v>19</v>
      </c>
      <c r="D167" s="1120" t="s">
        <v>10</v>
      </c>
      <c r="E167" s="1131">
        <v>-149943323</v>
      </c>
      <c r="F167" s="1122">
        <v>22492704</v>
      </c>
      <c r="G167" s="1122">
        <v>0</v>
      </c>
      <c r="H167" s="1119">
        <f t="shared" si="3"/>
        <v>-127450619</v>
      </c>
      <c r="J167" s="1132"/>
      <c r="L167" s="1130"/>
      <c r="P167" s="1126" t="s">
        <v>1653</v>
      </c>
    </row>
    <row r="168" spans="1:16" s="1123" customFormat="1">
      <c r="A168" s="1079">
        <v>139</v>
      </c>
      <c r="B168" s="1079" t="s">
        <v>335</v>
      </c>
      <c r="C168" s="1120" t="s">
        <v>19</v>
      </c>
      <c r="D168" s="1120" t="s">
        <v>10</v>
      </c>
      <c r="E168" s="1121">
        <v>-324711698</v>
      </c>
      <c r="F168" s="1122">
        <v>15193223</v>
      </c>
      <c r="G168" s="1122">
        <v>0</v>
      </c>
      <c r="H168" s="1119">
        <f t="shared" si="3"/>
        <v>-309518475</v>
      </c>
      <c r="J168" s="1132"/>
      <c r="P168" s="1126" t="s">
        <v>1653</v>
      </c>
    </row>
    <row r="169" spans="1:16" s="1123" customFormat="1">
      <c r="A169" s="1079"/>
      <c r="B169" s="1079" t="s">
        <v>1393</v>
      </c>
      <c r="C169" s="1120"/>
      <c r="D169" s="1120"/>
      <c r="E169" s="1121">
        <v>-434574000</v>
      </c>
      <c r="F169" s="1122">
        <v>0</v>
      </c>
      <c r="G169" s="1122">
        <v>0</v>
      </c>
      <c r="H169" s="1119">
        <f t="shared" si="3"/>
        <v>-434574000</v>
      </c>
      <c r="J169" s="1132"/>
      <c r="P169" s="1126" t="s">
        <v>1653</v>
      </c>
    </row>
    <row r="170" spans="1:16" s="1123" customFormat="1">
      <c r="A170" s="1079">
        <v>140</v>
      </c>
      <c r="B170" s="1079" t="s">
        <v>299</v>
      </c>
      <c r="C170" s="1120" t="s">
        <v>13</v>
      </c>
      <c r="D170" s="1120" t="s">
        <v>10</v>
      </c>
      <c r="E170" s="1121">
        <v>-5016202301</v>
      </c>
      <c r="F170" s="1122">
        <v>0</v>
      </c>
      <c r="G170" s="1122">
        <v>22363338</v>
      </c>
      <c r="H170" s="1119">
        <f t="shared" si="3"/>
        <v>-5038565639</v>
      </c>
      <c r="J170" s="1132"/>
      <c r="P170" s="1126" t="s">
        <v>1658</v>
      </c>
    </row>
    <row r="171" spans="1:16" s="1123" customFormat="1">
      <c r="A171" s="1079">
        <v>141</v>
      </c>
      <c r="B171" s="1079" t="s">
        <v>300</v>
      </c>
      <c r="C171" s="1120" t="s">
        <v>13</v>
      </c>
      <c r="D171" s="1120" t="s">
        <v>10</v>
      </c>
      <c r="E171" s="1121">
        <v>-442000599</v>
      </c>
      <c r="F171" s="1122">
        <v>442000599</v>
      </c>
      <c r="G171" s="1122">
        <v>0</v>
      </c>
      <c r="H171" s="1119">
        <f t="shared" si="3"/>
        <v>0</v>
      </c>
      <c r="J171" s="1132"/>
      <c r="P171" s="1126" t="s">
        <v>1658</v>
      </c>
    </row>
    <row r="172" spans="1:16" s="1123" customFormat="1">
      <c r="A172" s="1079"/>
      <c r="B172" s="1079" t="s">
        <v>1071</v>
      </c>
      <c r="C172" s="1120"/>
      <c r="D172" s="1120"/>
      <c r="E172" s="1121">
        <v>-646646845</v>
      </c>
      <c r="F172" s="1122">
        <v>10073505</v>
      </c>
      <c r="G172" s="1122">
        <v>0</v>
      </c>
      <c r="H172" s="1119">
        <f t="shared" si="3"/>
        <v>-636573340</v>
      </c>
      <c r="J172" s="1132">
        <f>SUM(H3:H158)</f>
        <v>52517998984.530006</v>
      </c>
      <c r="L172" s="1127">
        <f>J172-K172</f>
        <v>52517998984.530006</v>
      </c>
      <c r="P172" s="1126" t="s">
        <v>1653</v>
      </c>
    </row>
    <row r="173" spans="1:16">
      <c r="A173" s="265">
        <v>142</v>
      </c>
      <c r="B173" s="265" t="s">
        <v>1017</v>
      </c>
      <c r="C173" s="1072" t="s">
        <v>1018</v>
      </c>
      <c r="D173" s="1072" t="s">
        <v>27</v>
      </c>
      <c r="E173" s="1063">
        <v>-26257500000</v>
      </c>
      <c r="F173" s="1094">
        <v>0</v>
      </c>
      <c r="G173" s="1094">
        <v>0</v>
      </c>
      <c r="H173" s="1104">
        <f t="shared" si="3"/>
        <v>-26257500000</v>
      </c>
      <c r="J173" s="420">
        <f>H154+H152</f>
        <v>1887725361</v>
      </c>
      <c r="P173" t="s">
        <v>1662</v>
      </c>
    </row>
    <row r="174" spans="1:16">
      <c r="A174" s="265">
        <v>143</v>
      </c>
      <c r="B174" s="265" t="s">
        <v>1019</v>
      </c>
      <c r="C174" s="1072" t="s">
        <v>1018</v>
      </c>
      <c r="D174" s="1072" t="s">
        <v>27</v>
      </c>
      <c r="E174" s="1063">
        <v>-2500000</v>
      </c>
      <c r="F174" s="1094">
        <v>0</v>
      </c>
      <c r="G174" s="1094">
        <v>0</v>
      </c>
      <c r="H174" s="1104">
        <f t="shared" si="3"/>
        <v>-2500000</v>
      </c>
      <c r="J174" s="420">
        <f>J172-J173</f>
        <v>50630273623.530006</v>
      </c>
      <c r="P174" t="s">
        <v>1662</v>
      </c>
    </row>
    <row r="175" spans="1:16">
      <c r="A175" s="265">
        <v>144</v>
      </c>
      <c r="B175" s="265" t="s">
        <v>48</v>
      </c>
      <c r="C175" s="1072" t="s">
        <v>1018</v>
      </c>
      <c r="D175" s="1072" t="s">
        <v>27</v>
      </c>
      <c r="E175" s="1063">
        <v>5171044500</v>
      </c>
      <c r="F175" s="1094">
        <v>1475257500</v>
      </c>
      <c r="G175" s="1094">
        <v>1502857500</v>
      </c>
      <c r="H175" s="1104">
        <f t="shared" si="3"/>
        <v>5143444500</v>
      </c>
      <c r="J175" s="420">
        <f>'Dec''17'!O25-'Dec''17'!O20-'Detail WBS''1217'!P61</f>
        <v>0</v>
      </c>
      <c r="M175" s="1073"/>
      <c r="P175" t="s">
        <v>1665</v>
      </c>
    </row>
    <row r="176" spans="1:16">
      <c r="A176" s="265">
        <v>145</v>
      </c>
      <c r="B176" s="265" t="s">
        <v>40</v>
      </c>
      <c r="C176" s="1072" t="s">
        <v>41</v>
      </c>
      <c r="D176" s="1072" t="s">
        <v>27</v>
      </c>
      <c r="E176" s="1063">
        <v>-21867985292.73</v>
      </c>
      <c r="F176" s="1094">
        <v>0</v>
      </c>
      <c r="G176" s="1094">
        <v>0</v>
      </c>
      <c r="H176" s="1104">
        <f t="shared" si="3"/>
        <v>-21867985292.73</v>
      </c>
      <c r="J176" s="420">
        <f>J175-J174</f>
        <v>-50630273623.530006</v>
      </c>
      <c r="M176" s="1073"/>
      <c r="P176" t="s">
        <v>1667</v>
      </c>
    </row>
    <row r="177" spans="1:16">
      <c r="A177" s="265">
        <v>146</v>
      </c>
      <c r="B177" s="265" t="s">
        <v>1020</v>
      </c>
      <c r="C177" s="1072" t="s">
        <v>41</v>
      </c>
      <c r="D177" s="1072" t="s">
        <v>27</v>
      </c>
      <c r="E177" s="1063">
        <v>-683638322</v>
      </c>
      <c r="F177" s="1094">
        <v>683638323</v>
      </c>
      <c r="G177" s="1094">
        <v>1</v>
      </c>
      <c r="H177" s="1104">
        <f t="shared" si="3"/>
        <v>0</v>
      </c>
      <c r="M177" s="1073"/>
      <c r="P177" t="s">
        <v>1665</v>
      </c>
    </row>
    <row r="178" spans="1:16">
      <c r="A178" s="265">
        <v>147</v>
      </c>
      <c r="B178" s="265" t="s">
        <v>1021</v>
      </c>
      <c r="C178" s="1072" t="s">
        <v>57</v>
      </c>
      <c r="D178" s="1072" t="s">
        <v>27</v>
      </c>
      <c r="E178" s="1063">
        <v>-2233155</v>
      </c>
      <c r="F178" s="1094">
        <v>0</v>
      </c>
      <c r="G178" s="1094">
        <v>0</v>
      </c>
      <c r="H178" s="1104">
        <f t="shared" si="3"/>
        <v>-2233155</v>
      </c>
      <c r="J178" s="440">
        <f>F178-G178</f>
        <v>0</v>
      </c>
      <c r="M178" s="1073"/>
      <c r="P178" t="s">
        <v>1670</v>
      </c>
    </row>
    <row r="179" spans="1:16">
      <c r="A179" s="265">
        <v>148</v>
      </c>
      <c r="B179" s="265" t="s">
        <v>1022</v>
      </c>
      <c r="C179" s="1072" t="s">
        <v>57</v>
      </c>
      <c r="D179" s="1072" t="s">
        <v>27</v>
      </c>
      <c r="E179" s="1063">
        <v>-0.21</v>
      </c>
      <c r="F179" s="1094">
        <v>0.21</v>
      </c>
      <c r="G179" s="1094">
        <v>0</v>
      </c>
      <c r="H179" s="1104">
        <f t="shared" si="3"/>
        <v>0</v>
      </c>
      <c r="J179" s="440">
        <f t="shared" ref="J179:J242" si="4">F179-G179</f>
        <v>0.21</v>
      </c>
      <c r="M179" s="1073"/>
      <c r="P179" t="s">
        <v>1670</v>
      </c>
    </row>
    <row r="180" spans="1:16">
      <c r="A180" s="265">
        <v>149</v>
      </c>
      <c r="B180" s="265" t="s">
        <v>1023</v>
      </c>
      <c r="C180" s="1072" t="s">
        <v>57</v>
      </c>
      <c r="D180" s="1072" t="s">
        <v>27</v>
      </c>
      <c r="E180" s="1063">
        <v>-1996379639.3</v>
      </c>
      <c r="F180" s="1094">
        <v>0</v>
      </c>
      <c r="G180" s="1094">
        <v>123502717.86</v>
      </c>
      <c r="H180" s="1104">
        <f t="shared" si="3"/>
        <v>-2119882357.1599998</v>
      </c>
      <c r="J180" s="440">
        <f t="shared" si="4"/>
        <v>-123502717.86</v>
      </c>
      <c r="M180" s="1073"/>
      <c r="P180" t="s">
        <v>1670</v>
      </c>
    </row>
    <row r="181" spans="1:16">
      <c r="A181" s="265">
        <v>150</v>
      </c>
      <c r="B181" s="265" t="s">
        <v>1024</v>
      </c>
      <c r="C181" s="1072" t="s">
        <v>57</v>
      </c>
      <c r="D181" s="1072" t="s">
        <v>27</v>
      </c>
      <c r="E181" s="1063">
        <v>-4602882770.4799995</v>
      </c>
      <c r="F181" s="1094">
        <v>0</v>
      </c>
      <c r="G181" s="1094">
        <v>355018305.31999999</v>
      </c>
      <c r="H181" s="1104">
        <f t="shared" si="3"/>
        <v>-4957901075.7999992</v>
      </c>
      <c r="J181" s="440">
        <f t="shared" si="4"/>
        <v>-355018305.31999999</v>
      </c>
      <c r="M181" s="1073"/>
      <c r="P181" t="s">
        <v>1670</v>
      </c>
    </row>
    <row r="182" spans="1:16">
      <c r="A182" s="265">
        <v>151</v>
      </c>
      <c r="B182" s="265" t="s">
        <v>1025</v>
      </c>
      <c r="C182" s="1072" t="s">
        <v>57</v>
      </c>
      <c r="D182" s="1072" t="s">
        <v>27</v>
      </c>
      <c r="E182" s="1063">
        <v>-465685083.26999998</v>
      </c>
      <c r="F182" s="1094">
        <v>0</v>
      </c>
      <c r="G182" s="1094">
        <v>33765723.770000003</v>
      </c>
      <c r="H182" s="1104">
        <f t="shared" si="3"/>
        <v>-499450807.03999996</v>
      </c>
      <c r="J182" s="440">
        <f t="shared" si="4"/>
        <v>-33765723.770000003</v>
      </c>
      <c r="M182" s="1073"/>
      <c r="P182" t="s">
        <v>1670</v>
      </c>
    </row>
    <row r="183" spans="1:16">
      <c r="A183" s="265">
        <v>152</v>
      </c>
      <c r="B183" s="265" t="s">
        <v>1026</v>
      </c>
      <c r="C183" s="1072" t="s">
        <v>57</v>
      </c>
      <c r="D183" s="1072" t="s">
        <v>27</v>
      </c>
      <c r="E183" s="1063">
        <v>-85105945.810000002</v>
      </c>
      <c r="F183" s="1094">
        <v>0</v>
      </c>
      <c r="G183" s="1094">
        <v>3399060.41</v>
      </c>
      <c r="H183" s="1104">
        <f t="shared" si="3"/>
        <v>-88505006.219999999</v>
      </c>
      <c r="J183" s="440">
        <f t="shared" si="4"/>
        <v>-3399060.41</v>
      </c>
      <c r="M183" s="1073"/>
      <c r="P183" t="s">
        <v>1670</v>
      </c>
    </row>
    <row r="184" spans="1:16">
      <c r="A184" s="265">
        <v>153</v>
      </c>
      <c r="B184" s="265" t="s">
        <v>1027</v>
      </c>
      <c r="C184" s="1072" t="s">
        <v>57</v>
      </c>
      <c r="D184" s="1072" t="s">
        <v>27</v>
      </c>
      <c r="E184" s="1063">
        <v>-3241899602.2099996</v>
      </c>
      <c r="F184" s="1094">
        <v>0</v>
      </c>
      <c r="G184" s="1094">
        <v>161738492.53</v>
      </c>
      <c r="H184" s="1104">
        <f t="shared" si="3"/>
        <v>-3403638094.7399998</v>
      </c>
      <c r="J184" s="440">
        <f t="shared" si="4"/>
        <v>-161738492.53</v>
      </c>
      <c r="M184" s="1073"/>
      <c r="P184" t="s">
        <v>1670</v>
      </c>
    </row>
    <row r="185" spans="1:16">
      <c r="A185" s="265">
        <v>154</v>
      </c>
      <c r="B185" s="265" t="s">
        <v>1028</v>
      </c>
      <c r="C185" s="1072" t="s">
        <v>57</v>
      </c>
      <c r="D185" s="1072" t="s">
        <v>27</v>
      </c>
      <c r="E185" s="1063">
        <v>-867610662.5</v>
      </c>
      <c r="F185" s="1094">
        <v>0</v>
      </c>
      <c r="G185" s="1094">
        <v>79287513.200000003</v>
      </c>
      <c r="H185" s="1104">
        <f t="shared" si="3"/>
        <v>-946898175.70000005</v>
      </c>
      <c r="J185" s="440">
        <f t="shared" si="4"/>
        <v>-79287513.200000003</v>
      </c>
      <c r="M185" s="1073"/>
      <c r="P185" t="s">
        <v>1670</v>
      </c>
    </row>
    <row r="186" spans="1:16">
      <c r="A186" s="265">
        <v>155</v>
      </c>
      <c r="B186" s="265" t="s">
        <v>1029</v>
      </c>
      <c r="C186" s="1072" t="s">
        <v>57</v>
      </c>
      <c r="D186" s="1072" t="s">
        <v>27</v>
      </c>
      <c r="E186" s="1063">
        <v>-140428074.56</v>
      </c>
      <c r="F186" s="1094">
        <v>0</v>
      </c>
      <c r="G186" s="1094">
        <v>11726310.939999999</v>
      </c>
      <c r="H186" s="1104">
        <f t="shared" si="3"/>
        <v>-152154385.5</v>
      </c>
      <c r="J186" s="440">
        <f t="shared" si="4"/>
        <v>-11726310.939999999</v>
      </c>
      <c r="M186" s="1073"/>
      <c r="P186" t="s">
        <v>1670</v>
      </c>
    </row>
    <row r="187" spans="1:16">
      <c r="A187" s="265">
        <v>156</v>
      </c>
      <c r="B187" s="265" t="s">
        <v>1030</v>
      </c>
      <c r="C187" s="1072" t="s">
        <v>57</v>
      </c>
      <c r="D187" s="1072" t="s">
        <v>27</v>
      </c>
      <c r="E187" s="1063">
        <v>-44141768.410000004</v>
      </c>
      <c r="F187" s="1094">
        <v>0</v>
      </c>
      <c r="G187" s="1094">
        <v>692088.84</v>
      </c>
      <c r="H187" s="1104">
        <f t="shared" si="3"/>
        <v>-44833857.250000007</v>
      </c>
      <c r="J187" s="440">
        <f t="shared" si="4"/>
        <v>-692088.84</v>
      </c>
      <c r="M187" s="1073"/>
      <c r="P187" t="s">
        <v>1670</v>
      </c>
    </row>
    <row r="188" spans="1:16">
      <c r="A188" s="265">
        <v>157</v>
      </c>
      <c r="B188" s="265" t="s">
        <v>1031</v>
      </c>
      <c r="C188" s="1072" t="s">
        <v>57</v>
      </c>
      <c r="D188" s="1072" t="s">
        <v>27</v>
      </c>
      <c r="E188" s="1063">
        <v>-2137104524.79</v>
      </c>
      <c r="F188" s="1094">
        <v>0</v>
      </c>
      <c r="G188" s="1094">
        <v>241001774.5</v>
      </c>
      <c r="H188" s="1104">
        <f t="shared" si="3"/>
        <v>-2378106299.29</v>
      </c>
      <c r="J188" s="440">
        <f t="shared" si="4"/>
        <v>-241001774.5</v>
      </c>
      <c r="M188" s="1073"/>
      <c r="P188" t="s">
        <v>1670</v>
      </c>
    </row>
    <row r="189" spans="1:16">
      <c r="A189" s="265">
        <v>158</v>
      </c>
      <c r="B189" s="265" t="s">
        <v>1032</v>
      </c>
      <c r="C189" s="1072" t="s">
        <v>57</v>
      </c>
      <c r="D189" s="1072" t="s">
        <v>27</v>
      </c>
      <c r="E189" s="1063">
        <v>-434347544.14000005</v>
      </c>
      <c r="F189" s="1094">
        <v>0</v>
      </c>
      <c r="G189" s="1094">
        <v>7085764.0800000001</v>
      </c>
      <c r="H189" s="1104">
        <f t="shared" si="3"/>
        <v>-441433308.22000003</v>
      </c>
      <c r="J189" s="440">
        <f t="shared" si="4"/>
        <v>-7085764.0800000001</v>
      </c>
      <c r="M189" s="1073"/>
      <c r="P189" t="s">
        <v>1670</v>
      </c>
    </row>
    <row r="190" spans="1:16">
      <c r="A190" s="265">
        <v>159</v>
      </c>
      <c r="B190" s="265" t="s">
        <v>1033</v>
      </c>
      <c r="C190" s="1072" t="s">
        <v>57</v>
      </c>
      <c r="D190" s="1072" t="s">
        <v>27</v>
      </c>
      <c r="E190" s="1063">
        <v>-59083894.519999996</v>
      </c>
      <c r="F190" s="1094">
        <v>0</v>
      </c>
      <c r="G190" s="1094">
        <v>6311265.4699999997</v>
      </c>
      <c r="H190" s="1104">
        <f t="shared" si="3"/>
        <v>-65395159.989999995</v>
      </c>
      <c r="J190" s="440">
        <f t="shared" si="4"/>
        <v>-6311265.4699999997</v>
      </c>
      <c r="M190" s="1073"/>
      <c r="P190" t="s">
        <v>1670</v>
      </c>
    </row>
    <row r="191" spans="1:16">
      <c r="A191" s="265">
        <v>160</v>
      </c>
      <c r="B191" s="265" t="s">
        <v>1034</v>
      </c>
      <c r="C191" s="1072" t="s">
        <v>57</v>
      </c>
      <c r="D191" s="1072" t="s">
        <v>27</v>
      </c>
      <c r="E191" s="1063">
        <v>-11670410.48</v>
      </c>
      <c r="F191" s="1094">
        <v>0</v>
      </c>
      <c r="G191" s="1094">
        <v>0</v>
      </c>
      <c r="H191" s="1104">
        <f t="shared" si="3"/>
        <v>-11670410.48</v>
      </c>
      <c r="J191" s="440">
        <f t="shared" si="4"/>
        <v>0</v>
      </c>
      <c r="M191" s="1073"/>
      <c r="P191" t="s">
        <v>1670</v>
      </c>
    </row>
    <row r="192" spans="1:16">
      <c r="A192" s="265">
        <v>161</v>
      </c>
      <c r="B192" s="265" t="s">
        <v>1035</v>
      </c>
      <c r="C192" s="1072" t="s">
        <v>57</v>
      </c>
      <c r="D192" s="1072" t="s">
        <v>27</v>
      </c>
      <c r="E192" s="1063">
        <v>-302888048.15999997</v>
      </c>
      <c r="F192" s="1094">
        <v>0</v>
      </c>
      <c r="G192" s="1094">
        <v>28871510.68</v>
      </c>
      <c r="H192" s="1104">
        <f t="shared" si="3"/>
        <v>-331759558.83999997</v>
      </c>
      <c r="J192" s="440">
        <f t="shared" si="4"/>
        <v>-28871510.68</v>
      </c>
      <c r="M192" s="1073"/>
      <c r="P192" t="s">
        <v>1670</v>
      </c>
    </row>
    <row r="193" spans="1:16">
      <c r="A193" s="265">
        <v>162</v>
      </c>
      <c r="B193" s="265" t="s">
        <v>1036</v>
      </c>
      <c r="C193" s="1072" t="s">
        <v>57</v>
      </c>
      <c r="D193" s="1072" t="s">
        <v>27</v>
      </c>
      <c r="E193" s="1063">
        <v>-312034820.12</v>
      </c>
      <c r="F193" s="1094">
        <v>0</v>
      </c>
      <c r="G193" s="1094">
        <v>14660506.6</v>
      </c>
      <c r="H193" s="1104">
        <f t="shared" si="3"/>
        <v>-326695326.72000003</v>
      </c>
      <c r="J193" s="440">
        <f t="shared" si="4"/>
        <v>-14660506.6</v>
      </c>
      <c r="M193" s="1073"/>
      <c r="P193" t="s">
        <v>1670</v>
      </c>
    </row>
    <row r="194" spans="1:16">
      <c r="A194" s="265">
        <v>163</v>
      </c>
      <c r="B194" s="265" t="s">
        <v>1037</v>
      </c>
      <c r="C194" s="1072" t="s">
        <v>57</v>
      </c>
      <c r="D194" s="1072" t="s">
        <v>27</v>
      </c>
      <c r="E194" s="1063">
        <v>-683196329.01999998</v>
      </c>
      <c r="F194" s="1094">
        <v>0</v>
      </c>
      <c r="G194" s="1094">
        <v>93423518.150000006</v>
      </c>
      <c r="H194" s="1104">
        <f t="shared" si="3"/>
        <v>-776619847.16999996</v>
      </c>
      <c r="J194" s="440">
        <f t="shared" si="4"/>
        <v>-93423518.150000006</v>
      </c>
      <c r="M194" s="1073"/>
      <c r="P194" t="s">
        <v>1670</v>
      </c>
    </row>
    <row r="195" spans="1:16">
      <c r="A195" s="265">
        <v>164</v>
      </c>
      <c r="B195" s="265" t="s">
        <v>1038</v>
      </c>
      <c r="C195" s="1072" t="s">
        <v>57</v>
      </c>
      <c r="D195" s="1072" t="s">
        <v>27</v>
      </c>
      <c r="E195" s="1063">
        <v>-685849079.41000009</v>
      </c>
      <c r="F195" s="1094">
        <v>0</v>
      </c>
      <c r="G195" s="1094">
        <v>26998232.039999999</v>
      </c>
      <c r="H195" s="1104">
        <f t="shared" si="3"/>
        <v>-712847311.45000005</v>
      </c>
      <c r="J195" s="440">
        <f t="shared" si="4"/>
        <v>-26998232.039999999</v>
      </c>
      <c r="M195" s="1073"/>
      <c r="P195" t="s">
        <v>1670</v>
      </c>
    </row>
    <row r="196" spans="1:16">
      <c r="A196" s="265">
        <v>165</v>
      </c>
      <c r="B196" s="265" t="s">
        <v>1039</v>
      </c>
      <c r="C196" s="1072" t="s">
        <v>57</v>
      </c>
      <c r="D196" s="1072" t="s">
        <v>27</v>
      </c>
      <c r="E196" s="1063">
        <v>-279106559.06999999</v>
      </c>
      <c r="F196" s="1094">
        <v>0</v>
      </c>
      <c r="G196" s="1094">
        <v>32150546.440000001</v>
      </c>
      <c r="H196" s="1104">
        <f t="shared" ref="H196:H259" si="5">E196+F196-G196</f>
        <v>-311257105.50999999</v>
      </c>
      <c r="J196" s="440">
        <f t="shared" si="4"/>
        <v>-32150546.440000001</v>
      </c>
      <c r="M196" s="1073"/>
      <c r="P196" t="s">
        <v>1670</v>
      </c>
    </row>
    <row r="197" spans="1:16">
      <c r="A197" s="265">
        <v>166</v>
      </c>
      <c r="B197" s="265" t="s">
        <v>1040</v>
      </c>
      <c r="C197" s="1072" t="s">
        <v>57</v>
      </c>
      <c r="D197" s="1072" t="s">
        <v>27</v>
      </c>
      <c r="E197" s="1063">
        <v>-143722706.40000001</v>
      </c>
      <c r="F197" s="1094">
        <v>0</v>
      </c>
      <c r="G197" s="1094">
        <v>13220557.960000001</v>
      </c>
      <c r="H197" s="1104">
        <f t="shared" si="5"/>
        <v>-156943264.36000001</v>
      </c>
      <c r="J197" s="440">
        <f t="shared" si="4"/>
        <v>-13220557.960000001</v>
      </c>
      <c r="M197" s="1073"/>
      <c r="P197" t="s">
        <v>1670</v>
      </c>
    </row>
    <row r="198" spans="1:16">
      <c r="A198" s="265">
        <v>167</v>
      </c>
      <c r="B198" s="265" t="s">
        <v>1041</v>
      </c>
      <c r="C198" s="1072" t="s">
        <v>57</v>
      </c>
      <c r="D198" s="1072" t="s">
        <v>27</v>
      </c>
      <c r="E198" s="1063">
        <v>-78582104.100000009</v>
      </c>
      <c r="F198" s="1094">
        <v>0</v>
      </c>
      <c r="G198" s="1094">
        <v>7213602.0199999996</v>
      </c>
      <c r="H198" s="1104">
        <f t="shared" si="5"/>
        <v>-85795706.120000005</v>
      </c>
      <c r="J198" s="440">
        <f t="shared" si="4"/>
        <v>-7213602.0199999996</v>
      </c>
      <c r="M198" s="1073"/>
      <c r="P198" t="s">
        <v>1670</v>
      </c>
    </row>
    <row r="199" spans="1:16">
      <c r="A199" s="265">
        <v>168</v>
      </c>
      <c r="B199" s="265" t="s">
        <v>1042</v>
      </c>
      <c r="C199" s="1072" t="s">
        <v>57</v>
      </c>
      <c r="D199" s="1072" t="s">
        <v>27</v>
      </c>
      <c r="E199" s="1063">
        <v>-205475040.12</v>
      </c>
      <c r="F199" s="1094">
        <v>0</v>
      </c>
      <c r="G199" s="1094">
        <v>19732978.300000001</v>
      </c>
      <c r="H199" s="1104">
        <f t="shared" si="5"/>
        <v>-225208018.42000002</v>
      </c>
      <c r="J199" s="440">
        <f t="shared" si="4"/>
        <v>-19732978.300000001</v>
      </c>
      <c r="M199" s="1073"/>
      <c r="P199" t="s">
        <v>1670</v>
      </c>
    </row>
    <row r="200" spans="1:16">
      <c r="A200" s="265">
        <v>169</v>
      </c>
      <c r="B200" s="265" t="s">
        <v>1043</v>
      </c>
      <c r="C200" s="1072" t="s">
        <v>57</v>
      </c>
      <c r="D200" s="1072" t="s">
        <v>27</v>
      </c>
      <c r="E200" s="1063">
        <v>-326544779.55000001</v>
      </c>
      <c r="F200" s="1094">
        <v>0</v>
      </c>
      <c r="G200" s="1094">
        <v>31157885.050000001</v>
      </c>
      <c r="H200" s="1104">
        <f t="shared" si="5"/>
        <v>-357702664.60000002</v>
      </c>
      <c r="J200" s="440">
        <f t="shared" si="4"/>
        <v>-31157885.050000001</v>
      </c>
      <c r="M200" s="1073"/>
      <c r="P200" t="s">
        <v>1670</v>
      </c>
    </row>
    <row r="201" spans="1:16">
      <c r="A201" s="265">
        <v>170</v>
      </c>
      <c r="B201" s="265" t="s">
        <v>1044</v>
      </c>
      <c r="C201" s="1072" t="s">
        <v>57</v>
      </c>
      <c r="D201" s="1072" t="s">
        <v>27</v>
      </c>
      <c r="E201" s="1063">
        <v>-129219878.05000001</v>
      </c>
      <c r="F201" s="1094">
        <v>0</v>
      </c>
      <c r="G201" s="1094">
        <v>6713403.75</v>
      </c>
      <c r="H201" s="1104">
        <f t="shared" si="5"/>
        <v>-135933281.80000001</v>
      </c>
      <c r="J201" s="440">
        <f t="shared" si="4"/>
        <v>-6713403.75</v>
      </c>
      <c r="M201" s="1073"/>
      <c r="P201" t="s">
        <v>1670</v>
      </c>
    </row>
    <row r="202" spans="1:16">
      <c r="A202" s="265">
        <v>171</v>
      </c>
      <c r="B202" s="265" t="s">
        <v>1045</v>
      </c>
      <c r="C202" s="1072" t="s">
        <v>57</v>
      </c>
      <c r="D202" s="1072" t="s">
        <v>27</v>
      </c>
      <c r="E202" s="1063">
        <v>-51316338.989999995</v>
      </c>
      <c r="F202" s="1094">
        <v>0</v>
      </c>
      <c r="G202" s="1094">
        <v>4829992.88</v>
      </c>
      <c r="H202" s="1104">
        <f t="shared" si="5"/>
        <v>-56146331.869999997</v>
      </c>
      <c r="J202" s="440">
        <f t="shared" si="4"/>
        <v>-4829992.88</v>
      </c>
      <c r="M202" s="1073"/>
      <c r="P202" t="s">
        <v>1670</v>
      </c>
    </row>
    <row r="203" spans="1:16">
      <c r="A203" s="265">
        <v>172</v>
      </c>
      <c r="B203" s="265" t="s">
        <v>1046</v>
      </c>
      <c r="C203" s="1072" t="s">
        <v>57</v>
      </c>
      <c r="D203" s="1072" t="s">
        <v>27</v>
      </c>
      <c r="E203" s="1063">
        <v>-3310213763.4699998</v>
      </c>
      <c r="F203" s="1094">
        <v>0</v>
      </c>
      <c r="G203" s="1094">
        <v>255684974.44999999</v>
      </c>
      <c r="H203" s="1104">
        <f t="shared" si="5"/>
        <v>-3565898737.9199996</v>
      </c>
      <c r="J203" s="440">
        <f t="shared" si="4"/>
        <v>-255684974.44999999</v>
      </c>
      <c r="L203" s="1071"/>
      <c r="M203" s="1073"/>
      <c r="P203" t="s">
        <v>1670</v>
      </c>
    </row>
    <row r="204" spans="1:16">
      <c r="A204" s="265">
        <v>173</v>
      </c>
      <c r="B204" s="265" t="s">
        <v>1047</v>
      </c>
      <c r="C204" s="1072" t="s">
        <v>57</v>
      </c>
      <c r="D204" s="1072" t="s">
        <v>27</v>
      </c>
      <c r="E204" s="1063">
        <v>-226983280.55999997</v>
      </c>
      <c r="F204" s="1094">
        <v>0</v>
      </c>
      <c r="G204" s="1094">
        <v>16018890.33</v>
      </c>
      <c r="H204" s="1104">
        <f t="shared" si="5"/>
        <v>-243002170.88999999</v>
      </c>
      <c r="J204" s="440">
        <f t="shared" si="4"/>
        <v>-16018890.33</v>
      </c>
      <c r="K204" s="1071"/>
      <c r="M204" s="1073"/>
      <c r="P204" t="s">
        <v>1670</v>
      </c>
    </row>
    <row r="205" spans="1:16">
      <c r="A205" s="265">
        <v>174</v>
      </c>
      <c r="B205" s="265" t="s">
        <v>1048</v>
      </c>
      <c r="C205" s="1072" t="s">
        <v>57</v>
      </c>
      <c r="D205" s="1072" t="s">
        <v>27</v>
      </c>
      <c r="E205" s="1063">
        <v>-39678340.409999996</v>
      </c>
      <c r="F205" s="1094">
        <v>0</v>
      </c>
      <c r="G205" s="1094">
        <v>3709249.43</v>
      </c>
      <c r="H205" s="1104">
        <f t="shared" si="5"/>
        <v>-43387589.839999996</v>
      </c>
      <c r="J205" s="440">
        <f t="shared" si="4"/>
        <v>-3709249.43</v>
      </c>
      <c r="M205" s="1073"/>
      <c r="P205" t="s">
        <v>1670</v>
      </c>
    </row>
    <row r="206" spans="1:16">
      <c r="A206" s="265">
        <v>175</v>
      </c>
      <c r="B206" s="265" t="s">
        <v>1049</v>
      </c>
      <c r="C206" s="1072" t="s">
        <v>57</v>
      </c>
      <c r="D206" s="1072" t="s">
        <v>27</v>
      </c>
      <c r="E206" s="1063">
        <v>-329055179.73000002</v>
      </c>
      <c r="F206" s="1094">
        <v>0</v>
      </c>
      <c r="G206" s="1094">
        <v>116360300.48</v>
      </c>
      <c r="H206" s="1104">
        <f t="shared" si="5"/>
        <v>-445415480.21000004</v>
      </c>
      <c r="J206" s="440">
        <f t="shared" si="4"/>
        <v>-116360300.48</v>
      </c>
      <c r="M206" s="1073"/>
      <c r="P206" t="s">
        <v>1670</v>
      </c>
    </row>
    <row r="207" spans="1:16">
      <c r="A207" s="265">
        <v>176</v>
      </c>
      <c r="B207" s="265" t="s">
        <v>1050</v>
      </c>
      <c r="C207" s="1072" t="s">
        <v>57</v>
      </c>
      <c r="D207" s="1072" t="s">
        <v>27</v>
      </c>
      <c r="E207" s="1063">
        <v>-662818842.7299999</v>
      </c>
      <c r="F207" s="1094">
        <v>0</v>
      </c>
      <c r="G207" s="1094">
        <v>61668949.479999997</v>
      </c>
      <c r="H207" s="1104">
        <f t="shared" si="5"/>
        <v>-724487792.20999992</v>
      </c>
      <c r="J207" s="440">
        <f t="shared" si="4"/>
        <v>-61668949.479999997</v>
      </c>
      <c r="M207" s="1073"/>
      <c r="P207" t="s">
        <v>1670</v>
      </c>
    </row>
    <row r="208" spans="1:16">
      <c r="A208" s="265">
        <v>177</v>
      </c>
      <c r="B208" s="265" t="s">
        <v>1051</v>
      </c>
      <c r="C208" s="1072" t="s">
        <v>57</v>
      </c>
      <c r="D208" s="1072" t="s">
        <v>27</v>
      </c>
      <c r="E208" s="1063">
        <v>-150104894.01000002</v>
      </c>
      <c r="F208" s="1094">
        <v>0</v>
      </c>
      <c r="G208" s="1094">
        <v>14804307.359999999</v>
      </c>
      <c r="H208" s="1104">
        <f t="shared" si="5"/>
        <v>-164909201.37</v>
      </c>
      <c r="J208" s="440">
        <f t="shared" si="4"/>
        <v>-14804307.359999999</v>
      </c>
      <c r="M208" s="1073"/>
      <c r="P208" t="s">
        <v>1670</v>
      </c>
    </row>
    <row r="209" spans="1:16">
      <c r="A209" s="265">
        <v>178</v>
      </c>
      <c r="B209" s="265" t="s">
        <v>1052</v>
      </c>
      <c r="C209" s="1072" t="s">
        <v>57</v>
      </c>
      <c r="D209" s="1072" t="s">
        <v>27</v>
      </c>
      <c r="E209" s="1063">
        <v>-160625669.32999998</v>
      </c>
      <c r="F209" s="1094">
        <v>0</v>
      </c>
      <c r="G209" s="1094">
        <v>15286747.91</v>
      </c>
      <c r="H209" s="1104">
        <f t="shared" si="5"/>
        <v>-175912417.23999998</v>
      </c>
      <c r="J209" s="440">
        <f t="shared" si="4"/>
        <v>-15286747.91</v>
      </c>
      <c r="M209" s="1073"/>
      <c r="P209" t="s">
        <v>1670</v>
      </c>
    </row>
    <row r="210" spans="1:16">
      <c r="A210" s="265">
        <v>179</v>
      </c>
      <c r="B210" s="265" t="s">
        <v>1053</v>
      </c>
      <c r="C210" s="1072" t="s">
        <v>57</v>
      </c>
      <c r="D210" s="1072" t="s">
        <v>27</v>
      </c>
      <c r="E210" s="1063">
        <v>-435546350.74000001</v>
      </c>
      <c r="F210" s="1094">
        <v>0</v>
      </c>
      <c r="G210" s="1094">
        <v>47994157.299999997</v>
      </c>
      <c r="H210" s="1104">
        <f t="shared" si="5"/>
        <v>-483540508.04000002</v>
      </c>
      <c r="J210" s="440">
        <f t="shared" si="4"/>
        <v>-47994157.299999997</v>
      </c>
      <c r="M210" s="1073"/>
      <c r="P210" t="s">
        <v>1670</v>
      </c>
    </row>
    <row r="211" spans="1:16">
      <c r="A211" s="265">
        <v>180</v>
      </c>
      <c r="B211" s="265" t="s">
        <v>1054</v>
      </c>
      <c r="C211" s="1072" t="s">
        <v>57</v>
      </c>
      <c r="D211" s="1072" t="s">
        <v>27</v>
      </c>
      <c r="E211" s="1063">
        <v>-39208916.57</v>
      </c>
      <c r="F211" s="1094">
        <v>0</v>
      </c>
      <c r="G211" s="1094">
        <v>6821718.7800000003</v>
      </c>
      <c r="H211" s="1104">
        <f t="shared" si="5"/>
        <v>-46030635.350000001</v>
      </c>
      <c r="J211" s="440">
        <f t="shared" si="4"/>
        <v>-6821718.7800000003</v>
      </c>
      <c r="K211" s="1071"/>
      <c r="M211" s="1073"/>
      <c r="P211" t="s">
        <v>1670</v>
      </c>
    </row>
    <row r="212" spans="1:16">
      <c r="A212" s="265"/>
      <c r="B212" s="265" t="s">
        <v>1371</v>
      </c>
      <c r="C212" s="1072"/>
      <c r="D212" s="1072"/>
      <c r="E212" s="1063">
        <v>-103719938.34</v>
      </c>
      <c r="F212" s="1094">
        <v>0</v>
      </c>
      <c r="G212" s="1094">
        <v>24285885.280000001</v>
      </c>
      <c r="H212" s="1104">
        <f t="shared" si="5"/>
        <v>-128005823.62</v>
      </c>
      <c r="J212" s="440">
        <f t="shared" si="4"/>
        <v>-24285885.280000001</v>
      </c>
      <c r="K212" s="1071"/>
      <c r="M212" s="1073"/>
      <c r="P212" t="s">
        <v>1670</v>
      </c>
    </row>
    <row r="213" spans="1:16">
      <c r="A213" s="265"/>
      <c r="B213" s="265" t="s">
        <v>1372</v>
      </c>
      <c r="C213" s="1072"/>
      <c r="D213" s="1072"/>
      <c r="E213" s="1063">
        <v>-108047855.56999999</v>
      </c>
      <c r="F213" s="1094">
        <v>0</v>
      </c>
      <c r="G213" s="1094">
        <v>26423264.93</v>
      </c>
      <c r="H213" s="1104">
        <f t="shared" si="5"/>
        <v>-134471120.5</v>
      </c>
      <c r="J213" s="440">
        <f t="shared" si="4"/>
        <v>-26423264.93</v>
      </c>
      <c r="M213" s="1073"/>
      <c r="P213" t="s">
        <v>1670</v>
      </c>
    </row>
    <row r="214" spans="1:16">
      <c r="A214" s="265"/>
      <c r="B214" s="265" t="s">
        <v>1377</v>
      </c>
      <c r="C214" s="1072"/>
      <c r="D214" s="1072"/>
      <c r="E214" s="1063">
        <v>-87402080.030000001</v>
      </c>
      <c r="F214" s="1094">
        <v>0</v>
      </c>
      <c r="G214" s="1094">
        <v>28414490.800000001</v>
      </c>
      <c r="H214" s="1104">
        <f t="shared" si="5"/>
        <v>-115816570.83</v>
      </c>
      <c r="J214" s="440">
        <f t="shared" si="4"/>
        <v>-28414490.800000001</v>
      </c>
      <c r="K214" s="1071"/>
      <c r="M214" s="1073"/>
      <c r="P214" t="s">
        <v>1670</v>
      </c>
    </row>
    <row r="215" spans="1:16">
      <c r="A215" s="265"/>
      <c r="B215" s="265" t="s">
        <v>1386</v>
      </c>
      <c r="C215" s="1072"/>
      <c r="D215" s="1072"/>
      <c r="E215" s="1063">
        <v>-52678786.310000002</v>
      </c>
      <c r="F215" s="1094">
        <v>0</v>
      </c>
      <c r="G215" s="1094">
        <v>24822648</v>
      </c>
      <c r="H215" s="1104">
        <f t="shared" si="5"/>
        <v>-77501434.310000002</v>
      </c>
      <c r="J215" s="440">
        <f t="shared" si="4"/>
        <v>-24822648</v>
      </c>
      <c r="M215" s="1073"/>
      <c r="P215" t="s">
        <v>1670</v>
      </c>
    </row>
    <row r="216" spans="1:16">
      <c r="A216" s="265"/>
      <c r="B216" s="265" t="s">
        <v>1394</v>
      </c>
      <c r="C216" s="1072"/>
      <c r="D216" s="1072"/>
      <c r="E216" s="1063">
        <v>-26582959.549999997</v>
      </c>
      <c r="F216" s="1094">
        <v>0</v>
      </c>
      <c r="G216" s="1094">
        <v>14511982.539999999</v>
      </c>
      <c r="H216" s="1104">
        <f t="shared" si="5"/>
        <v>-41094942.089999996</v>
      </c>
      <c r="J216" s="440">
        <f t="shared" si="4"/>
        <v>-14511982.539999999</v>
      </c>
      <c r="K216" s="1071"/>
      <c r="M216" s="1073"/>
      <c r="P216" t="s">
        <v>1670</v>
      </c>
    </row>
    <row r="217" spans="1:16">
      <c r="A217" s="265"/>
      <c r="B217" s="265" t="s">
        <v>1395</v>
      </c>
      <c r="C217" s="1072"/>
      <c r="D217" s="1072"/>
      <c r="E217" s="1063">
        <v>-9465515.290000001</v>
      </c>
      <c r="F217" s="1094">
        <v>0</v>
      </c>
      <c r="G217" s="1094">
        <v>0</v>
      </c>
      <c r="H217" s="1104">
        <f t="shared" si="5"/>
        <v>-9465515.290000001</v>
      </c>
      <c r="J217" s="440">
        <f t="shared" si="4"/>
        <v>0</v>
      </c>
      <c r="K217" s="1071"/>
      <c r="M217" s="1073"/>
      <c r="P217" t="s">
        <v>1670</v>
      </c>
    </row>
    <row r="218" spans="1:16">
      <c r="A218" s="265"/>
      <c r="B218" s="265" t="s">
        <v>1396</v>
      </c>
      <c r="C218" s="1072"/>
      <c r="D218" s="1072"/>
      <c r="E218" s="1063">
        <v>-13161653.289999999</v>
      </c>
      <c r="F218" s="1094">
        <v>0</v>
      </c>
      <c r="G218" s="1094">
        <v>11800416.720000001</v>
      </c>
      <c r="H218" s="1104">
        <f t="shared" si="5"/>
        <v>-24962070.009999998</v>
      </c>
      <c r="J218" s="440">
        <f t="shared" si="4"/>
        <v>-11800416.720000001</v>
      </c>
      <c r="K218" s="1071"/>
      <c r="M218" s="1073"/>
      <c r="P218" t="s">
        <v>1670</v>
      </c>
    </row>
    <row r="219" spans="1:16">
      <c r="A219" s="265"/>
      <c r="B219" s="265" t="s">
        <v>1397</v>
      </c>
      <c r="C219" s="1072"/>
      <c r="D219" s="1072"/>
      <c r="E219" s="1063">
        <v>-5684409.8099999996</v>
      </c>
      <c r="F219" s="1094">
        <v>0</v>
      </c>
      <c r="G219" s="1094">
        <v>9063872.0899999999</v>
      </c>
      <c r="H219" s="1104">
        <f t="shared" si="5"/>
        <v>-14748281.899999999</v>
      </c>
      <c r="J219" s="440">
        <f t="shared" si="4"/>
        <v>-9063872.0899999999</v>
      </c>
      <c r="M219" s="1073"/>
      <c r="P219" t="s">
        <v>1670</v>
      </c>
    </row>
    <row r="220" spans="1:16">
      <c r="A220" s="265"/>
      <c r="B220" s="265" t="s">
        <v>1402</v>
      </c>
      <c r="C220" s="1072"/>
      <c r="D220" s="1072"/>
      <c r="E220" s="1063">
        <v>-3740111.01</v>
      </c>
      <c r="F220" s="1094">
        <v>0</v>
      </c>
      <c r="G220" s="1094">
        <v>19419033.199999999</v>
      </c>
      <c r="H220" s="1104">
        <f t="shared" si="5"/>
        <v>-23159144.210000001</v>
      </c>
      <c r="J220" s="440">
        <f t="shared" si="4"/>
        <v>-19419033.199999999</v>
      </c>
      <c r="K220" s="1071">
        <f>SUM(J178:J220)</f>
        <v>-1999592639.6600003</v>
      </c>
      <c r="M220" s="1073"/>
      <c r="P220" t="s">
        <v>1670</v>
      </c>
    </row>
    <row r="221" spans="1:16">
      <c r="A221" s="265"/>
      <c r="B221" s="265" t="s">
        <v>1418</v>
      </c>
      <c r="C221" s="1072"/>
      <c r="D221" s="1072"/>
      <c r="E221" s="1063">
        <v>0</v>
      </c>
      <c r="F221" s="1094">
        <v>0</v>
      </c>
      <c r="G221" s="1094">
        <v>7879904.1699999999</v>
      </c>
      <c r="H221" s="1104">
        <f t="shared" si="5"/>
        <v>-7879904.1699999999</v>
      </c>
      <c r="J221" s="440">
        <f t="shared" si="4"/>
        <v>-7879904.1699999999</v>
      </c>
      <c r="K221" s="1071"/>
      <c r="M221" s="1073"/>
      <c r="P221" t="s">
        <v>1670</v>
      </c>
    </row>
    <row r="222" spans="1:16">
      <c r="A222" s="265"/>
      <c r="B222" s="265" t="s">
        <v>1419</v>
      </c>
      <c r="C222" s="1072"/>
      <c r="D222" s="1072"/>
      <c r="E222" s="1063">
        <v>0</v>
      </c>
      <c r="F222" s="1094">
        <v>0</v>
      </c>
      <c r="G222" s="1094">
        <v>23837652.199999999</v>
      </c>
      <c r="H222" s="1104">
        <f t="shared" si="5"/>
        <v>-23837652.199999999</v>
      </c>
      <c r="J222" s="440">
        <f t="shared" si="4"/>
        <v>-23837652.199999999</v>
      </c>
      <c r="K222" s="1071"/>
      <c r="M222" s="1073"/>
      <c r="P222" t="s">
        <v>1670</v>
      </c>
    </row>
    <row r="223" spans="1:16">
      <c r="A223" s="265"/>
      <c r="B223" s="265" t="s">
        <v>1420</v>
      </c>
      <c r="C223" s="1072"/>
      <c r="D223" s="1072"/>
      <c r="E223" s="1063">
        <v>0</v>
      </c>
      <c r="F223" s="1094">
        <v>0</v>
      </c>
      <c r="G223" s="1094">
        <v>12481536.23</v>
      </c>
      <c r="H223" s="1104">
        <f t="shared" si="5"/>
        <v>-12481536.23</v>
      </c>
      <c r="J223" s="440">
        <f t="shared" si="4"/>
        <v>-12481536.23</v>
      </c>
      <c r="K223" s="1071"/>
      <c r="M223" s="1073"/>
      <c r="P223" t="s">
        <v>1670</v>
      </c>
    </row>
    <row r="224" spans="1:16">
      <c r="A224" s="265"/>
      <c r="B224" s="265" t="s">
        <v>1421</v>
      </c>
      <c r="C224" s="1072"/>
      <c r="D224" s="1072"/>
      <c r="E224" s="1063">
        <v>0</v>
      </c>
      <c r="F224" s="1094">
        <v>0</v>
      </c>
      <c r="G224" s="1094">
        <v>1016664.18</v>
      </c>
      <c r="H224" s="1104">
        <f t="shared" si="5"/>
        <v>-1016664.18</v>
      </c>
      <c r="J224" s="440">
        <f t="shared" si="4"/>
        <v>-1016664.18</v>
      </c>
      <c r="K224" s="1071"/>
      <c r="M224" s="1073"/>
      <c r="P224" t="s">
        <v>1670</v>
      </c>
    </row>
    <row r="225" spans="1:16">
      <c r="A225" s="265"/>
      <c r="B225" s="265" t="s">
        <v>1422</v>
      </c>
      <c r="C225" s="1072"/>
      <c r="D225" s="1072"/>
      <c r="E225" s="1063">
        <v>0</v>
      </c>
      <c r="F225" s="1094">
        <v>0</v>
      </c>
      <c r="G225" s="1094">
        <v>60491455.280000001</v>
      </c>
      <c r="H225" s="1104">
        <f t="shared" si="5"/>
        <v>-60491455.280000001</v>
      </c>
      <c r="J225" s="440">
        <f t="shared" si="4"/>
        <v>-60491455.280000001</v>
      </c>
      <c r="K225" s="1071"/>
      <c r="M225" s="1073"/>
      <c r="P225" t="s">
        <v>1670</v>
      </c>
    </row>
    <row r="226" spans="1:16">
      <c r="A226" s="265"/>
      <c r="B226" s="265" t="s">
        <v>1423</v>
      </c>
      <c r="C226" s="1072"/>
      <c r="D226" s="1072"/>
      <c r="E226" s="1063">
        <v>0</v>
      </c>
      <c r="F226" s="1094">
        <v>0</v>
      </c>
      <c r="G226" s="1094">
        <v>2291344.9700000002</v>
      </c>
      <c r="H226" s="1104">
        <f t="shared" si="5"/>
        <v>-2291344.9700000002</v>
      </c>
      <c r="J226" s="440">
        <f t="shared" si="4"/>
        <v>-2291344.9700000002</v>
      </c>
      <c r="K226" s="1071"/>
      <c r="M226" s="1073"/>
      <c r="P226" t="s">
        <v>1670</v>
      </c>
    </row>
    <row r="227" spans="1:16">
      <c r="A227" s="265">
        <v>181</v>
      </c>
      <c r="B227" s="265" t="s">
        <v>59</v>
      </c>
      <c r="C227" s="1072" t="s">
        <v>57</v>
      </c>
      <c r="D227" s="1072" t="s">
        <v>27</v>
      </c>
      <c r="E227" s="1063">
        <v>-52985179.049999997</v>
      </c>
      <c r="F227" s="1094">
        <v>0</v>
      </c>
      <c r="G227" s="1094">
        <v>10880617.32</v>
      </c>
      <c r="H227" s="1104">
        <f t="shared" si="5"/>
        <v>-63865796.369999997</v>
      </c>
      <c r="J227" s="440">
        <f t="shared" si="4"/>
        <v>-10880617.32</v>
      </c>
      <c r="K227" s="1073"/>
      <c r="M227" s="1073"/>
      <c r="P227" t="s">
        <v>1713</v>
      </c>
    </row>
    <row r="228" spans="1:16">
      <c r="A228" s="265">
        <v>182</v>
      </c>
      <c r="B228" s="265" t="s">
        <v>577</v>
      </c>
      <c r="C228" s="1072" t="s">
        <v>57</v>
      </c>
      <c r="D228" s="1072" t="s">
        <v>27</v>
      </c>
      <c r="E228" s="1063">
        <v>-59943728</v>
      </c>
      <c r="F228" s="1094">
        <v>0</v>
      </c>
      <c r="G228" s="1094">
        <v>964384</v>
      </c>
      <c r="H228" s="1104">
        <f t="shared" si="5"/>
        <v>-60908112</v>
      </c>
      <c r="J228" s="440">
        <f t="shared" si="4"/>
        <v>-964384</v>
      </c>
      <c r="M228" s="1073"/>
      <c r="P228" t="s">
        <v>1715</v>
      </c>
    </row>
    <row r="229" spans="1:16" s="1123" customFormat="1">
      <c r="A229" s="1079">
        <v>183</v>
      </c>
      <c r="B229" s="1079" t="s">
        <v>561</v>
      </c>
      <c r="C229" s="1120" t="s">
        <v>57</v>
      </c>
      <c r="D229" s="1120" t="s">
        <v>27</v>
      </c>
      <c r="E229" s="1121">
        <v>354007166.05000001</v>
      </c>
      <c r="F229" s="1122">
        <v>282199000</v>
      </c>
      <c r="G229" s="1122">
        <v>158245500</v>
      </c>
      <c r="H229" s="1119">
        <f t="shared" si="5"/>
        <v>477960666.04999995</v>
      </c>
      <c r="J229" s="1124">
        <f t="shared" si="4"/>
        <v>123953500</v>
      </c>
      <c r="M229" s="1125"/>
      <c r="P229" s="1126" t="s">
        <v>1717</v>
      </c>
    </row>
    <row r="230" spans="1:16" s="1123" customFormat="1">
      <c r="A230" s="1079">
        <v>184</v>
      </c>
      <c r="B230" s="1079" t="s">
        <v>563</v>
      </c>
      <c r="C230" s="1120" t="s">
        <v>57</v>
      </c>
      <c r="D230" s="1120" t="s">
        <v>27</v>
      </c>
      <c r="E230" s="1121">
        <v>-5111260006.8500004</v>
      </c>
      <c r="F230" s="1122">
        <v>0</v>
      </c>
      <c r="G230" s="1122">
        <v>1051543013.53</v>
      </c>
      <c r="H230" s="1119">
        <f t="shared" si="5"/>
        <v>-6162803020.3800001</v>
      </c>
      <c r="J230" s="1124">
        <f t="shared" si="4"/>
        <v>-1051543013.53</v>
      </c>
      <c r="M230" s="1125"/>
      <c r="P230" s="1126" t="s">
        <v>1719</v>
      </c>
    </row>
    <row r="231" spans="1:16">
      <c r="A231" s="265">
        <v>185</v>
      </c>
      <c r="B231" s="265" t="s">
        <v>565</v>
      </c>
      <c r="C231" s="1072" t="s">
        <v>57</v>
      </c>
      <c r="D231" s="1072" t="s">
        <v>27</v>
      </c>
      <c r="E231" s="1063">
        <v>-316117959.94999999</v>
      </c>
      <c r="F231" s="1094">
        <v>19110357</v>
      </c>
      <c r="G231" s="1094">
        <v>11049087</v>
      </c>
      <c r="H231" s="1104">
        <f t="shared" si="5"/>
        <v>-308056689.94999999</v>
      </c>
      <c r="J231" s="440">
        <f t="shared" si="4"/>
        <v>8061270</v>
      </c>
      <c r="M231" s="1073"/>
      <c r="P231" t="s">
        <v>1721</v>
      </c>
    </row>
    <row r="232" spans="1:16">
      <c r="A232" s="265">
        <v>186</v>
      </c>
      <c r="B232" s="265" t="s">
        <v>567</v>
      </c>
      <c r="C232" s="1072" t="s">
        <v>57</v>
      </c>
      <c r="D232" s="1072" t="s">
        <v>27</v>
      </c>
      <c r="E232" s="1063">
        <v>-20462048</v>
      </c>
      <c r="F232" s="1094">
        <v>0</v>
      </c>
      <c r="G232" s="1094">
        <v>165100</v>
      </c>
      <c r="H232" s="1104">
        <f t="shared" si="5"/>
        <v>-20627148</v>
      </c>
      <c r="J232" s="440">
        <f t="shared" si="4"/>
        <v>-165100</v>
      </c>
      <c r="M232" s="1073"/>
      <c r="P232" t="s">
        <v>1723</v>
      </c>
    </row>
    <row r="233" spans="1:16">
      <c r="A233" s="265"/>
      <c r="B233" s="265" t="s">
        <v>1378</v>
      </c>
      <c r="C233" s="1072"/>
      <c r="D233" s="1072"/>
      <c r="E233" s="1063">
        <v>-84799500</v>
      </c>
      <c r="F233" s="1094">
        <v>0</v>
      </c>
      <c r="G233" s="1094">
        <v>0</v>
      </c>
      <c r="H233" s="1104">
        <f t="shared" si="5"/>
        <v>-84799500</v>
      </c>
      <c r="J233" s="440">
        <f t="shared" si="4"/>
        <v>0</v>
      </c>
      <c r="M233" s="1073"/>
      <c r="P233" t="s">
        <v>1725</v>
      </c>
    </row>
    <row r="234" spans="1:16" s="1123" customFormat="1">
      <c r="A234" s="1079">
        <v>187</v>
      </c>
      <c r="B234" s="1079" t="s">
        <v>360</v>
      </c>
      <c r="C234" s="1120" t="s">
        <v>62</v>
      </c>
      <c r="D234" s="1120" t="s">
        <v>27</v>
      </c>
      <c r="E234" s="1121">
        <v>12755556709</v>
      </c>
      <c r="F234" s="1122">
        <v>3730428243</v>
      </c>
      <c r="G234" s="1122">
        <v>2860070178</v>
      </c>
      <c r="H234" s="1119">
        <f t="shared" si="5"/>
        <v>13625914774</v>
      </c>
      <c r="J234" s="1124">
        <f t="shared" si="4"/>
        <v>870358065</v>
      </c>
      <c r="M234" s="1125"/>
      <c r="P234" s="1126" t="s">
        <v>1727</v>
      </c>
    </row>
    <row r="235" spans="1:16" s="1123" customFormat="1">
      <c r="A235" s="1079"/>
      <c r="B235" s="1079" t="s">
        <v>1123</v>
      </c>
      <c r="C235" s="1120"/>
      <c r="D235" s="1120"/>
      <c r="E235" s="1121">
        <v>1190000</v>
      </c>
      <c r="F235" s="1122">
        <v>0</v>
      </c>
      <c r="G235" s="1122">
        <v>0</v>
      </c>
      <c r="H235" s="1119">
        <f t="shared" si="5"/>
        <v>1190000</v>
      </c>
      <c r="J235" s="1124">
        <f t="shared" si="4"/>
        <v>0</v>
      </c>
      <c r="M235" s="1125"/>
      <c r="P235" s="1126" t="s">
        <v>1729</v>
      </c>
    </row>
    <row r="236" spans="1:16" s="1123" customFormat="1">
      <c r="A236" s="1079">
        <v>188</v>
      </c>
      <c r="B236" s="1079" t="s">
        <v>363</v>
      </c>
      <c r="C236" s="1120" t="s">
        <v>62</v>
      </c>
      <c r="D236" s="1120" t="s">
        <v>27</v>
      </c>
      <c r="E236" s="1121">
        <v>42160904</v>
      </c>
      <c r="F236" s="1122">
        <v>2250000</v>
      </c>
      <c r="G236" s="1122">
        <v>0</v>
      </c>
      <c r="H236" s="1119">
        <f t="shared" si="5"/>
        <v>44410904</v>
      </c>
      <c r="J236" s="1124">
        <f t="shared" si="4"/>
        <v>2250000</v>
      </c>
      <c r="M236" s="1125"/>
      <c r="P236" s="1126" t="s">
        <v>1730</v>
      </c>
    </row>
    <row r="237" spans="1:16" s="1123" customFormat="1">
      <c r="A237" s="1079"/>
      <c r="B237" s="1079" t="s">
        <v>1122</v>
      </c>
      <c r="C237" s="1120"/>
      <c r="D237" s="1120"/>
      <c r="E237" s="1121">
        <v>-1.45</v>
      </c>
      <c r="F237" s="1122">
        <v>1.45</v>
      </c>
      <c r="G237" s="1122">
        <v>0</v>
      </c>
      <c r="H237" s="1119">
        <f t="shared" si="5"/>
        <v>0</v>
      </c>
      <c r="J237" s="1124">
        <f t="shared" si="4"/>
        <v>1.45</v>
      </c>
      <c r="M237" s="1125"/>
      <c r="P237" s="1126" t="s">
        <v>1732</v>
      </c>
    </row>
    <row r="238" spans="1:16" s="1123" customFormat="1">
      <c r="A238" s="1079">
        <v>189</v>
      </c>
      <c r="B238" s="1079" t="s">
        <v>366</v>
      </c>
      <c r="C238" s="1120" t="s">
        <v>62</v>
      </c>
      <c r="D238" s="1120" t="s">
        <v>27</v>
      </c>
      <c r="E238" s="1121">
        <v>1638393110.3599999</v>
      </c>
      <c r="F238" s="1122">
        <v>368577251.98000002</v>
      </c>
      <c r="G238" s="1122">
        <v>312132</v>
      </c>
      <c r="H238" s="1119">
        <f t="shared" si="5"/>
        <v>2006658230.3399999</v>
      </c>
      <c r="J238" s="1124">
        <f t="shared" si="4"/>
        <v>368265119.98000002</v>
      </c>
      <c r="M238" s="1125"/>
      <c r="P238" s="1126" t="s">
        <v>1734</v>
      </c>
    </row>
    <row r="239" spans="1:16" s="1123" customFormat="1">
      <c r="A239" s="1079">
        <v>190</v>
      </c>
      <c r="B239" s="1079" t="s">
        <v>368</v>
      </c>
      <c r="C239" s="1120" t="s">
        <v>62</v>
      </c>
      <c r="D239" s="1120" t="s">
        <v>27</v>
      </c>
      <c r="E239" s="1121">
        <v>507366955</v>
      </c>
      <c r="F239" s="1122">
        <v>46112228</v>
      </c>
      <c r="G239" s="1122">
        <v>88960</v>
      </c>
      <c r="H239" s="1119">
        <f t="shared" si="5"/>
        <v>553390223</v>
      </c>
      <c r="J239" s="1124">
        <f t="shared" si="4"/>
        <v>46023268</v>
      </c>
      <c r="M239" s="1125"/>
      <c r="P239" s="1126" t="s">
        <v>1736</v>
      </c>
    </row>
    <row r="240" spans="1:16" s="1123" customFormat="1">
      <c r="A240" s="1079">
        <v>191</v>
      </c>
      <c r="B240" s="1079" t="s">
        <v>371</v>
      </c>
      <c r="C240" s="1120" t="s">
        <v>62</v>
      </c>
      <c r="D240" s="1120" t="s">
        <v>27</v>
      </c>
      <c r="E240" s="1121">
        <v>259293643</v>
      </c>
      <c r="F240" s="1122">
        <v>16974663</v>
      </c>
      <c r="G240" s="1122">
        <v>0</v>
      </c>
      <c r="H240" s="1119">
        <f t="shared" si="5"/>
        <v>276268306</v>
      </c>
      <c r="J240" s="1124">
        <f t="shared" si="4"/>
        <v>16974663</v>
      </c>
      <c r="M240" s="1125"/>
      <c r="P240" s="1126" t="s">
        <v>1738</v>
      </c>
    </row>
    <row r="241" spans="1:16" s="1123" customFormat="1">
      <c r="A241" s="1079">
        <v>192</v>
      </c>
      <c r="B241" s="1079" t="s">
        <v>373</v>
      </c>
      <c r="C241" s="1120" t="s">
        <v>62</v>
      </c>
      <c r="D241" s="1120" t="s">
        <v>27</v>
      </c>
      <c r="E241" s="1121">
        <v>428691249</v>
      </c>
      <c r="F241" s="1122">
        <v>41975196</v>
      </c>
      <c r="G241" s="1122">
        <v>0</v>
      </c>
      <c r="H241" s="1119">
        <f t="shared" si="5"/>
        <v>470666445</v>
      </c>
      <c r="J241" s="1124">
        <f t="shared" si="4"/>
        <v>41975196</v>
      </c>
      <c r="M241" s="1125"/>
      <c r="P241" s="1126" t="s">
        <v>1740</v>
      </c>
    </row>
    <row r="242" spans="1:16">
      <c r="A242" s="265"/>
      <c r="B242" s="265" t="s">
        <v>1424</v>
      </c>
      <c r="C242" s="1072"/>
      <c r="D242" s="1072"/>
      <c r="E242" s="1063">
        <v>0</v>
      </c>
      <c r="F242" s="1094">
        <v>416529100</v>
      </c>
      <c r="G242" s="1094">
        <v>102561925</v>
      </c>
      <c r="H242" s="1104">
        <f t="shared" si="5"/>
        <v>313967175</v>
      </c>
      <c r="J242" s="440">
        <f t="shared" si="4"/>
        <v>313967175</v>
      </c>
      <c r="M242" s="1073"/>
      <c r="P242"/>
    </row>
    <row r="243" spans="1:16" s="1123" customFormat="1">
      <c r="A243" s="1079">
        <v>193</v>
      </c>
      <c r="B243" s="1079" t="s">
        <v>375</v>
      </c>
      <c r="C243" s="1120" t="s">
        <v>62</v>
      </c>
      <c r="D243" s="1120" t="s">
        <v>27</v>
      </c>
      <c r="E243" s="1121">
        <v>51191102</v>
      </c>
      <c r="F243" s="1122">
        <v>0</v>
      </c>
      <c r="G243" s="1122">
        <v>0</v>
      </c>
      <c r="H243" s="1119">
        <f t="shared" si="5"/>
        <v>51191102</v>
      </c>
      <c r="J243" s="1124">
        <f t="shared" ref="J243:J306" si="6">F243-G243</f>
        <v>0</v>
      </c>
      <c r="M243" s="1125"/>
      <c r="P243" s="1126" t="s">
        <v>1741</v>
      </c>
    </row>
    <row r="244" spans="1:16" s="1123" customFormat="1">
      <c r="A244" s="1079">
        <v>194</v>
      </c>
      <c r="B244" s="1079" t="s">
        <v>376</v>
      </c>
      <c r="C244" s="1120" t="s">
        <v>62</v>
      </c>
      <c r="D244" s="1120" t="s">
        <v>27</v>
      </c>
      <c r="E244" s="1121">
        <v>135229216</v>
      </c>
      <c r="F244" s="1122">
        <v>28330989</v>
      </c>
      <c r="G244" s="1122">
        <v>0</v>
      </c>
      <c r="H244" s="1119">
        <f t="shared" si="5"/>
        <v>163560205</v>
      </c>
      <c r="J244" s="1124">
        <f t="shared" si="6"/>
        <v>28330989</v>
      </c>
      <c r="M244" s="1125"/>
      <c r="P244" s="1126" t="s">
        <v>1743</v>
      </c>
    </row>
    <row r="245" spans="1:16" s="1123" customFormat="1">
      <c r="A245" s="1079">
        <v>195</v>
      </c>
      <c r="B245" s="1079" t="s">
        <v>378</v>
      </c>
      <c r="C245" s="1120" t="s">
        <v>62</v>
      </c>
      <c r="D245" s="1120" t="s">
        <v>27</v>
      </c>
      <c r="E245" s="1121">
        <v>278443228.63</v>
      </c>
      <c r="F245" s="1122">
        <v>25996458</v>
      </c>
      <c r="G245" s="1122">
        <v>0</v>
      </c>
      <c r="H245" s="1119">
        <f t="shared" si="5"/>
        <v>304439686.63</v>
      </c>
      <c r="J245" s="1124">
        <f t="shared" si="6"/>
        <v>25996458</v>
      </c>
      <c r="M245" s="1125"/>
      <c r="P245" s="1126" t="s">
        <v>1741</v>
      </c>
    </row>
    <row r="246" spans="1:16" s="1123" customFormat="1">
      <c r="A246" s="1079">
        <v>196</v>
      </c>
      <c r="B246" s="1079" t="s">
        <v>381</v>
      </c>
      <c r="C246" s="1120" t="s">
        <v>62</v>
      </c>
      <c r="D246" s="1120" t="s">
        <v>27</v>
      </c>
      <c r="E246" s="1121">
        <v>3000000</v>
      </c>
      <c r="F246" s="1122">
        <v>0</v>
      </c>
      <c r="G246" s="1122">
        <v>0</v>
      </c>
      <c r="H246" s="1119">
        <f t="shared" si="5"/>
        <v>3000000</v>
      </c>
      <c r="J246" s="1124">
        <f t="shared" si="6"/>
        <v>0</v>
      </c>
      <c r="M246" s="1125"/>
      <c r="P246" s="1126" t="s">
        <v>1730</v>
      </c>
    </row>
    <row r="247" spans="1:16" s="1123" customFormat="1">
      <c r="A247" s="1079">
        <v>197</v>
      </c>
      <c r="B247" s="1079" t="s">
        <v>486</v>
      </c>
      <c r="C247" s="1120" t="s">
        <v>62</v>
      </c>
      <c r="D247" s="1120" t="s">
        <v>27</v>
      </c>
      <c r="E247" s="1121">
        <v>129229258.29000001</v>
      </c>
      <c r="F247" s="1122">
        <v>10176104</v>
      </c>
      <c r="G247" s="1122">
        <v>0</v>
      </c>
      <c r="H247" s="1119">
        <f t="shared" si="5"/>
        <v>139405362.29000002</v>
      </c>
      <c r="J247" s="1124">
        <f t="shared" si="6"/>
        <v>10176104</v>
      </c>
      <c r="M247" s="1125"/>
      <c r="P247" s="1126" t="s">
        <v>1747</v>
      </c>
    </row>
    <row r="248" spans="1:16" s="1123" customFormat="1">
      <c r="A248" s="1079">
        <v>198</v>
      </c>
      <c r="B248" s="1079" t="s">
        <v>489</v>
      </c>
      <c r="C248" s="1120" t="s">
        <v>62</v>
      </c>
      <c r="D248" s="1120" t="s">
        <v>27</v>
      </c>
      <c r="E248" s="1121">
        <v>196743230</v>
      </c>
      <c r="F248" s="1122">
        <v>145596600.5</v>
      </c>
      <c r="G248" s="1122">
        <v>0</v>
      </c>
      <c r="H248" s="1119">
        <f t="shared" si="5"/>
        <v>342339830.5</v>
      </c>
      <c r="J248" s="1124">
        <f t="shared" si="6"/>
        <v>145596600.5</v>
      </c>
      <c r="M248" s="1125"/>
      <c r="P248" s="1126" t="s">
        <v>1749</v>
      </c>
    </row>
    <row r="249" spans="1:16" s="1123" customFormat="1">
      <c r="A249" s="1079">
        <v>199</v>
      </c>
      <c r="B249" s="1079" t="s">
        <v>490</v>
      </c>
      <c r="C249" s="1120" t="s">
        <v>62</v>
      </c>
      <c r="D249" s="1120" t="s">
        <v>27</v>
      </c>
      <c r="E249" s="1121">
        <v>116384095</v>
      </c>
      <c r="F249" s="1122">
        <v>0</v>
      </c>
      <c r="G249" s="1122">
        <v>0</v>
      </c>
      <c r="H249" s="1119">
        <f t="shared" si="5"/>
        <v>116384095</v>
      </c>
      <c r="J249" s="1124">
        <f t="shared" si="6"/>
        <v>0</v>
      </c>
      <c r="M249" s="1125"/>
      <c r="P249" s="1126" t="s">
        <v>1749</v>
      </c>
    </row>
    <row r="250" spans="1:16" s="1123" customFormat="1">
      <c r="A250" s="1079">
        <v>200</v>
      </c>
      <c r="B250" s="1079" t="s">
        <v>456</v>
      </c>
      <c r="C250" s="1120" t="s">
        <v>62</v>
      </c>
      <c r="D250" s="1120" t="s">
        <v>27</v>
      </c>
      <c r="E250" s="1121">
        <v>32117607.859999999</v>
      </c>
      <c r="F250" s="1122">
        <v>6897930</v>
      </c>
      <c r="G250" s="1122">
        <v>0</v>
      </c>
      <c r="H250" s="1119">
        <f t="shared" si="5"/>
        <v>39015537.859999999</v>
      </c>
      <c r="J250" s="1124">
        <f t="shared" si="6"/>
        <v>6897930</v>
      </c>
      <c r="M250" s="1125"/>
      <c r="P250" s="1126" t="s">
        <v>1752</v>
      </c>
    </row>
    <row r="251" spans="1:16" s="1123" customFormat="1">
      <c r="A251" s="1079">
        <v>201</v>
      </c>
      <c r="B251" s="1079" t="s">
        <v>458</v>
      </c>
      <c r="C251" s="1120" t="s">
        <v>62</v>
      </c>
      <c r="D251" s="1120" t="s">
        <v>27</v>
      </c>
      <c r="E251" s="1121">
        <v>28159056.5</v>
      </c>
      <c r="F251" s="1122">
        <v>1637912.88</v>
      </c>
      <c r="G251" s="1122">
        <v>0</v>
      </c>
      <c r="H251" s="1119">
        <f t="shared" si="5"/>
        <v>29796969.379999999</v>
      </c>
      <c r="J251" s="1124">
        <f t="shared" si="6"/>
        <v>1637912.88</v>
      </c>
      <c r="M251" s="1125"/>
      <c r="P251" s="1126" t="s">
        <v>1752</v>
      </c>
    </row>
    <row r="252" spans="1:16" s="1123" customFormat="1">
      <c r="A252" s="1079">
        <v>202</v>
      </c>
      <c r="B252" s="1079" t="s">
        <v>461</v>
      </c>
      <c r="C252" s="1120" t="s">
        <v>62</v>
      </c>
      <c r="D252" s="1120" t="s">
        <v>27</v>
      </c>
      <c r="E252" s="1121">
        <v>162081761</v>
      </c>
      <c r="F252" s="1122">
        <v>97874348</v>
      </c>
      <c r="G252" s="1122">
        <v>16903172</v>
      </c>
      <c r="H252" s="1119">
        <f t="shared" si="5"/>
        <v>243052937</v>
      </c>
      <c r="J252" s="1124">
        <f t="shared" si="6"/>
        <v>80971176</v>
      </c>
      <c r="M252" s="1125"/>
      <c r="P252" s="1126" t="s">
        <v>1755</v>
      </c>
    </row>
    <row r="253" spans="1:16" s="1123" customFormat="1">
      <c r="A253" s="1079">
        <v>203</v>
      </c>
      <c r="B253" s="1079" t="s">
        <v>464</v>
      </c>
      <c r="C253" s="1120" t="s">
        <v>62</v>
      </c>
      <c r="D253" s="1120" t="s">
        <v>27</v>
      </c>
      <c r="E253" s="1121">
        <v>12925513</v>
      </c>
      <c r="F253" s="1122">
        <v>1322637</v>
      </c>
      <c r="G253" s="1122">
        <v>0</v>
      </c>
      <c r="H253" s="1119">
        <f t="shared" si="5"/>
        <v>14248150</v>
      </c>
      <c r="J253" s="1124">
        <f t="shared" si="6"/>
        <v>1322637</v>
      </c>
      <c r="M253" s="1125"/>
      <c r="P253" s="1126" t="s">
        <v>1757</v>
      </c>
    </row>
    <row r="254" spans="1:16" s="1123" customFormat="1">
      <c r="A254" s="1079">
        <v>204</v>
      </c>
      <c r="B254" s="1079" t="s">
        <v>467</v>
      </c>
      <c r="C254" s="1120" t="s">
        <v>62</v>
      </c>
      <c r="D254" s="1120" t="s">
        <v>27</v>
      </c>
      <c r="E254" s="1121">
        <v>15792182</v>
      </c>
      <c r="F254" s="1122">
        <v>1494000</v>
      </c>
      <c r="G254" s="1122">
        <v>0</v>
      </c>
      <c r="H254" s="1119">
        <f t="shared" si="5"/>
        <v>17286182</v>
      </c>
      <c r="J254" s="1124">
        <f t="shared" si="6"/>
        <v>1494000</v>
      </c>
      <c r="M254" s="1125"/>
      <c r="P254" s="1126" t="s">
        <v>1759</v>
      </c>
    </row>
    <row r="255" spans="1:16" s="1123" customFormat="1">
      <c r="A255" s="1079">
        <v>205</v>
      </c>
      <c r="B255" s="1079" t="s">
        <v>470</v>
      </c>
      <c r="C255" s="1120" t="s">
        <v>62</v>
      </c>
      <c r="D255" s="1120" t="s">
        <v>27</v>
      </c>
      <c r="E255" s="1121">
        <v>102914736</v>
      </c>
      <c r="F255" s="1122">
        <v>4311898</v>
      </c>
      <c r="G255" s="1122">
        <v>858000</v>
      </c>
      <c r="H255" s="1119">
        <f t="shared" si="5"/>
        <v>106368634</v>
      </c>
      <c r="J255" s="1124">
        <f t="shared" si="6"/>
        <v>3453898</v>
      </c>
      <c r="M255" s="1125"/>
      <c r="P255" s="1126" t="s">
        <v>1761</v>
      </c>
    </row>
    <row r="256" spans="1:16" s="1123" customFormat="1">
      <c r="A256" s="1079">
        <v>206</v>
      </c>
      <c r="B256" s="1079" t="s">
        <v>473</v>
      </c>
      <c r="C256" s="1120" t="s">
        <v>62</v>
      </c>
      <c r="D256" s="1120" t="s">
        <v>27</v>
      </c>
      <c r="E256" s="1121">
        <v>63559828</v>
      </c>
      <c r="F256" s="1122">
        <v>380000</v>
      </c>
      <c r="G256" s="1122">
        <v>0</v>
      </c>
      <c r="H256" s="1119">
        <f t="shared" si="5"/>
        <v>63939828</v>
      </c>
      <c r="I256" s="1125"/>
      <c r="J256" s="1124">
        <f t="shared" si="6"/>
        <v>380000</v>
      </c>
      <c r="K256" s="1125"/>
      <c r="M256" s="1125"/>
      <c r="P256" s="1126" t="s">
        <v>1763</v>
      </c>
    </row>
    <row r="257" spans="1:16" s="1123" customFormat="1">
      <c r="A257" s="1079">
        <v>207</v>
      </c>
      <c r="B257" s="1079" t="s">
        <v>475</v>
      </c>
      <c r="C257" s="1120" t="s">
        <v>62</v>
      </c>
      <c r="D257" s="1120" t="s">
        <v>27</v>
      </c>
      <c r="E257" s="1121">
        <v>1842718</v>
      </c>
      <c r="F257" s="1122">
        <v>0</v>
      </c>
      <c r="G257" s="1122">
        <v>0</v>
      </c>
      <c r="H257" s="1119">
        <f t="shared" si="5"/>
        <v>1842718</v>
      </c>
      <c r="J257" s="1124">
        <f t="shared" si="6"/>
        <v>0</v>
      </c>
      <c r="M257" s="1125"/>
      <c r="P257" s="1126" t="s">
        <v>1765</v>
      </c>
    </row>
    <row r="258" spans="1:16" s="1123" customFormat="1">
      <c r="A258" s="1079">
        <v>208</v>
      </c>
      <c r="B258" s="1079" t="s">
        <v>457</v>
      </c>
      <c r="C258" s="1120" t="s">
        <v>62</v>
      </c>
      <c r="D258" s="1120" t="s">
        <v>27</v>
      </c>
      <c r="E258" s="1121">
        <v>19949500</v>
      </c>
      <c r="F258" s="1122">
        <v>0</v>
      </c>
      <c r="G258" s="1122">
        <v>0</v>
      </c>
      <c r="H258" s="1119">
        <f t="shared" si="5"/>
        <v>19949500</v>
      </c>
      <c r="J258" s="1124">
        <f t="shared" si="6"/>
        <v>0</v>
      </c>
      <c r="M258" s="1125"/>
      <c r="P258" s="1126" t="s">
        <v>1752</v>
      </c>
    </row>
    <row r="259" spans="1:16" s="1123" customFormat="1">
      <c r="A259" s="1079"/>
      <c r="B259" s="1079" t="s">
        <v>1055</v>
      </c>
      <c r="C259" s="1120" t="s">
        <v>62</v>
      </c>
      <c r="D259" s="1120" t="s">
        <v>27</v>
      </c>
      <c r="E259" s="1121">
        <v>72000</v>
      </c>
      <c r="F259" s="1122">
        <v>0</v>
      </c>
      <c r="G259" s="1122">
        <v>0</v>
      </c>
      <c r="H259" s="1119">
        <f t="shared" si="5"/>
        <v>72000</v>
      </c>
      <c r="J259" s="1124">
        <f t="shared" si="6"/>
        <v>0</v>
      </c>
      <c r="M259" s="1125"/>
      <c r="P259" s="1126" t="s">
        <v>1752</v>
      </c>
    </row>
    <row r="260" spans="1:16" s="1123" customFormat="1">
      <c r="A260" s="1079">
        <v>209</v>
      </c>
      <c r="B260" s="1079" t="s">
        <v>462</v>
      </c>
      <c r="C260" s="1120" t="s">
        <v>62</v>
      </c>
      <c r="D260" s="1120" t="s">
        <v>27</v>
      </c>
      <c r="E260" s="1121">
        <v>68663949</v>
      </c>
      <c r="F260" s="1122">
        <v>0</v>
      </c>
      <c r="G260" s="1122">
        <v>0</v>
      </c>
      <c r="H260" s="1119">
        <f t="shared" ref="H260:H323" si="7">E260+F260-G260</f>
        <v>68663949</v>
      </c>
      <c r="J260" s="1124">
        <f t="shared" si="6"/>
        <v>0</v>
      </c>
      <c r="M260" s="1125"/>
      <c r="P260" s="1126" t="s">
        <v>1755</v>
      </c>
    </row>
    <row r="261" spans="1:16" s="1123" customFormat="1">
      <c r="A261" s="1079">
        <v>210</v>
      </c>
      <c r="B261" s="1079" t="s">
        <v>465</v>
      </c>
      <c r="C261" s="1120" t="s">
        <v>62</v>
      </c>
      <c r="D261" s="1120" t="s">
        <v>27</v>
      </c>
      <c r="E261" s="1121">
        <v>825900</v>
      </c>
      <c r="F261" s="1122">
        <v>0</v>
      </c>
      <c r="G261" s="1122">
        <v>0</v>
      </c>
      <c r="H261" s="1119">
        <f t="shared" si="7"/>
        <v>825900</v>
      </c>
      <c r="J261" s="1124">
        <f t="shared" si="6"/>
        <v>0</v>
      </c>
      <c r="M261" s="1125"/>
      <c r="P261" s="1126" t="s">
        <v>1757</v>
      </c>
    </row>
    <row r="262" spans="1:16" s="1123" customFormat="1">
      <c r="A262" s="1079">
        <v>211</v>
      </c>
      <c r="B262" s="1079" t="s">
        <v>468</v>
      </c>
      <c r="C262" s="1120" t="s">
        <v>62</v>
      </c>
      <c r="D262" s="1120" t="s">
        <v>27</v>
      </c>
      <c r="E262" s="1121">
        <v>1168000</v>
      </c>
      <c r="F262" s="1122">
        <v>0</v>
      </c>
      <c r="G262" s="1122">
        <v>0</v>
      </c>
      <c r="H262" s="1119">
        <f t="shared" si="7"/>
        <v>1168000</v>
      </c>
      <c r="J262" s="1124">
        <f t="shared" si="6"/>
        <v>0</v>
      </c>
      <c r="M262" s="1125"/>
      <c r="P262" s="1126" t="s">
        <v>1759</v>
      </c>
    </row>
    <row r="263" spans="1:16" s="1123" customFormat="1">
      <c r="A263" s="1079">
        <v>212</v>
      </c>
      <c r="B263" s="1079" t="s">
        <v>471</v>
      </c>
      <c r="C263" s="1120" t="s">
        <v>62</v>
      </c>
      <c r="D263" s="1120" t="s">
        <v>27</v>
      </c>
      <c r="E263" s="1121">
        <v>5802699</v>
      </c>
      <c r="F263" s="1122">
        <v>0</v>
      </c>
      <c r="G263" s="1122">
        <v>0</v>
      </c>
      <c r="H263" s="1119">
        <f t="shared" si="7"/>
        <v>5802699</v>
      </c>
      <c r="J263" s="1124">
        <f t="shared" si="6"/>
        <v>0</v>
      </c>
      <c r="M263" s="1125"/>
      <c r="P263" s="1126" t="s">
        <v>1761</v>
      </c>
    </row>
    <row r="264" spans="1:16" s="1123" customFormat="1">
      <c r="A264" s="1079">
        <v>213</v>
      </c>
      <c r="B264" s="1079" t="s">
        <v>474</v>
      </c>
      <c r="C264" s="1120" t="s">
        <v>62</v>
      </c>
      <c r="D264" s="1120" t="s">
        <v>27</v>
      </c>
      <c r="E264" s="1121">
        <v>1440000</v>
      </c>
      <c r="F264" s="1122">
        <v>0</v>
      </c>
      <c r="G264" s="1122">
        <v>0</v>
      </c>
      <c r="H264" s="1119">
        <f t="shared" si="7"/>
        <v>1440000</v>
      </c>
      <c r="J264" s="1124">
        <f t="shared" si="6"/>
        <v>0</v>
      </c>
      <c r="M264" s="1125"/>
      <c r="P264" s="1126" t="s">
        <v>1763</v>
      </c>
    </row>
    <row r="265" spans="1:16" s="1123" customFormat="1">
      <c r="A265" s="1079">
        <v>214</v>
      </c>
      <c r="B265" s="1079" t="s">
        <v>479</v>
      </c>
      <c r="C265" s="1120" t="s">
        <v>62</v>
      </c>
      <c r="D265" s="1120" t="s">
        <v>27</v>
      </c>
      <c r="E265" s="1121">
        <v>701336965</v>
      </c>
      <c r="F265" s="1122">
        <v>84320832</v>
      </c>
      <c r="G265" s="1122">
        <v>100000000</v>
      </c>
      <c r="H265" s="1119">
        <f t="shared" si="7"/>
        <v>685657797</v>
      </c>
      <c r="J265" s="1124">
        <f t="shared" si="6"/>
        <v>-15679168</v>
      </c>
      <c r="M265" s="1125"/>
      <c r="P265" s="1126" t="s">
        <v>1774</v>
      </c>
    </row>
    <row r="266" spans="1:16" s="1123" customFormat="1">
      <c r="A266" s="1079">
        <v>215</v>
      </c>
      <c r="B266" s="1079" t="s">
        <v>502</v>
      </c>
      <c r="C266" s="1120" t="s">
        <v>62</v>
      </c>
      <c r="D266" s="1120" t="s">
        <v>27</v>
      </c>
      <c r="E266" s="1121">
        <v>128137156.66999996</v>
      </c>
      <c r="F266" s="1122">
        <v>80496706</v>
      </c>
      <c r="G266" s="1122">
        <v>10000</v>
      </c>
      <c r="H266" s="1119">
        <f t="shared" si="7"/>
        <v>208623862.66999996</v>
      </c>
      <c r="J266" s="1124">
        <f t="shared" si="6"/>
        <v>80486706</v>
      </c>
      <c r="M266" s="1125"/>
      <c r="P266" s="1126" t="s">
        <v>1776</v>
      </c>
    </row>
    <row r="267" spans="1:16" s="1123" customFormat="1">
      <c r="A267" s="1079">
        <v>216</v>
      </c>
      <c r="B267" s="1079" t="s">
        <v>504</v>
      </c>
      <c r="C267" s="1120" t="s">
        <v>62</v>
      </c>
      <c r="D267" s="1120" t="s">
        <v>27</v>
      </c>
      <c r="E267" s="1121">
        <v>41989716</v>
      </c>
      <c r="F267" s="1122">
        <v>4081852</v>
      </c>
      <c r="G267" s="1122">
        <v>0</v>
      </c>
      <c r="H267" s="1119">
        <f t="shared" si="7"/>
        <v>46071568</v>
      </c>
      <c r="J267" s="1124">
        <f t="shared" si="6"/>
        <v>4081852</v>
      </c>
      <c r="M267" s="1125"/>
      <c r="P267" s="1126" t="s">
        <v>1778</v>
      </c>
    </row>
    <row r="268" spans="1:16" s="1123" customFormat="1">
      <c r="A268" s="1079">
        <v>217</v>
      </c>
      <c r="B268" s="1079" t="s">
        <v>503</v>
      </c>
      <c r="C268" s="1120" t="s">
        <v>62</v>
      </c>
      <c r="D268" s="1120" t="s">
        <v>27</v>
      </c>
      <c r="E268" s="1121">
        <v>23099078</v>
      </c>
      <c r="F268" s="1122">
        <v>0</v>
      </c>
      <c r="G268" s="1122">
        <v>0</v>
      </c>
      <c r="H268" s="1119">
        <f t="shared" si="7"/>
        <v>23099078</v>
      </c>
      <c r="J268" s="1124">
        <f t="shared" si="6"/>
        <v>0</v>
      </c>
      <c r="M268" s="1125"/>
      <c r="P268" s="1126" t="s">
        <v>1776</v>
      </c>
    </row>
    <row r="269" spans="1:16" s="1123" customFormat="1">
      <c r="A269" s="1079"/>
      <c r="B269" s="1079" t="s">
        <v>1072</v>
      </c>
      <c r="C269" s="1120"/>
      <c r="D269" s="1120"/>
      <c r="E269" s="1121">
        <v>342000</v>
      </c>
      <c r="F269" s="1122">
        <v>0</v>
      </c>
      <c r="G269" s="1122">
        <v>0</v>
      </c>
      <c r="H269" s="1119">
        <f t="shared" si="7"/>
        <v>342000</v>
      </c>
      <c r="J269" s="1124">
        <f t="shared" si="6"/>
        <v>0</v>
      </c>
      <c r="M269" s="1125"/>
      <c r="P269" s="1126" t="s">
        <v>1778</v>
      </c>
    </row>
    <row r="270" spans="1:16" s="1123" customFormat="1">
      <c r="A270" s="1079">
        <v>218</v>
      </c>
      <c r="B270" s="1079" t="s">
        <v>482</v>
      </c>
      <c r="C270" s="1120" t="s">
        <v>62</v>
      </c>
      <c r="D270" s="1120" t="s">
        <v>27</v>
      </c>
      <c r="E270" s="1121">
        <v>712572535.71000004</v>
      </c>
      <c r="F270" s="1122">
        <v>232250000</v>
      </c>
      <c r="G270" s="1122">
        <v>392750000</v>
      </c>
      <c r="H270" s="1119">
        <f t="shared" si="7"/>
        <v>552072535.71000004</v>
      </c>
      <c r="J270" s="1124">
        <f t="shared" si="6"/>
        <v>-160500000</v>
      </c>
      <c r="K270" s="1129"/>
      <c r="M270" s="1125"/>
      <c r="P270" s="1126" t="s">
        <v>1782</v>
      </c>
    </row>
    <row r="271" spans="1:16" s="1123" customFormat="1">
      <c r="A271" s="1079">
        <v>219</v>
      </c>
      <c r="B271" s="1079" t="s">
        <v>494</v>
      </c>
      <c r="C271" s="1120" t="s">
        <v>62</v>
      </c>
      <c r="D271" s="1120" t="s">
        <v>27</v>
      </c>
      <c r="E271" s="1121">
        <v>126216597</v>
      </c>
      <c r="F271" s="1122">
        <v>2421570</v>
      </c>
      <c r="G271" s="1122">
        <v>0</v>
      </c>
      <c r="H271" s="1119">
        <f t="shared" si="7"/>
        <v>128638167</v>
      </c>
      <c r="J271" s="1124">
        <f t="shared" si="6"/>
        <v>2421570</v>
      </c>
      <c r="M271" s="1125"/>
      <c r="P271" s="1126" t="s">
        <v>1784</v>
      </c>
    </row>
    <row r="272" spans="1:16" s="1123" customFormat="1">
      <c r="A272" s="1079">
        <v>220</v>
      </c>
      <c r="B272" s="1079" t="s">
        <v>497</v>
      </c>
      <c r="C272" s="1120" t="s">
        <v>62</v>
      </c>
      <c r="D272" s="1120" t="s">
        <v>27</v>
      </c>
      <c r="E272" s="1121">
        <v>115173831</v>
      </c>
      <c r="F272" s="1122">
        <v>11784734</v>
      </c>
      <c r="G272" s="1122">
        <v>0</v>
      </c>
      <c r="H272" s="1119">
        <f t="shared" si="7"/>
        <v>126958565</v>
      </c>
      <c r="J272" s="1124">
        <f t="shared" si="6"/>
        <v>11784734</v>
      </c>
      <c r="M272" s="1125"/>
      <c r="P272" s="1126" t="s">
        <v>1786</v>
      </c>
    </row>
    <row r="273" spans="1:16" s="1123" customFormat="1">
      <c r="A273" s="1079">
        <v>221</v>
      </c>
      <c r="B273" s="1079" t="s">
        <v>495</v>
      </c>
      <c r="C273" s="1120" t="s">
        <v>62</v>
      </c>
      <c r="D273" s="1120" t="s">
        <v>27</v>
      </c>
      <c r="E273" s="1121">
        <v>29224292</v>
      </c>
      <c r="F273" s="1122">
        <v>0</v>
      </c>
      <c r="G273" s="1122">
        <v>0</v>
      </c>
      <c r="H273" s="1119">
        <f t="shared" si="7"/>
        <v>29224292</v>
      </c>
      <c r="J273" s="1124">
        <f t="shared" si="6"/>
        <v>0</v>
      </c>
      <c r="M273" s="1125"/>
      <c r="P273" s="1126" t="s">
        <v>1784</v>
      </c>
    </row>
    <row r="274" spans="1:16" s="1123" customFormat="1">
      <c r="A274" s="1079">
        <v>222</v>
      </c>
      <c r="B274" s="1079" t="s">
        <v>498</v>
      </c>
      <c r="C274" s="1120" t="s">
        <v>62</v>
      </c>
      <c r="D274" s="1120" t="s">
        <v>27</v>
      </c>
      <c r="E274" s="1121">
        <v>57001081</v>
      </c>
      <c r="F274" s="1122">
        <v>0</v>
      </c>
      <c r="G274" s="1122">
        <v>0</v>
      </c>
      <c r="H274" s="1119">
        <f t="shared" si="7"/>
        <v>57001081</v>
      </c>
      <c r="J274" s="1124">
        <f t="shared" si="6"/>
        <v>0</v>
      </c>
      <c r="M274" s="1125"/>
      <c r="P274" s="1126" t="s">
        <v>1786</v>
      </c>
    </row>
    <row r="275" spans="1:16" s="1123" customFormat="1">
      <c r="A275" s="1079">
        <v>223</v>
      </c>
      <c r="B275" s="1079" t="s">
        <v>509</v>
      </c>
      <c r="C275" s="1120" t="s">
        <v>62</v>
      </c>
      <c r="D275" s="1120" t="s">
        <v>27</v>
      </c>
      <c r="E275" s="1121">
        <v>1299200024.9099998</v>
      </c>
      <c r="F275" s="1122">
        <v>103085638</v>
      </c>
      <c r="G275" s="1122">
        <v>100000000</v>
      </c>
      <c r="H275" s="1119">
        <f t="shared" si="7"/>
        <v>1302285662.9099998</v>
      </c>
      <c r="J275" s="1124">
        <f t="shared" si="6"/>
        <v>3085638</v>
      </c>
      <c r="K275" s="1129"/>
      <c r="M275" s="1125"/>
      <c r="P275" s="1126" t="s">
        <v>1790</v>
      </c>
    </row>
    <row r="276" spans="1:16" s="1123" customFormat="1">
      <c r="A276" s="1079">
        <v>224</v>
      </c>
      <c r="B276" s="1079" t="s">
        <v>433</v>
      </c>
      <c r="C276" s="1120" t="s">
        <v>62</v>
      </c>
      <c r="D276" s="1120" t="s">
        <v>27</v>
      </c>
      <c r="E276" s="1121">
        <v>23429849</v>
      </c>
      <c r="F276" s="1122">
        <v>15766689</v>
      </c>
      <c r="G276" s="1122">
        <v>0</v>
      </c>
      <c r="H276" s="1119">
        <f t="shared" si="7"/>
        <v>39196538</v>
      </c>
      <c r="J276" s="1124">
        <f t="shared" si="6"/>
        <v>15766689</v>
      </c>
      <c r="M276" s="1125"/>
      <c r="P276" s="1126" t="s">
        <v>1793</v>
      </c>
    </row>
    <row r="277" spans="1:16" s="1123" customFormat="1">
      <c r="A277" s="1079">
        <v>225</v>
      </c>
      <c r="B277" s="1079" t="s">
        <v>436</v>
      </c>
      <c r="C277" s="1120" t="s">
        <v>62</v>
      </c>
      <c r="D277" s="1120" t="s">
        <v>27</v>
      </c>
      <c r="E277" s="1121">
        <v>107094507</v>
      </c>
      <c r="F277" s="1122">
        <v>4613924</v>
      </c>
      <c r="G277" s="1122">
        <v>0</v>
      </c>
      <c r="H277" s="1119">
        <f t="shared" si="7"/>
        <v>111708431</v>
      </c>
      <c r="J277" s="1124">
        <f t="shared" si="6"/>
        <v>4613924</v>
      </c>
      <c r="M277" s="1125"/>
      <c r="P277" s="1126" t="s">
        <v>1795</v>
      </c>
    </row>
    <row r="278" spans="1:16" s="1123" customFormat="1">
      <c r="A278" s="1079">
        <v>226</v>
      </c>
      <c r="B278" s="1079" t="s">
        <v>438</v>
      </c>
      <c r="C278" s="1120" t="s">
        <v>62</v>
      </c>
      <c r="D278" s="1120" t="s">
        <v>27</v>
      </c>
      <c r="E278" s="1121">
        <v>44101000</v>
      </c>
      <c r="F278" s="1122">
        <v>4036000</v>
      </c>
      <c r="G278" s="1122">
        <v>0</v>
      </c>
      <c r="H278" s="1119">
        <f t="shared" si="7"/>
        <v>48137000</v>
      </c>
      <c r="J278" s="1124">
        <f t="shared" si="6"/>
        <v>4036000</v>
      </c>
      <c r="M278" s="1125"/>
      <c r="P278" s="1126" t="s">
        <v>1795</v>
      </c>
    </row>
    <row r="279" spans="1:16" s="1123" customFormat="1">
      <c r="A279" s="1079">
        <v>227</v>
      </c>
      <c r="B279" s="1079" t="s">
        <v>441</v>
      </c>
      <c r="C279" s="1120" t="s">
        <v>62</v>
      </c>
      <c r="D279" s="1120" t="s">
        <v>27</v>
      </c>
      <c r="E279" s="1121">
        <v>252066580.71000004</v>
      </c>
      <c r="F279" s="1122">
        <v>40979335</v>
      </c>
      <c r="G279" s="1122">
        <v>256466</v>
      </c>
      <c r="H279" s="1119">
        <f t="shared" si="7"/>
        <v>292789449.71000004</v>
      </c>
      <c r="J279" s="1124">
        <f t="shared" si="6"/>
        <v>40722869</v>
      </c>
      <c r="M279" s="1125"/>
      <c r="P279" s="1126" t="s">
        <v>1798</v>
      </c>
    </row>
    <row r="280" spans="1:16" s="1123" customFormat="1">
      <c r="A280" s="1079">
        <v>228</v>
      </c>
      <c r="B280" s="1079" t="s">
        <v>444</v>
      </c>
      <c r="C280" s="1120" t="s">
        <v>62</v>
      </c>
      <c r="D280" s="1120" t="s">
        <v>27</v>
      </c>
      <c r="E280" s="1121">
        <v>101495000</v>
      </c>
      <c r="F280" s="1122">
        <v>8036000</v>
      </c>
      <c r="G280" s="1122">
        <v>0</v>
      </c>
      <c r="H280" s="1119">
        <f t="shared" si="7"/>
        <v>109531000</v>
      </c>
      <c r="J280" s="1124">
        <f t="shared" si="6"/>
        <v>8036000</v>
      </c>
      <c r="M280" s="1125"/>
      <c r="P280" s="1126" t="s">
        <v>1800</v>
      </c>
    </row>
    <row r="281" spans="1:16" s="1123" customFormat="1">
      <c r="A281" s="1079"/>
      <c r="B281" s="1079" t="s">
        <v>1124</v>
      </c>
      <c r="C281" s="1120"/>
      <c r="D281" s="1120"/>
      <c r="E281" s="1121">
        <v>34635800</v>
      </c>
      <c r="F281" s="1122">
        <v>0</v>
      </c>
      <c r="G281" s="1122">
        <v>0</v>
      </c>
      <c r="H281" s="1119">
        <f t="shared" si="7"/>
        <v>34635800</v>
      </c>
      <c r="J281" s="1124">
        <f t="shared" si="6"/>
        <v>0</v>
      </c>
      <c r="M281" s="1125"/>
      <c r="P281" s="1126" t="s">
        <v>1802</v>
      </c>
    </row>
    <row r="282" spans="1:16" s="1123" customFormat="1">
      <c r="A282" s="1079">
        <v>229</v>
      </c>
      <c r="B282" s="1079" t="s">
        <v>448</v>
      </c>
      <c r="C282" s="1120" t="s">
        <v>62</v>
      </c>
      <c r="D282" s="1120" t="s">
        <v>27</v>
      </c>
      <c r="E282" s="1121">
        <v>269330250</v>
      </c>
      <c r="F282" s="1122">
        <v>24715980</v>
      </c>
      <c r="G282" s="1122">
        <v>0</v>
      </c>
      <c r="H282" s="1119">
        <f t="shared" si="7"/>
        <v>294046230</v>
      </c>
      <c r="J282" s="1124">
        <f t="shared" si="6"/>
        <v>24715980</v>
      </c>
      <c r="K282" s="1129"/>
      <c r="M282" s="1125"/>
      <c r="P282" s="1126" t="s">
        <v>1804</v>
      </c>
    </row>
    <row r="283" spans="1:16" s="1123" customFormat="1">
      <c r="A283" s="1079"/>
      <c r="B283" s="1079" t="s">
        <v>452</v>
      </c>
      <c r="C283" s="1120" t="s">
        <v>62</v>
      </c>
      <c r="D283" s="1120" t="s">
        <v>27</v>
      </c>
      <c r="E283" s="1121">
        <v>10984375</v>
      </c>
      <c r="F283" s="1122">
        <v>0</v>
      </c>
      <c r="G283" s="1122">
        <v>0</v>
      </c>
      <c r="H283" s="1119">
        <f t="shared" si="7"/>
        <v>10984375</v>
      </c>
      <c r="J283" s="1124">
        <f t="shared" si="6"/>
        <v>0</v>
      </c>
      <c r="M283" s="1125"/>
      <c r="P283" s="1126" t="s">
        <v>1802</v>
      </c>
    </row>
    <row r="284" spans="1:16" s="1123" customFormat="1">
      <c r="A284" s="1079">
        <v>230</v>
      </c>
      <c r="B284" s="1079" t="s">
        <v>450</v>
      </c>
      <c r="C284" s="1120" t="s">
        <v>62</v>
      </c>
      <c r="D284" s="1120" t="s">
        <v>27</v>
      </c>
      <c r="E284" s="1121">
        <v>65298248</v>
      </c>
      <c r="F284" s="1122">
        <v>4960125</v>
      </c>
      <c r="G284" s="1122">
        <v>45195</v>
      </c>
      <c r="H284" s="1119">
        <f t="shared" si="7"/>
        <v>70213178</v>
      </c>
      <c r="J284" s="1124">
        <f t="shared" si="6"/>
        <v>4914930</v>
      </c>
      <c r="M284" s="1125"/>
      <c r="P284" s="1126" t="s">
        <v>1807</v>
      </c>
    </row>
    <row r="285" spans="1:16" s="1123" customFormat="1">
      <c r="A285" s="1079">
        <v>231</v>
      </c>
      <c r="B285" s="1079" t="s">
        <v>434</v>
      </c>
      <c r="C285" s="1120" t="s">
        <v>62</v>
      </c>
      <c r="D285" s="1120" t="s">
        <v>27</v>
      </c>
      <c r="E285" s="1121">
        <v>19001985</v>
      </c>
      <c r="F285" s="1122">
        <v>0</v>
      </c>
      <c r="G285" s="1122">
        <v>0</v>
      </c>
      <c r="H285" s="1119">
        <f t="shared" si="7"/>
        <v>19001985</v>
      </c>
      <c r="J285" s="1124">
        <f t="shared" si="6"/>
        <v>0</v>
      </c>
      <c r="M285" s="1125"/>
      <c r="P285" s="1126" t="s">
        <v>1793</v>
      </c>
    </row>
    <row r="286" spans="1:16" s="1123" customFormat="1">
      <c r="A286" s="1079">
        <v>232</v>
      </c>
      <c r="B286" s="1079" t="s">
        <v>437</v>
      </c>
      <c r="C286" s="1120" t="s">
        <v>62</v>
      </c>
      <c r="D286" s="1120" t="s">
        <v>27</v>
      </c>
      <c r="E286" s="1121">
        <v>26483041</v>
      </c>
      <c r="F286" s="1122">
        <v>0</v>
      </c>
      <c r="G286" s="1122">
        <v>0</v>
      </c>
      <c r="H286" s="1119">
        <f t="shared" si="7"/>
        <v>26483041</v>
      </c>
      <c r="J286" s="1124">
        <f t="shared" si="6"/>
        <v>0</v>
      </c>
      <c r="M286" s="1125"/>
      <c r="P286" s="1126" t="s">
        <v>1795</v>
      </c>
    </row>
    <row r="287" spans="1:16" s="1123" customFormat="1">
      <c r="A287" s="1079">
        <v>233</v>
      </c>
      <c r="B287" s="1079" t="s">
        <v>440</v>
      </c>
      <c r="C287" s="1120" t="s">
        <v>62</v>
      </c>
      <c r="D287" s="1120" t="s">
        <v>27</v>
      </c>
      <c r="E287" s="1121">
        <v>50000</v>
      </c>
      <c r="F287" s="1122">
        <v>0</v>
      </c>
      <c r="G287" s="1122">
        <v>0</v>
      </c>
      <c r="H287" s="1119">
        <f t="shared" si="7"/>
        <v>50000</v>
      </c>
      <c r="J287" s="1124">
        <f t="shared" si="6"/>
        <v>0</v>
      </c>
      <c r="M287" s="1125"/>
      <c r="P287" s="1126" t="s">
        <v>1795</v>
      </c>
    </row>
    <row r="288" spans="1:16" s="1123" customFormat="1">
      <c r="A288" s="1079"/>
      <c r="B288" s="1079" t="s">
        <v>443</v>
      </c>
      <c r="C288" s="1120" t="s">
        <v>62</v>
      </c>
      <c r="D288" s="1120" t="s">
        <v>27</v>
      </c>
      <c r="E288" s="1121">
        <v>4464286</v>
      </c>
      <c r="F288" s="1122">
        <v>0</v>
      </c>
      <c r="G288" s="1122">
        <v>0</v>
      </c>
      <c r="H288" s="1119">
        <f t="shared" si="7"/>
        <v>4464286</v>
      </c>
      <c r="J288" s="1124">
        <f t="shared" si="6"/>
        <v>0</v>
      </c>
      <c r="M288" s="1125"/>
      <c r="P288" s="1126" t="s">
        <v>1798</v>
      </c>
    </row>
    <row r="289" spans="1:16" s="1123" customFormat="1">
      <c r="A289" s="1079"/>
      <c r="B289" s="1079" t="s">
        <v>1373</v>
      </c>
      <c r="C289" s="1120"/>
      <c r="D289" s="1120"/>
      <c r="E289" s="1121">
        <v>105576900</v>
      </c>
      <c r="F289" s="1122">
        <v>422307600</v>
      </c>
      <c r="G289" s="1122">
        <v>0</v>
      </c>
      <c r="H289" s="1119">
        <f t="shared" si="7"/>
        <v>527884500</v>
      </c>
      <c r="J289" s="1124">
        <f t="shared" si="6"/>
        <v>422307600</v>
      </c>
      <c r="M289" s="1125"/>
      <c r="P289" s="1126" t="s">
        <v>1813</v>
      </c>
    </row>
    <row r="290" spans="1:16" s="1123" customFormat="1">
      <c r="A290" s="1079">
        <v>234</v>
      </c>
      <c r="B290" s="1079" t="s">
        <v>386</v>
      </c>
      <c r="C290" s="1120" t="s">
        <v>62</v>
      </c>
      <c r="D290" s="1120" t="s">
        <v>27</v>
      </c>
      <c r="E290" s="1121">
        <v>175908649</v>
      </c>
      <c r="F290" s="1122">
        <v>16394614</v>
      </c>
      <c r="G290" s="1122">
        <v>0</v>
      </c>
      <c r="H290" s="1119">
        <f t="shared" si="7"/>
        <v>192303263</v>
      </c>
      <c r="J290" s="1124">
        <f t="shared" si="6"/>
        <v>16394614</v>
      </c>
      <c r="M290" s="1125"/>
      <c r="P290" s="1126" t="s">
        <v>1813</v>
      </c>
    </row>
    <row r="291" spans="1:16" s="1123" customFormat="1">
      <c r="A291" s="1079">
        <v>235</v>
      </c>
      <c r="B291" s="1079" t="s">
        <v>393</v>
      </c>
      <c r="C291" s="1120" t="s">
        <v>62</v>
      </c>
      <c r="D291" s="1120" t="s">
        <v>27</v>
      </c>
      <c r="E291" s="1121">
        <v>2661807959</v>
      </c>
      <c r="F291" s="1122">
        <v>530161003</v>
      </c>
      <c r="G291" s="1122">
        <v>454424390</v>
      </c>
      <c r="H291" s="1119">
        <f t="shared" si="7"/>
        <v>2737544572</v>
      </c>
      <c r="J291" s="1124">
        <f t="shared" si="6"/>
        <v>75736613</v>
      </c>
      <c r="L291" s="1127">
        <f>H291+H296</f>
        <v>3040493380</v>
      </c>
      <c r="M291" s="1125"/>
      <c r="P291" s="1126" t="s">
        <v>1813</v>
      </c>
    </row>
    <row r="292" spans="1:16" s="1123" customFormat="1">
      <c r="A292" s="1079">
        <v>236</v>
      </c>
      <c r="B292" s="1079" t="s">
        <v>396</v>
      </c>
      <c r="C292" s="1120" t="s">
        <v>62</v>
      </c>
      <c r="D292" s="1120" t="s">
        <v>27</v>
      </c>
      <c r="E292" s="1121">
        <v>68439683.200000003</v>
      </c>
      <c r="F292" s="1122">
        <v>5754500</v>
      </c>
      <c r="G292" s="1122">
        <v>0</v>
      </c>
      <c r="H292" s="1119">
        <f t="shared" si="7"/>
        <v>74194183.200000003</v>
      </c>
      <c r="J292" s="1124">
        <f t="shared" si="6"/>
        <v>5754500</v>
      </c>
      <c r="M292" s="1125"/>
      <c r="P292" s="1126" t="s">
        <v>1813</v>
      </c>
    </row>
    <row r="293" spans="1:16" s="1123" customFormat="1">
      <c r="A293" s="1079">
        <v>237</v>
      </c>
      <c r="B293" s="1079" t="s">
        <v>398</v>
      </c>
      <c r="C293" s="1120" t="s">
        <v>62</v>
      </c>
      <c r="D293" s="1120" t="s">
        <v>27</v>
      </c>
      <c r="E293" s="1121">
        <v>19999999</v>
      </c>
      <c r="F293" s="1122">
        <v>75000000</v>
      </c>
      <c r="G293" s="1122">
        <v>0</v>
      </c>
      <c r="H293" s="1119">
        <f t="shared" si="7"/>
        <v>94999999</v>
      </c>
      <c r="J293" s="1124">
        <f t="shared" si="6"/>
        <v>75000000</v>
      </c>
      <c r="M293" s="1125"/>
      <c r="P293" s="1126" t="s">
        <v>1813</v>
      </c>
    </row>
    <row r="294" spans="1:16" s="1123" customFormat="1">
      <c r="A294" s="1079"/>
      <c r="B294" s="1079" t="s">
        <v>400</v>
      </c>
      <c r="C294" s="1120" t="s">
        <v>62</v>
      </c>
      <c r="D294" s="1120" t="s">
        <v>27</v>
      </c>
      <c r="E294" s="1121">
        <v>122059255.66</v>
      </c>
      <c r="F294" s="1122">
        <v>11096296</v>
      </c>
      <c r="G294" s="1122">
        <v>0</v>
      </c>
      <c r="H294" s="1119">
        <f t="shared" si="7"/>
        <v>133155551.66</v>
      </c>
      <c r="J294" s="1124">
        <f t="shared" si="6"/>
        <v>11096296</v>
      </c>
      <c r="M294" s="1125"/>
      <c r="P294" s="1126" t="s">
        <v>1813</v>
      </c>
    </row>
    <row r="295" spans="1:16" s="1123" customFormat="1">
      <c r="A295" s="1079"/>
      <c r="B295" s="1079" t="s">
        <v>1374</v>
      </c>
      <c r="C295" s="1120"/>
      <c r="D295" s="1120"/>
      <c r="E295" s="1131">
        <v>19200000</v>
      </c>
      <c r="F295" s="1122">
        <v>4800000</v>
      </c>
      <c r="G295" s="1122">
        <v>0</v>
      </c>
      <c r="H295" s="1119">
        <f t="shared" si="7"/>
        <v>24000000</v>
      </c>
      <c r="J295" s="1124">
        <f t="shared" si="6"/>
        <v>4800000</v>
      </c>
      <c r="L295" s="1127">
        <f>SUM(J300:J303)</f>
        <v>290124</v>
      </c>
      <c r="M295" s="1125"/>
      <c r="P295" s="1126" t="s">
        <v>1820</v>
      </c>
    </row>
    <row r="296" spans="1:16" s="1123" customFormat="1">
      <c r="A296" s="1079">
        <v>238</v>
      </c>
      <c r="B296" s="1079" t="s">
        <v>394</v>
      </c>
      <c r="C296" s="1120" t="s">
        <v>62</v>
      </c>
      <c r="D296" s="1120" t="s">
        <v>27</v>
      </c>
      <c r="E296" s="1121">
        <v>302948808</v>
      </c>
      <c r="F296" s="1122">
        <v>0</v>
      </c>
      <c r="G296" s="1122">
        <v>0</v>
      </c>
      <c r="H296" s="1119">
        <f t="shared" si="7"/>
        <v>302948808</v>
      </c>
      <c r="J296" s="1124">
        <f t="shared" si="6"/>
        <v>0</v>
      </c>
      <c r="M296" s="1125"/>
      <c r="P296" s="1126" t="s">
        <v>1813</v>
      </c>
    </row>
    <row r="297" spans="1:16" s="1123" customFormat="1">
      <c r="A297" s="1079">
        <v>239</v>
      </c>
      <c r="B297" s="1079" t="s">
        <v>403</v>
      </c>
      <c r="C297" s="1120" t="s">
        <v>62</v>
      </c>
      <c r="D297" s="1120" t="s">
        <v>27</v>
      </c>
      <c r="E297" s="1121">
        <v>285304544</v>
      </c>
      <c r="F297" s="1122">
        <v>41039552</v>
      </c>
      <c r="G297" s="1122">
        <v>0</v>
      </c>
      <c r="H297" s="1119">
        <f t="shared" si="7"/>
        <v>326344096</v>
      </c>
      <c r="J297" s="1124">
        <f t="shared" si="6"/>
        <v>41039552</v>
      </c>
      <c r="L297" s="1127">
        <f>J297+SUM(J304:J306)</f>
        <v>47478314.75</v>
      </c>
      <c r="M297" s="1125"/>
      <c r="P297" s="1126" t="s">
        <v>1823</v>
      </c>
    </row>
    <row r="298" spans="1:16" s="1123" customFormat="1">
      <c r="A298" s="1079">
        <v>240</v>
      </c>
      <c r="B298" s="1079" t="s">
        <v>405</v>
      </c>
      <c r="C298" s="1120" t="s">
        <v>62</v>
      </c>
      <c r="D298" s="1120" t="s">
        <v>27</v>
      </c>
      <c r="E298" s="1121">
        <v>740025003</v>
      </c>
      <c r="F298" s="1122">
        <v>67725000</v>
      </c>
      <c r="G298" s="1122">
        <v>10083333</v>
      </c>
      <c r="H298" s="1119">
        <f t="shared" si="7"/>
        <v>797666670</v>
      </c>
      <c r="J298" s="1124">
        <f t="shared" si="6"/>
        <v>57641667</v>
      </c>
      <c r="K298" s="1129"/>
      <c r="L298" s="1129"/>
      <c r="M298" s="1125"/>
      <c r="P298" s="1126" t="s">
        <v>1825</v>
      </c>
    </row>
    <row r="299" spans="1:16" s="1123" customFormat="1">
      <c r="A299" s="1079">
        <v>241</v>
      </c>
      <c r="B299" s="1079" t="s">
        <v>408</v>
      </c>
      <c r="C299" s="1120" t="s">
        <v>62</v>
      </c>
      <c r="D299" s="1120" t="s">
        <v>27</v>
      </c>
      <c r="E299" s="1121">
        <v>996194696.38</v>
      </c>
      <c r="F299" s="1122">
        <v>89887506</v>
      </c>
      <c r="G299" s="1122">
        <v>0</v>
      </c>
      <c r="H299" s="1119">
        <f t="shared" si="7"/>
        <v>1086082202.3800001</v>
      </c>
      <c r="J299" s="1124">
        <f t="shared" si="6"/>
        <v>89887506</v>
      </c>
      <c r="K299" s="1129"/>
      <c r="L299" s="1129"/>
      <c r="M299" s="1125"/>
      <c r="P299" s="1126" t="s">
        <v>1827</v>
      </c>
    </row>
    <row r="300" spans="1:16" s="1123" customFormat="1">
      <c r="A300" s="1079">
        <v>242</v>
      </c>
      <c r="B300" s="1079" t="s">
        <v>410</v>
      </c>
      <c r="C300" s="1120" t="s">
        <v>62</v>
      </c>
      <c r="D300" s="1120" t="s">
        <v>27</v>
      </c>
      <c r="E300" s="1121">
        <v>2913034</v>
      </c>
      <c r="F300" s="1122">
        <v>45000</v>
      </c>
      <c r="G300" s="1122">
        <v>0</v>
      </c>
      <c r="H300" s="1119">
        <f t="shared" si="7"/>
        <v>2958034</v>
      </c>
      <c r="J300" s="1124">
        <f t="shared" si="6"/>
        <v>45000</v>
      </c>
      <c r="L300" s="1129"/>
      <c r="M300" s="1125"/>
      <c r="P300" s="1126" t="s">
        <v>1827</v>
      </c>
    </row>
    <row r="301" spans="1:16" s="1123" customFormat="1">
      <c r="A301" s="1079"/>
      <c r="B301" s="1079" t="s">
        <v>1073</v>
      </c>
      <c r="C301" s="1120"/>
      <c r="D301" s="1120"/>
      <c r="E301" s="1121">
        <v>581179</v>
      </c>
      <c r="F301" s="1122">
        <v>0</v>
      </c>
      <c r="G301" s="1122">
        <v>0</v>
      </c>
      <c r="H301" s="1119">
        <f t="shared" si="7"/>
        <v>581179</v>
      </c>
      <c r="J301" s="1124">
        <f t="shared" si="6"/>
        <v>0</v>
      </c>
      <c r="L301" s="1129"/>
      <c r="M301" s="1125"/>
      <c r="P301" s="1126" t="s">
        <v>1827</v>
      </c>
    </row>
    <row r="302" spans="1:16" s="1123" customFormat="1">
      <c r="A302" s="1079">
        <v>243</v>
      </c>
      <c r="B302" s="1079" t="s">
        <v>413</v>
      </c>
      <c r="C302" s="1120" t="s">
        <v>62</v>
      </c>
      <c r="D302" s="1120" t="s">
        <v>27</v>
      </c>
      <c r="E302" s="1121">
        <v>1034764</v>
      </c>
      <c r="F302" s="1122">
        <v>73457</v>
      </c>
      <c r="G302" s="1122">
        <v>0</v>
      </c>
      <c r="H302" s="1119">
        <f t="shared" si="7"/>
        <v>1108221</v>
      </c>
      <c r="J302" s="1124">
        <f t="shared" si="6"/>
        <v>73457</v>
      </c>
      <c r="L302" s="1130"/>
      <c r="M302" s="1125"/>
      <c r="P302" s="1126" t="s">
        <v>1827</v>
      </c>
    </row>
    <row r="303" spans="1:16" s="1123" customFormat="1">
      <c r="A303" s="1079">
        <v>244</v>
      </c>
      <c r="B303" s="1079" t="s">
        <v>416</v>
      </c>
      <c r="C303" s="1120" t="s">
        <v>62</v>
      </c>
      <c r="D303" s="1120" t="s">
        <v>27</v>
      </c>
      <c r="E303" s="1121">
        <v>2524332</v>
      </c>
      <c r="F303" s="1122">
        <v>171667</v>
      </c>
      <c r="G303" s="1122">
        <v>0</v>
      </c>
      <c r="H303" s="1119">
        <f t="shared" si="7"/>
        <v>2695999</v>
      </c>
      <c r="J303" s="1124">
        <f t="shared" si="6"/>
        <v>171667</v>
      </c>
      <c r="M303" s="1125"/>
      <c r="P303" s="1126" t="s">
        <v>1827</v>
      </c>
    </row>
    <row r="304" spans="1:16" s="1123" customFormat="1">
      <c r="A304" s="1079">
        <v>245</v>
      </c>
      <c r="B304" s="1079" t="s">
        <v>418</v>
      </c>
      <c r="C304" s="1120" t="s">
        <v>62</v>
      </c>
      <c r="D304" s="1120" t="s">
        <v>27</v>
      </c>
      <c r="E304" s="1121">
        <v>0.25</v>
      </c>
      <c r="F304" s="1122">
        <v>0</v>
      </c>
      <c r="G304" s="1122">
        <v>0.25</v>
      </c>
      <c r="H304" s="1119">
        <f t="shared" si="7"/>
        <v>0</v>
      </c>
      <c r="J304" s="1124">
        <f t="shared" si="6"/>
        <v>-0.25</v>
      </c>
      <c r="K304" s="1130">
        <f>G304-F111</f>
        <v>0.25</v>
      </c>
      <c r="M304" s="1125"/>
      <c r="P304" s="1126" t="s">
        <v>1823</v>
      </c>
    </row>
    <row r="305" spans="1:16" s="1123" customFormat="1">
      <c r="A305" s="1079">
        <v>246</v>
      </c>
      <c r="B305" s="1079" t="s">
        <v>420</v>
      </c>
      <c r="C305" s="1120" t="s">
        <v>62</v>
      </c>
      <c r="D305" s="1120" t="s">
        <v>27</v>
      </c>
      <c r="E305" s="1121">
        <v>4958332</v>
      </c>
      <c r="F305" s="1122">
        <v>375000</v>
      </c>
      <c r="G305" s="1122">
        <v>0</v>
      </c>
      <c r="H305" s="1119">
        <f t="shared" si="7"/>
        <v>5333332</v>
      </c>
      <c r="J305" s="1124">
        <f t="shared" si="6"/>
        <v>375000</v>
      </c>
      <c r="M305" s="1125"/>
      <c r="P305" s="1126" t="s">
        <v>1823</v>
      </c>
    </row>
    <row r="306" spans="1:16" s="1123" customFormat="1">
      <c r="A306" s="1079">
        <v>247</v>
      </c>
      <c r="B306" s="1079" t="s">
        <v>424</v>
      </c>
      <c r="C306" s="1120" t="s">
        <v>62</v>
      </c>
      <c r="D306" s="1120" t="s">
        <v>27</v>
      </c>
      <c r="E306" s="1121">
        <v>82115821.969999999</v>
      </c>
      <c r="F306" s="1122">
        <v>6063763</v>
      </c>
      <c r="G306" s="1122">
        <v>0</v>
      </c>
      <c r="H306" s="1119">
        <f t="shared" si="7"/>
        <v>88179584.969999999</v>
      </c>
      <c r="J306" s="1124">
        <f t="shared" si="6"/>
        <v>6063763</v>
      </c>
      <c r="M306" s="1125"/>
      <c r="P306" s="1126" t="s">
        <v>1823</v>
      </c>
    </row>
    <row r="307" spans="1:16" s="1123" customFormat="1">
      <c r="A307" s="1079">
        <v>248</v>
      </c>
      <c r="B307" s="1079" t="s">
        <v>429</v>
      </c>
      <c r="C307" s="1120" t="s">
        <v>62</v>
      </c>
      <c r="D307" s="1120" t="s">
        <v>27</v>
      </c>
      <c r="E307" s="1121">
        <v>134095393.67</v>
      </c>
      <c r="F307" s="1122">
        <v>7001475</v>
      </c>
      <c r="G307" s="1122">
        <v>0</v>
      </c>
      <c r="H307" s="1119">
        <f t="shared" si="7"/>
        <v>141096868.67000002</v>
      </c>
      <c r="J307" s="1124">
        <f t="shared" ref="J307:J334" si="8">F307-G307</f>
        <v>7001475</v>
      </c>
      <c r="M307" s="1125"/>
      <c r="P307" s="1126" t="s">
        <v>1836</v>
      </c>
    </row>
    <row r="308" spans="1:16" s="1123" customFormat="1">
      <c r="A308" s="1079">
        <v>249</v>
      </c>
      <c r="B308" s="1079" t="s">
        <v>512</v>
      </c>
      <c r="C308" s="1120" t="s">
        <v>62</v>
      </c>
      <c r="D308" s="1120" t="s">
        <v>27</v>
      </c>
      <c r="E308" s="1121">
        <v>22248956.34</v>
      </c>
      <c r="F308" s="1122">
        <v>8598000</v>
      </c>
      <c r="G308" s="1122">
        <v>0</v>
      </c>
      <c r="H308" s="1119">
        <f t="shared" si="7"/>
        <v>30846956.34</v>
      </c>
      <c r="J308" s="1124">
        <f t="shared" si="8"/>
        <v>8598000</v>
      </c>
      <c r="M308" s="1125"/>
      <c r="P308" s="1126" t="s">
        <v>1838</v>
      </c>
    </row>
    <row r="309" spans="1:16" s="1123" customFormat="1">
      <c r="A309" s="1079">
        <v>250</v>
      </c>
      <c r="B309" s="1079" t="s">
        <v>1056</v>
      </c>
      <c r="C309" s="1120" t="s">
        <v>62</v>
      </c>
      <c r="D309" s="1120" t="s">
        <v>27</v>
      </c>
      <c r="E309" s="1121">
        <v>-801200</v>
      </c>
      <c r="F309" s="1122">
        <v>0</v>
      </c>
      <c r="G309" s="1122">
        <v>0</v>
      </c>
      <c r="H309" s="1119">
        <f t="shared" si="7"/>
        <v>-801200</v>
      </c>
      <c r="J309" s="1124">
        <f t="shared" si="8"/>
        <v>0</v>
      </c>
      <c r="M309" s="1125"/>
      <c r="P309" s="1126" t="s">
        <v>1838</v>
      </c>
    </row>
    <row r="310" spans="1:16" s="1123" customFormat="1">
      <c r="A310" s="1079"/>
      <c r="B310" s="1079" t="s">
        <v>1125</v>
      </c>
      <c r="C310" s="1120"/>
      <c r="D310" s="1120"/>
      <c r="E310" s="1121">
        <v>73816212</v>
      </c>
      <c r="F310" s="1122">
        <v>0</v>
      </c>
      <c r="G310" s="1122">
        <v>0</v>
      </c>
      <c r="H310" s="1119">
        <f t="shared" si="7"/>
        <v>73816212</v>
      </c>
      <c r="J310" s="1124">
        <f t="shared" si="8"/>
        <v>0</v>
      </c>
      <c r="M310" s="1125"/>
      <c r="P310" s="1126" t="s">
        <v>1841</v>
      </c>
    </row>
    <row r="311" spans="1:16" s="1123" customFormat="1">
      <c r="A311" s="1079"/>
      <c r="B311" s="1079" t="s">
        <v>1057</v>
      </c>
      <c r="C311" s="1120" t="s">
        <v>62</v>
      </c>
      <c r="D311" s="1120" t="s">
        <v>27</v>
      </c>
      <c r="E311" s="1121">
        <v>4599500</v>
      </c>
      <c r="F311" s="1122">
        <v>0</v>
      </c>
      <c r="G311" s="1122">
        <v>0</v>
      </c>
      <c r="H311" s="1119">
        <f t="shared" si="7"/>
        <v>4599500</v>
      </c>
      <c r="J311" s="1124">
        <f t="shared" si="8"/>
        <v>0</v>
      </c>
      <c r="M311" s="1125"/>
      <c r="P311" s="1126" t="s">
        <v>1843</v>
      </c>
    </row>
    <row r="312" spans="1:16" s="1123" customFormat="1">
      <c r="A312" s="1079">
        <v>251</v>
      </c>
      <c r="B312" s="1079" t="s">
        <v>519</v>
      </c>
      <c r="C312" s="1120" t="s">
        <v>62</v>
      </c>
      <c r="D312" s="1120" t="s">
        <v>27</v>
      </c>
      <c r="E312" s="1121">
        <v>51076814</v>
      </c>
      <c r="F312" s="1122">
        <v>8010314</v>
      </c>
      <c r="G312" s="1122">
        <v>0</v>
      </c>
      <c r="H312" s="1119">
        <f t="shared" si="7"/>
        <v>59087128</v>
      </c>
      <c r="J312" s="1124">
        <f t="shared" si="8"/>
        <v>8010314</v>
      </c>
      <c r="M312" s="1125"/>
      <c r="P312" s="1126" t="s">
        <v>1845</v>
      </c>
    </row>
    <row r="313" spans="1:16" s="1123" customFormat="1">
      <c r="A313" s="1079">
        <v>252</v>
      </c>
      <c r="B313" s="1079" t="s">
        <v>523</v>
      </c>
      <c r="C313" s="1120" t="s">
        <v>62</v>
      </c>
      <c r="D313" s="1120" t="s">
        <v>27</v>
      </c>
      <c r="E313" s="1121">
        <v>9176028</v>
      </c>
      <c r="F313" s="1122">
        <v>0</v>
      </c>
      <c r="G313" s="1122">
        <v>0</v>
      </c>
      <c r="H313" s="1119">
        <f t="shared" si="7"/>
        <v>9176028</v>
      </c>
      <c r="J313" s="1124">
        <f t="shared" si="8"/>
        <v>0</v>
      </c>
      <c r="M313" s="1125"/>
      <c r="P313" s="1126" t="s">
        <v>1847</v>
      </c>
    </row>
    <row r="314" spans="1:16" s="1123" customFormat="1">
      <c r="A314" s="1079">
        <v>253</v>
      </c>
      <c r="B314" s="1079" t="s">
        <v>525</v>
      </c>
      <c r="C314" s="1120" t="s">
        <v>62</v>
      </c>
      <c r="D314" s="1120" t="s">
        <v>27</v>
      </c>
      <c r="E314" s="1121">
        <v>822963</v>
      </c>
      <c r="F314" s="1122">
        <v>0</v>
      </c>
      <c r="G314" s="1122">
        <v>0</v>
      </c>
      <c r="H314" s="1119">
        <f t="shared" si="7"/>
        <v>822963</v>
      </c>
      <c r="J314" s="1124">
        <f t="shared" si="8"/>
        <v>0</v>
      </c>
      <c r="M314" s="1125"/>
      <c r="P314" s="1126" t="s">
        <v>1849</v>
      </c>
    </row>
    <row r="315" spans="1:16" s="1123" customFormat="1">
      <c r="A315" s="1079">
        <v>254</v>
      </c>
      <c r="B315" s="1079" t="s">
        <v>521</v>
      </c>
      <c r="C315" s="1120" t="s">
        <v>62</v>
      </c>
      <c r="D315" s="1120" t="s">
        <v>27</v>
      </c>
      <c r="E315" s="1121">
        <v>50137110.420000002</v>
      </c>
      <c r="F315" s="1122">
        <v>5568710</v>
      </c>
      <c r="G315" s="1122">
        <v>5560700</v>
      </c>
      <c r="H315" s="1119">
        <f t="shared" si="7"/>
        <v>50145120.420000002</v>
      </c>
      <c r="J315" s="1124">
        <f t="shared" si="8"/>
        <v>8010</v>
      </c>
      <c r="M315" s="1125"/>
      <c r="P315" s="1126" t="s">
        <v>1851</v>
      </c>
    </row>
    <row r="316" spans="1:16" s="1123" customFormat="1">
      <c r="A316" s="1079">
        <v>255</v>
      </c>
      <c r="B316" s="1079" t="s">
        <v>532</v>
      </c>
      <c r="C316" s="1120" t="s">
        <v>62</v>
      </c>
      <c r="D316" s="1120" t="s">
        <v>27</v>
      </c>
      <c r="E316" s="1121">
        <v>6658221</v>
      </c>
      <c r="F316" s="1122">
        <v>74500</v>
      </c>
      <c r="G316" s="1122">
        <v>0</v>
      </c>
      <c r="H316" s="1119">
        <f t="shared" si="7"/>
        <v>6732721</v>
      </c>
      <c r="J316" s="1124">
        <f t="shared" si="8"/>
        <v>74500</v>
      </c>
      <c r="M316" s="1125"/>
      <c r="P316" s="1126" t="s">
        <v>1843</v>
      </c>
    </row>
    <row r="317" spans="1:16" s="1123" customFormat="1">
      <c r="A317" s="1079"/>
      <c r="B317" s="1079" t="s">
        <v>1126</v>
      </c>
      <c r="C317" s="1120"/>
      <c r="D317" s="1120"/>
      <c r="E317" s="1121">
        <v>1858311</v>
      </c>
      <c r="F317" s="1122">
        <v>151133</v>
      </c>
      <c r="G317" s="1122">
        <v>0</v>
      </c>
      <c r="H317" s="1119">
        <f t="shared" si="7"/>
        <v>2009444</v>
      </c>
      <c r="J317" s="1124">
        <f t="shared" si="8"/>
        <v>151133</v>
      </c>
      <c r="M317" s="1125"/>
      <c r="P317" s="1126" t="s">
        <v>1854</v>
      </c>
    </row>
    <row r="318" spans="1:16" s="1123" customFormat="1">
      <c r="A318" s="1079">
        <v>256</v>
      </c>
      <c r="B318" s="1079" t="s">
        <v>530</v>
      </c>
      <c r="C318" s="1120" t="s">
        <v>62</v>
      </c>
      <c r="D318" s="1120" t="s">
        <v>27</v>
      </c>
      <c r="E318" s="1121">
        <v>-1018501</v>
      </c>
      <c r="F318" s="1122">
        <v>0</v>
      </c>
      <c r="G318" s="1122">
        <v>0</v>
      </c>
      <c r="H318" s="1119">
        <f t="shared" si="7"/>
        <v>-1018501</v>
      </c>
      <c r="J318" s="1124">
        <f t="shared" si="8"/>
        <v>0</v>
      </c>
      <c r="M318" s="1125"/>
      <c r="P318" s="1126" t="s">
        <v>1843</v>
      </c>
    </row>
    <row r="319" spans="1:16" s="1123" customFormat="1">
      <c r="A319" s="1079">
        <v>257</v>
      </c>
      <c r="B319" s="1079" t="s">
        <v>529</v>
      </c>
      <c r="C319" s="1120" t="s">
        <v>62</v>
      </c>
      <c r="D319" s="1120" t="s">
        <v>27</v>
      </c>
      <c r="E319" s="1121">
        <v>5605000</v>
      </c>
      <c r="F319" s="1122">
        <v>0</v>
      </c>
      <c r="G319" s="1122">
        <v>0</v>
      </c>
      <c r="H319" s="1119">
        <f t="shared" si="7"/>
        <v>5605000</v>
      </c>
      <c r="J319" s="1124">
        <f t="shared" si="8"/>
        <v>0</v>
      </c>
      <c r="M319" s="1125"/>
      <c r="P319" s="1126" t="s">
        <v>1845</v>
      </c>
    </row>
    <row r="320" spans="1:16" s="1123" customFormat="1">
      <c r="A320" s="1079">
        <v>258</v>
      </c>
      <c r="B320" s="1079" t="s">
        <v>528</v>
      </c>
      <c r="C320" s="1120" t="s">
        <v>62</v>
      </c>
      <c r="D320" s="1120" t="s">
        <v>27</v>
      </c>
      <c r="E320" s="1121">
        <v>1290000</v>
      </c>
      <c r="F320" s="1122">
        <v>0</v>
      </c>
      <c r="G320" s="1122">
        <v>0</v>
      </c>
      <c r="H320" s="1119">
        <f t="shared" si="7"/>
        <v>1290000</v>
      </c>
      <c r="J320" s="1124">
        <f t="shared" si="8"/>
        <v>0</v>
      </c>
      <c r="M320" s="1125"/>
      <c r="P320" s="1126" t="s">
        <v>1847</v>
      </c>
    </row>
    <row r="321" spans="1:16" s="1123" customFormat="1">
      <c r="A321" s="1079">
        <v>259</v>
      </c>
      <c r="B321" s="1079" t="s">
        <v>527</v>
      </c>
      <c r="C321" s="1120" t="s">
        <v>62</v>
      </c>
      <c r="D321" s="1120" t="s">
        <v>27</v>
      </c>
      <c r="E321" s="1121">
        <v>480480</v>
      </c>
      <c r="F321" s="1122">
        <v>0</v>
      </c>
      <c r="G321" s="1122">
        <v>0</v>
      </c>
      <c r="H321" s="1119">
        <f t="shared" si="7"/>
        <v>480480</v>
      </c>
      <c r="J321" s="1124">
        <f t="shared" si="8"/>
        <v>0</v>
      </c>
      <c r="M321" s="1125"/>
      <c r="P321" s="1126" t="s">
        <v>1849</v>
      </c>
    </row>
    <row r="322" spans="1:16" s="1123" customFormat="1">
      <c r="A322" s="1079">
        <v>260</v>
      </c>
      <c r="B322" s="1079" t="s">
        <v>534</v>
      </c>
      <c r="C322" s="1120" t="s">
        <v>62</v>
      </c>
      <c r="D322" s="1120" t="s">
        <v>27</v>
      </c>
      <c r="E322" s="1121">
        <v>2299300</v>
      </c>
      <c r="F322" s="1122">
        <v>0</v>
      </c>
      <c r="G322" s="1122">
        <v>0</v>
      </c>
      <c r="H322" s="1119">
        <f t="shared" si="7"/>
        <v>2299300</v>
      </c>
      <c r="J322" s="1124">
        <f t="shared" si="8"/>
        <v>0</v>
      </c>
      <c r="M322" s="1125"/>
      <c r="P322" s="1126" t="s">
        <v>1847</v>
      </c>
    </row>
    <row r="323" spans="1:16" s="1123" customFormat="1">
      <c r="A323" s="1079">
        <v>261</v>
      </c>
      <c r="B323" s="1079" t="s">
        <v>539</v>
      </c>
      <c r="C323" s="1120" t="s">
        <v>62</v>
      </c>
      <c r="D323" s="1120" t="s">
        <v>27</v>
      </c>
      <c r="E323" s="1121">
        <v>63172020</v>
      </c>
      <c r="F323" s="1122">
        <v>7841495</v>
      </c>
      <c r="G323" s="1122">
        <v>0</v>
      </c>
      <c r="H323" s="1119">
        <f t="shared" si="7"/>
        <v>71013515</v>
      </c>
      <c r="J323" s="1124">
        <f t="shared" si="8"/>
        <v>7841495</v>
      </c>
      <c r="K323" s="1127"/>
      <c r="M323" s="1125"/>
      <c r="P323" s="1126" t="s">
        <v>1861</v>
      </c>
    </row>
    <row r="324" spans="1:16" s="1123" customFormat="1">
      <c r="A324" s="1079"/>
      <c r="B324" s="1079" t="s">
        <v>537</v>
      </c>
      <c r="C324" s="1120" t="s">
        <v>62</v>
      </c>
      <c r="D324" s="1120" t="s">
        <v>27</v>
      </c>
      <c r="E324" s="1121">
        <v>29651541</v>
      </c>
      <c r="F324" s="1122">
        <v>10000000</v>
      </c>
      <c r="G324" s="1122">
        <v>0</v>
      </c>
      <c r="H324" s="1119">
        <f t="shared" ref="H324:H334" si="9">E324+F324-G324</f>
        <v>39651541</v>
      </c>
      <c r="J324" s="1124">
        <f t="shared" si="8"/>
        <v>10000000</v>
      </c>
      <c r="K324" s="1129">
        <f>K325-'Dec''17'!N82</f>
        <v>0</v>
      </c>
      <c r="M324" s="1125"/>
      <c r="P324" s="1126" t="s">
        <v>1863</v>
      </c>
    </row>
    <row r="325" spans="1:16" s="1123" customFormat="1">
      <c r="A325" s="1079">
        <v>262</v>
      </c>
      <c r="B325" s="1079" t="s">
        <v>541</v>
      </c>
      <c r="C325" s="1120" t="s">
        <v>62</v>
      </c>
      <c r="D325" s="1120" t="s">
        <v>27</v>
      </c>
      <c r="E325" s="1121">
        <v>1231943316.51</v>
      </c>
      <c r="F325" s="1122">
        <v>436461846</v>
      </c>
      <c r="G325" s="1122">
        <v>606268981</v>
      </c>
      <c r="H325" s="1119">
        <f t="shared" si="9"/>
        <v>1062136181.51</v>
      </c>
      <c r="J325" s="1124">
        <f t="shared" si="8"/>
        <v>-169807135</v>
      </c>
      <c r="K325" s="1127">
        <f>SUM(J234:J325)</f>
        <v>2672823944.5600004</v>
      </c>
      <c r="L325" s="1129">
        <f>'Dec''17'!N82</f>
        <v>2672823944.5600004</v>
      </c>
      <c r="M325" s="1125"/>
      <c r="P325" s="1126" t="s">
        <v>1865</v>
      </c>
    </row>
    <row r="326" spans="1:16" s="1123" customFormat="1">
      <c r="A326" s="1079">
        <v>263</v>
      </c>
      <c r="B326" s="1079" t="s">
        <v>547</v>
      </c>
      <c r="C326" s="1120" t="s">
        <v>82</v>
      </c>
      <c r="D326" s="1120" t="s">
        <v>27</v>
      </c>
      <c r="E326" s="1121">
        <v>-69041660.950000003</v>
      </c>
      <c r="F326" s="1122">
        <v>0</v>
      </c>
      <c r="G326" s="1122">
        <v>6604155.0700000003</v>
      </c>
      <c r="H326" s="1119">
        <f t="shared" si="9"/>
        <v>-75645816.020000011</v>
      </c>
      <c r="J326" s="1124">
        <f t="shared" si="8"/>
        <v>-6604155.0700000003</v>
      </c>
      <c r="K326" s="1127">
        <f>SUM(H234:H325)</f>
        <v>31204444719.149998</v>
      </c>
      <c r="L326" s="1127">
        <f>K325-L325</f>
        <v>0</v>
      </c>
      <c r="M326" s="1125"/>
      <c r="P326" s="1126" t="s">
        <v>1867</v>
      </c>
    </row>
    <row r="327" spans="1:16" s="1123" customFormat="1">
      <c r="A327" s="1079">
        <v>264</v>
      </c>
      <c r="B327" s="1079" t="s">
        <v>549</v>
      </c>
      <c r="C327" s="1120" t="s">
        <v>82</v>
      </c>
      <c r="D327" s="1120" t="s">
        <v>27</v>
      </c>
      <c r="E327" s="1121">
        <v>-20051475.399999999</v>
      </c>
      <c r="F327" s="1122">
        <v>562859.43000000005</v>
      </c>
      <c r="G327" s="1122">
        <v>2433031.31</v>
      </c>
      <c r="H327" s="1119">
        <f t="shared" si="9"/>
        <v>-21921647.279999997</v>
      </c>
      <c r="J327" s="1124">
        <f t="shared" si="8"/>
        <v>-1870171.88</v>
      </c>
      <c r="K327" s="1127">
        <f>K326-'Dec''17'!O82</f>
        <v>0.64000320434570313</v>
      </c>
      <c r="M327" s="1125"/>
      <c r="P327" s="1126" t="s">
        <v>1869</v>
      </c>
    </row>
    <row r="328" spans="1:16">
      <c r="A328" s="265">
        <v>265</v>
      </c>
      <c r="B328" s="265" t="s">
        <v>554</v>
      </c>
      <c r="C328" s="1072" t="s">
        <v>82</v>
      </c>
      <c r="D328" s="1072" t="s">
        <v>27</v>
      </c>
      <c r="E328" s="1063">
        <v>11394520.280000001</v>
      </c>
      <c r="F328" s="1094">
        <v>1093879.07</v>
      </c>
      <c r="G328" s="1094">
        <v>345000</v>
      </c>
      <c r="H328" s="1104">
        <f t="shared" si="9"/>
        <v>12143399.350000001</v>
      </c>
      <c r="J328" s="440">
        <f t="shared" si="8"/>
        <v>748879.07000000007</v>
      </c>
      <c r="M328" s="1073"/>
      <c r="P328" t="s">
        <v>1871</v>
      </c>
    </row>
    <row r="329" spans="1:16">
      <c r="A329" s="265">
        <v>266</v>
      </c>
      <c r="B329" s="265" t="s">
        <v>556</v>
      </c>
      <c r="C329" s="1072" t="s">
        <v>82</v>
      </c>
      <c r="D329" s="1072" t="s">
        <v>27</v>
      </c>
      <c r="E329" s="1063">
        <v>180244093</v>
      </c>
      <c r="F329" s="1094">
        <v>18585568</v>
      </c>
      <c r="G329" s="1094">
        <v>0</v>
      </c>
      <c r="H329" s="1104">
        <f t="shared" si="9"/>
        <v>198829661</v>
      </c>
      <c r="J329" s="440">
        <f t="shared" si="8"/>
        <v>18585568</v>
      </c>
      <c r="M329" s="1073"/>
      <c r="P329" t="s">
        <v>1873</v>
      </c>
    </row>
    <row r="330" spans="1:16">
      <c r="A330" s="265"/>
      <c r="B330" s="265" t="s">
        <v>1127</v>
      </c>
      <c r="C330" s="1072"/>
      <c r="D330" s="1072"/>
      <c r="E330" s="1063">
        <v>267631619.90000001</v>
      </c>
      <c r="F330" s="1094">
        <v>0</v>
      </c>
      <c r="G330" s="1094">
        <v>267631619.90000001</v>
      </c>
      <c r="H330" s="1104">
        <f t="shared" si="9"/>
        <v>0</v>
      </c>
      <c r="J330" s="440">
        <f t="shared" si="8"/>
        <v>-267631619.90000001</v>
      </c>
      <c r="M330" s="1073"/>
      <c r="P330" t="s">
        <v>1875</v>
      </c>
    </row>
    <row r="331" spans="1:16">
      <c r="A331" s="265">
        <v>267</v>
      </c>
      <c r="B331" s="265" t="s">
        <v>572</v>
      </c>
      <c r="C331" s="1072" t="s">
        <v>82</v>
      </c>
      <c r="D331" s="1072" t="s">
        <v>27</v>
      </c>
      <c r="E331" s="1063">
        <v>-639315668.89999998</v>
      </c>
      <c r="F331" s="1094">
        <v>627631619.89999998</v>
      </c>
      <c r="G331" s="1094">
        <v>133772442.23999999</v>
      </c>
      <c r="H331" s="1104">
        <f t="shared" si="9"/>
        <v>-145456491.24000001</v>
      </c>
      <c r="J331" s="440">
        <f t="shared" si="8"/>
        <v>493859177.65999997</v>
      </c>
      <c r="M331" s="1073"/>
      <c r="P331" t="s">
        <v>1877</v>
      </c>
    </row>
    <row r="332" spans="1:16">
      <c r="B332" s="265" t="s">
        <v>582</v>
      </c>
      <c r="C332" s="1072" t="s">
        <v>82</v>
      </c>
      <c r="D332" s="1072" t="s">
        <v>27</v>
      </c>
      <c r="E332" s="1063">
        <v>-18640936.300000001</v>
      </c>
      <c r="F332" s="1094">
        <v>0</v>
      </c>
      <c r="G332" s="1094">
        <v>5158403.3099999996</v>
      </c>
      <c r="H332" s="1104">
        <f t="shared" si="9"/>
        <v>-23799339.609999999</v>
      </c>
      <c r="J332" s="440">
        <f t="shared" si="8"/>
        <v>-5158403.3099999996</v>
      </c>
      <c r="M332" s="1073"/>
      <c r="P332" t="s">
        <v>1879</v>
      </c>
    </row>
    <row r="333" spans="1:16">
      <c r="B333" s="265" t="s">
        <v>544</v>
      </c>
      <c r="C333" s="1072" t="s">
        <v>82</v>
      </c>
      <c r="D333" s="1072" t="s">
        <v>27</v>
      </c>
      <c r="E333" s="1093">
        <v>90729891</v>
      </c>
      <c r="F333" s="1094">
        <v>0</v>
      </c>
      <c r="G333" s="1094">
        <v>0</v>
      </c>
      <c r="H333" s="1104">
        <f t="shared" si="9"/>
        <v>90729891</v>
      </c>
      <c r="J333" s="440">
        <f t="shared" si="8"/>
        <v>0</v>
      </c>
      <c r="M333" s="1073"/>
      <c r="P333" t="s">
        <v>1881</v>
      </c>
    </row>
    <row r="334" spans="1:16">
      <c r="B334" s="265" t="s">
        <v>1425</v>
      </c>
      <c r="C334" s="1072"/>
      <c r="D334" s="1072"/>
      <c r="E334" s="1095"/>
      <c r="F334" s="1092">
        <v>35996351</v>
      </c>
      <c r="G334" s="1092">
        <v>0</v>
      </c>
      <c r="H334" s="1082">
        <f t="shared" si="9"/>
        <v>35996351</v>
      </c>
      <c r="I334" s="1086"/>
      <c r="J334" s="442">
        <f t="shared" si="8"/>
        <v>35996351</v>
      </c>
      <c r="K334" s="1071">
        <f>J335+'Dec''17'!N107</f>
        <v>-4.4703483581542969E-7</v>
      </c>
      <c r="M334" s="1073"/>
      <c r="P334" s="313" t="s">
        <v>1902</v>
      </c>
    </row>
    <row r="335" spans="1:16">
      <c r="C335" s="1072"/>
      <c r="D335" s="1072"/>
      <c r="E335" s="1083">
        <f>SUM(E3:E333)</f>
        <v>-0.38001804053783417</v>
      </c>
      <c r="F335" s="1065">
        <f>SUM(F3:F334)</f>
        <v>26691914692.000004</v>
      </c>
      <c r="G335" s="1065">
        <f>SUM(G3:G334)</f>
        <v>26691914691.650005</v>
      </c>
      <c r="H335" s="346">
        <f>SUM(H3:H334)</f>
        <v>-2.998979389667511E-2</v>
      </c>
      <c r="J335" s="420">
        <f>SUM(J178:J334)</f>
        <v>-98379971.410000503</v>
      </c>
      <c r="M335" s="1073"/>
    </row>
    <row r="336" spans="1:16">
      <c r="C336" s="1072"/>
      <c r="D336" s="1072"/>
      <c r="G336" s="1065">
        <f>F335-G335</f>
        <v>0.34999847412109375</v>
      </c>
      <c r="K336" s="1086"/>
    </row>
    <row r="337" spans="1:12">
      <c r="B337" s="313" t="s">
        <v>1366</v>
      </c>
      <c r="C337" s="1072"/>
      <c r="D337" s="1072"/>
      <c r="E337" s="1085">
        <f>SUM(E178:E333)</f>
        <v>-8217404.0000055283</v>
      </c>
      <c r="F337" s="1081">
        <v>26691914692.000004</v>
      </c>
      <c r="G337" s="1081">
        <v>26691914691.650005</v>
      </c>
      <c r="H337" s="1103">
        <f>SUM(H178:H334)</f>
        <v>-106597375.40999085</v>
      </c>
      <c r="J337" s="440"/>
      <c r="K337" s="1086"/>
    </row>
    <row r="338" spans="1:12">
      <c r="C338" s="1072"/>
      <c r="D338" s="1072"/>
      <c r="E338" s="1084">
        <f>-8217404.00000553-E337</f>
        <v>0</v>
      </c>
      <c r="F338" s="1065">
        <f>F335-F337</f>
        <v>0</v>
      </c>
      <c r="G338" s="1065">
        <f>G335-G337</f>
        <v>0</v>
      </c>
      <c r="H338" s="353">
        <f>H337+'Dec''17'!O107</f>
        <v>-0.10998436808586121</v>
      </c>
      <c r="J338" s="440"/>
      <c r="K338" s="1086"/>
    </row>
    <row r="339" spans="1:12">
      <c r="B339" s="313" t="s">
        <v>1369</v>
      </c>
      <c r="C339" s="1072"/>
      <c r="D339" s="1072"/>
      <c r="H339" s="346"/>
      <c r="J339" s="440"/>
      <c r="K339" s="1087"/>
    </row>
    <row r="340" spans="1:12">
      <c r="C340" s="1077"/>
      <c r="D340" s="1077"/>
      <c r="J340" s="440"/>
      <c r="K340" s="1078"/>
    </row>
    <row r="341" spans="1:12">
      <c r="C341" s="1077"/>
      <c r="D341" s="1077"/>
      <c r="H341" s="353">
        <v>-106597375.40999085</v>
      </c>
      <c r="J341" s="440"/>
      <c r="K341" s="1088"/>
      <c r="L341" s="1071"/>
    </row>
    <row r="342" spans="1:12">
      <c r="C342" s="1077"/>
      <c r="D342" s="1077"/>
      <c r="H342" s="353">
        <f>H337-H341</f>
        <v>0</v>
      </c>
      <c r="J342" s="440"/>
      <c r="K342" s="1078"/>
    </row>
    <row r="343" spans="1:12">
      <c r="C343" s="1077"/>
      <c r="D343" s="1077"/>
      <c r="J343" s="440"/>
      <c r="K343" s="1088"/>
    </row>
    <row r="344" spans="1:12">
      <c r="C344" s="1077"/>
      <c r="D344" s="1077"/>
      <c r="J344" s="440"/>
      <c r="K344" s="1086"/>
    </row>
    <row r="345" spans="1:12">
      <c r="C345" s="1077"/>
      <c r="D345" s="1077"/>
      <c r="J345" s="440"/>
      <c r="K345" s="1086"/>
    </row>
    <row r="346" spans="1:12">
      <c r="B346" s="1105"/>
      <c r="C346" s="1106"/>
      <c r="D346" s="1106"/>
      <c r="E346" s="1078"/>
      <c r="F346" s="1078"/>
      <c r="J346" s="440"/>
      <c r="K346" s="1086"/>
    </row>
    <row r="347" spans="1:12">
      <c r="B347" s="1105"/>
      <c r="C347" s="1106"/>
      <c r="D347" s="1106"/>
      <c r="E347" s="1078"/>
      <c r="F347" s="1078"/>
      <c r="J347" s="440"/>
      <c r="K347" s="1086"/>
    </row>
    <row r="348" spans="1:12">
      <c r="B348" s="1105"/>
      <c r="C348" s="1106"/>
      <c r="D348" s="1106"/>
      <c r="E348" s="1078"/>
      <c r="F348" s="1078"/>
    </row>
    <row r="349" spans="1:12">
      <c r="B349" s="1105"/>
      <c r="C349" s="1106"/>
      <c r="D349" s="1106"/>
      <c r="E349" s="1078"/>
      <c r="F349" s="1078"/>
    </row>
    <row r="350" spans="1:12">
      <c r="B350" s="1105"/>
      <c r="C350" s="1106"/>
      <c r="D350" s="1106"/>
      <c r="E350" s="1078"/>
      <c r="F350" s="1078"/>
    </row>
    <row r="351" spans="1:12" s="1076" customFormat="1">
      <c r="A351" s="313"/>
      <c r="B351" s="1086"/>
      <c r="C351" s="1106"/>
      <c r="D351" s="1106"/>
      <c r="E351" s="1078"/>
      <c r="F351" s="1107"/>
      <c r="G351" s="1065"/>
      <c r="H351" s="353"/>
      <c r="J351" s="420"/>
    </row>
    <row r="352" spans="1:12" s="1076" customFormat="1">
      <c r="A352" s="313"/>
      <c r="B352" s="313"/>
      <c r="C352" s="1077"/>
      <c r="D352" s="1089">
        <f>+D346</f>
        <v>0</v>
      </c>
      <c r="E352" s="1090"/>
      <c r="F352" s="1091"/>
      <c r="G352" s="1065"/>
      <c r="H352" s="1090"/>
      <c r="J352" s="420"/>
    </row>
    <row r="353" spans="1:10" s="1076" customFormat="1">
      <c r="A353" s="313"/>
      <c r="B353" s="313"/>
      <c r="C353" s="1077"/>
      <c r="D353" s="1089">
        <f>+D347</f>
        <v>0</v>
      </c>
      <c r="E353" s="1090"/>
      <c r="F353" s="1091"/>
      <c r="G353" s="1065"/>
      <c r="H353" s="1090"/>
      <c r="J353" s="420"/>
    </row>
    <row r="354" spans="1:10" s="1076" customFormat="1">
      <c r="A354" s="313"/>
      <c r="B354" s="313"/>
      <c r="C354" s="1077"/>
      <c r="D354" s="1077"/>
      <c r="E354" s="1084"/>
      <c r="F354" s="1065"/>
      <c r="G354" s="1065"/>
      <c r="H354" s="353"/>
      <c r="J354" s="420"/>
    </row>
    <row r="355" spans="1:10" s="1076" customFormat="1">
      <c r="A355" s="313"/>
      <c r="B355" s="313"/>
      <c r="C355" s="1077"/>
      <c r="D355" s="1077"/>
      <c r="E355" s="1084"/>
      <c r="F355" s="1065"/>
      <c r="G355" s="1065"/>
      <c r="H355" s="353"/>
      <c r="J355" s="420"/>
    </row>
    <row r="356" spans="1:10" s="1076" customFormat="1">
      <c r="A356" s="313"/>
      <c r="B356" s="313"/>
      <c r="C356" s="1077"/>
      <c r="D356" s="1077"/>
      <c r="E356" s="1084"/>
      <c r="F356" s="1065"/>
      <c r="G356" s="1065"/>
      <c r="H356" s="353"/>
      <c r="J356" s="420"/>
    </row>
  </sheetData>
  <pageMargins left="0.7" right="0.7" top="0.75" bottom="0.75" header="0.3" footer="0.3"/>
  <pageSetup paperSize="9" scale="60" orientation="portrait" r:id="rId1"/>
  <colBreaks count="1" manualBreakCount="1">
    <brk id="10" max="1048575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04"/>
  <sheetViews>
    <sheetView tabSelected="1" workbookViewId="0">
      <selection activeCell="A5" sqref="A5:H207"/>
    </sheetView>
  </sheetViews>
  <sheetFormatPr defaultColWidth="9.1796875" defaultRowHeight="14.5"/>
  <cols>
    <col min="1" max="1" width="14.1796875" style="1152" customWidth="1"/>
    <col min="2" max="2" width="51.7265625" style="1152" customWidth="1"/>
    <col min="3" max="3" width="26" style="1152" bestFit="1" customWidth="1"/>
    <col min="4" max="4" width="16.453125" style="1153" bestFit="1" customWidth="1"/>
    <col min="5" max="5" width="19" style="1152" customWidth="1"/>
    <col min="6" max="7" width="9.1796875" style="1152" customWidth="1"/>
    <col min="8" max="8" width="18.54296875" style="1152" customWidth="1"/>
    <col min="9" max="16384" width="9.1796875" style="1152"/>
  </cols>
  <sheetData>
    <row r="1" spans="1:9" ht="18.5">
      <c r="B1" s="1168" t="s">
        <v>1907</v>
      </c>
      <c r="E1" s="1167"/>
    </row>
    <row r="2" spans="1:9">
      <c r="A2" s="1152" t="s">
        <v>1908</v>
      </c>
      <c r="B2" s="1154">
        <v>43100</v>
      </c>
    </row>
    <row r="3" spans="1:9">
      <c r="A3" s="1152" t="s">
        <v>1909</v>
      </c>
      <c r="B3" s="1154">
        <v>43100</v>
      </c>
    </row>
    <row r="4" spans="1:9" s="1155" customFormat="1">
      <c r="A4" s="1155" t="s">
        <v>1910</v>
      </c>
      <c r="B4" s="1155" t="s">
        <v>1911</v>
      </c>
      <c r="C4" s="1164" t="s">
        <v>1934</v>
      </c>
      <c r="D4" s="1164" t="s">
        <v>1933</v>
      </c>
      <c r="E4" s="1155" t="s">
        <v>1912</v>
      </c>
      <c r="F4" s="1155" t="s">
        <v>1913</v>
      </c>
      <c r="G4" s="1155" t="s">
        <v>1914</v>
      </c>
      <c r="H4" s="1155" t="s">
        <v>1915</v>
      </c>
    </row>
    <row r="5" spans="1:9">
      <c r="A5" s="1155"/>
      <c r="B5" s="1156"/>
      <c r="C5" s="1155"/>
      <c r="D5" s="1158"/>
      <c r="E5" s="1157"/>
      <c r="F5" s="1157"/>
      <c r="G5" s="1157"/>
      <c r="H5" s="1157"/>
    </row>
    <row r="6" spans="1:9">
      <c r="A6" s="1155"/>
      <c r="B6" s="1159"/>
      <c r="C6" s="1155"/>
      <c r="E6" s="1157"/>
      <c r="F6" s="1157"/>
      <c r="G6" s="1157"/>
      <c r="H6" s="1157"/>
    </row>
    <row r="7" spans="1:9">
      <c r="A7" s="1155"/>
      <c r="B7" s="1159"/>
      <c r="C7" s="1155"/>
      <c r="E7" s="1157"/>
      <c r="F7" s="1157"/>
      <c r="G7" s="1157"/>
      <c r="H7" s="1157"/>
    </row>
    <row r="8" spans="1:9">
      <c r="E8" s="1160"/>
      <c r="F8" s="1160"/>
      <c r="G8" s="1160"/>
      <c r="H8" s="1160"/>
      <c r="I8" s="1161"/>
    </row>
    <row r="9" spans="1:9">
      <c r="E9" s="1160"/>
      <c r="F9" s="1160"/>
      <c r="G9" s="1160"/>
      <c r="H9" s="1160"/>
      <c r="I9" s="1161"/>
    </row>
    <row r="10" spans="1:9">
      <c r="E10" s="1160"/>
      <c r="F10" s="1160"/>
      <c r="G10" s="1160"/>
      <c r="H10" s="1160"/>
      <c r="I10" s="1161"/>
    </row>
    <row r="11" spans="1:9">
      <c r="A11" s="1155"/>
      <c r="B11" s="1159"/>
      <c r="C11" s="1155"/>
      <c r="E11" s="1157"/>
      <c r="F11" s="1157"/>
      <c r="G11" s="1157"/>
      <c r="H11" s="1157"/>
    </row>
    <row r="12" spans="1:9">
      <c r="A12" s="1155"/>
      <c r="B12" s="1159"/>
      <c r="C12" s="1155"/>
      <c r="E12" s="1157"/>
      <c r="F12" s="1157"/>
      <c r="G12" s="1157"/>
      <c r="H12" s="1157"/>
    </row>
    <row r="13" spans="1:9">
      <c r="E13" s="1160"/>
      <c r="F13" s="1160"/>
      <c r="G13" s="1160"/>
      <c r="H13" s="1160"/>
      <c r="I13" s="309"/>
    </row>
    <row r="14" spans="1:9">
      <c r="E14" s="1160"/>
      <c r="F14" s="1160"/>
      <c r="G14" s="1160"/>
      <c r="H14" s="1160"/>
      <c r="I14" s="309"/>
    </row>
    <row r="15" spans="1:9">
      <c r="E15" s="1160"/>
      <c r="F15" s="1160"/>
      <c r="G15" s="1160"/>
      <c r="H15" s="1160"/>
      <c r="I15" s="309"/>
    </row>
    <row r="16" spans="1:9">
      <c r="E16" s="1160"/>
      <c r="F16" s="1160"/>
      <c r="G16" s="1160"/>
      <c r="H16" s="1160"/>
      <c r="I16" s="309"/>
    </row>
    <row r="17" spans="1:9">
      <c r="E17" s="1160"/>
      <c r="F17" s="1160"/>
      <c r="G17" s="1160"/>
      <c r="H17" s="1160"/>
      <c r="I17" s="309"/>
    </row>
    <row r="18" spans="1:9">
      <c r="E18" s="1160"/>
      <c r="F18" s="1160"/>
      <c r="G18" s="1160"/>
      <c r="H18" s="1160"/>
      <c r="I18" s="309"/>
    </row>
    <row r="19" spans="1:9">
      <c r="E19" s="1160"/>
      <c r="F19" s="1160"/>
      <c r="G19" s="1160"/>
      <c r="H19" s="1160"/>
      <c r="I19" s="309"/>
    </row>
    <row r="20" spans="1:9">
      <c r="E20" s="1160"/>
      <c r="F20" s="1160"/>
      <c r="G20" s="1160"/>
      <c r="H20" s="1160"/>
      <c r="I20" s="309"/>
    </row>
    <row r="21" spans="1:9">
      <c r="A21" s="1155"/>
      <c r="B21" s="1159"/>
      <c r="C21" s="1155"/>
      <c r="E21" s="1157"/>
      <c r="F21" s="1157"/>
      <c r="G21" s="1157"/>
      <c r="H21" s="1157"/>
    </row>
    <row r="22" spans="1:9">
      <c r="E22" s="1160"/>
      <c r="F22" s="1160"/>
      <c r="G22" s="1160"/>
      <c r="H22" s="1160"/>
      <c r="I22" s="309"/>
    </row>
    <row r="23" spans="1:9">
      <c r="E23" s="1160"/>
      <c r="F23" s="1160"/>
      <c r="G23" s="1160"/>
      <c r="H23" s="1160"/>
      <c r="I23" s="309"/>
    </row>
    <row r="24" spans="1:9">
      <c r="A24" s="1155"/>
      <c r="B24" s="1159"/>
      <c r="C24" s="1155"/>
      <c r="E24" s="1157"/>
      <c r="F24" s="1157"/>
      <c r="G24" s="1157"/>
      <c r="H24" s="1157"/>
    </row>
    <row r="25" spans="1:9">
      <c r="E25" s="1160"/>
      <c r="F25" s="1160"/>
      <c r="G25" s="1160"/>
      <c r="H25" s="1160"/>
      <c r="I25" s="309"/>
    </row>
    <row r="26" spans="1:9">
      <c r="E26" s="1160"/>
      <c r="F26" s="1160"/>
      <c r="G26" s="1160"/>
      <c r="H26" s="1160"/>
      <c r="I26" s="309"/>
    </row>
    <row r="27" spans="1:9">
      <c r="A27" s="1155"/>
      <c r="B27" s="1159"/>
      <c r="C27" s="1155"/>
      <c r="E27" s="1157"/>
      <c r="F27" s="1157"/>
      <c r="G27" s="1157"/>
      <c r="H27" s="1157"/>
    </row>
    <row r="28" spans="1:9">
      <c r="A28" s="1155"/>
      <c r="B28" s="1159"/>
      <c r="C28" s="1155"/>
      <c r="E28" s="1157"/>
      <c r="F28" s="1157"/>
      <c r="G28" s="1157"/>
      <c r="H28" s="1157"/>
    </row>
    <row r="29" spans="1:9">
      <c r="E29" s="1160"/>
      <c r="F29" s="1160"/>
      <c r="G29" s="1160"/>
      <c r="H29" s="1160"/>
    </row>
    <row r="30" spans="1:9">
      <c r="E30" s="1160"/>
      <c r="F30" s="1160"/>
      <c r="G30" s="1160"/>
      <c r="H30" s="1160"/>
    </row>
    <row r="31" spans="1:9">
      <c r="C31" s="312"/>
      <c r="E31" s="1160"/>
      <c r="F31" s="1160"/>
      <c r="G31" s="1160"/>
      <c r="H31" s="1160"/>
    </row>
    <row r="32" spans="1:9">
      <c r="C32" s="312"/>
      <c r="E32" s="1160"/>
      <c r="F32" s="1160"/>
      <c r="G32" s="1160"/>
      <c r="H32" s="1160"/>
    </row>
    <row r="33" spans="1:10">
      <c r="C33" s="312"/>
      <c r="E33" s="1160"/>
      <c r="F33" s="1160"/>
      <c r="G33" s="1160"/>
      <c r="H33" s="1160"/>
    </row>
    <row r="34" spans="1:10">
      <c r="C34" s="312"/>
      <c r="E34" s="1160"/>
      <c r="F34" s="1160"/>
      <c r="G34" s="1160"/>
      <c r="H34" s="1160"/>
    </row>
    <row r="35" spans="1:10">
      <c r="A35" s="1155"/>
      <c r="B35" s="1159"/>
      <c r="C35" s="1155"/>
      <c r="E35" s="1157"/>
      <c r="F35" s="1157"/>
      <c r="G35" s="1157"/>
      <c r="H35" s="1157"/>
    </row>
    <row r="36" spans="1:10">
      <c r="E36" s="1160"/>
      <c r="F36" s="1160"/>
      <c r="G36" s="1160"/>
      <c r="H36" s="1160"/>
    </row>
    <row r="37" spans="1:10">
      <c r="A37" s="1155"/>
      <c r="B37" s="1159"/>
      <c r="C37" s="1155"/>
      <c r="E37" s="1157"/>
      <c r="F37" s="1157"/>
      <c r="G37" s="1157"/>
      <c r="H37" s="1157"/>
    </row>
    <row r="38" spans="1:10" s="1153" customFormat="1">
      <c r="A38" s="1155"/>
      <c r="B38" s="1159"/>
      <c r="C38" s="1155"/>
      <c r="E38" s="1157"/>
      <c r="F38" s="1157"/>
      <c r="G38" s="1157"/>
      <c r="H38" s="1157"/>
      <c r="I38" s="1152"/>
      <c r="J38" s="1152"/>
    </row>
    <row r="39" spans="1:10" s="1153" customFormat="1">
      <c r="A39" s="1152"/>
      <c r="B39" s="1152"/>
      <c r="C39" s="1152"/>
      <c r="E39" s="1160"/>
      <c r="F39" s="1160"/>
      <c r="G39" s="1160"/>
      <c r="H39" s="1160"/>
      <c r="I39" s="1152"/>
      <c r="J39" s="1152"/>
    </row>
    <row r="40" spans="1:10" s="1153" customFormat="1">
      <c r="A40" s="1155"/>
      <c r="B40" s="1159"/>
      <c r="C40" s="1155"/>
      <c r="E40" s="1157"/>
      <c r="F40" s="1157"/>
      <c r="G40" s="1157"/>
      <c r="H40" s="1157"/>
      <c r="I40" s="1152"/>
      <c r="J40" s="1152"/>
    </row>
    <row r="41" spans="1:10" s="1153" customFormat="1">
      <c r="A41" s="1152"/>
      <c r="B41" s="1152"/>
      <c r="C41" s="1152"/>
      <c r="E41" s="1160"/>
      <c r="F41" s="1160"/>
      <c r="G41" s="1160"/>
      <c r="H41" s="1160"/>
      <c r="I41" s="1152"/>
      <c r="J41" s="1152"/>
    </row>
    <row r="42" spans="1:10" s="1153" customFormat="1">
      <c r="A42" s="1152"/>
      <c r="B42" s="1152"/>
      <c r="C42" s="1152"/>
      <c r="E42" s="1160"/>
      <c r="F42" s="1160"/>
      <c r="G42" s="1160"/>
      <c r="H42" s="1160"/>
      <c r="I42" s="1152"/>
      <c r="J42" s="1152"/>
    </row>
    <row r="43" spans="1:10" s="1153" customFormat="1">
      <c r="A43" s="1155"/>
      <c r="B43" s="1159"/>
      <c r="C43" s="1155"/>
      <c r="E43" s="1157"/>
      <c r="F43" s="1157"/>
      <c r="G43" s="1157"/>
      <c r="H43" s="1157"/>
      <c r="I43" s="1152"/>
      <c r="J43" s="1152"/>
    </row>
    <row r="44" spans="1:10" s="1153" customFormat="1">
      <c r="A44" s="1155"/>
      <c r="B44" s="1159"/>
      <c r="C44" s="1155"/>
      <c r="E44" s="1157"/>
      <c r="F44" s="1157"/>
      <c r="G44" s="1157"/>
      <c r="H44" s="1157"/>
      <c r="I44" s="1152"/>
      <c r="J44" s="1152"/>
    </row>
    <row r="45" spans="1:10" s="1153" customFormat="1">
      <c r="A45" s="1152"/>
      <c r="B45" s="1152"/>
      <c r="C45" s="1152"/>
      <c r="E45" s="1160"/>
      <c r="F45" s="1160"/>
      <c r="G45" s="1160"/>
      <c r="H45" s="1160"/>
      <c r="I45" s="1152"/>
      <c r="J45" s="1152"/>
    </row>
    <row r="46" spans="1:10" s="1153" customFormat="1">
      <c r="A46" s="1155"/>
      <c r="B46" s="1159"/>
      <c r="C46" s="1155"/>
      <c r="E46" s="1157"/>
      <c r="F46" s="1157"/>
      <c r="G46" s="1157"/>
      <c r="H46" s="1157"/>
      <c r="I46" s="1152"/>
      <c r="J46" s="1152"/>
    </row>
    <row r="47" spans="1:10" s="1153" customFormat="1">
      <c r="A47" s="1152"/>
      <c r="B47" s="1152"/>
      <c r="C47" s="1152"/>
      <c r="E47" s="1160"/>
      <c r="F47" s="1160"/>
      <c r="G47" s="1160"/>
      <c r="H47" s="1160"/>
      <c r="I47" s="1152"/>
      <c r="J47" s="1152"/>
    </row>
    <row r="48" spans="1:10" s="1153" customFormat="1">
      <c r="A48" s="1152"/>
      <c r="B48" s="1152"/>
      <c r="C48" s="1152"/>
      <c r="E48" s="1160"/>
      <c r="F48" s="1160"/>
      <c r="G48" s="1160"/>
      <c r="H48" s="1160"/>
      <c r="I48" s="1152"/>
      <c r="J48" s="1152"/>
    </row>
    <row r="49" spans="1:10" s="1153" customFormat="1">
      <c r="A49" s="1152"/>
      <c r="B49" s="1152"/>
      <c r="C49" s="1152"/>
      <c r="E49" s="1160"/>
      <c r="F49" s="1160"/>
      <c r="G49" s="1160"/>
      <c r="H49" s="1160"/>
      <c r="I49" s="1152"/>
      <c r="J49" s="1152"/>
    </row>
    <row r="50" spans="1:10" s="1153" customFormat="1">
      <c r="A50" s="1155"/>
      <c r="B50" s="1159"/>
      <c r="C50" s="1155"/>
      <c r="E50" s="1157"/>
      <c r="F50" s="1157"/>
      <c r="G50" s="1157"/>
      <c r="H50" s="1157"/>
      <c r="I50" s="1152"/>
      <c r="J50" s="1152"/>
    </row>
    <row r="51" spans="1:10" s="1153" customFormat="1">
      <c r="A51" s="1152"/>
      <c r="B51" s="1152"/>
      <c r="C51" s="1152"/>
      <c r="E51" s="1160"/>
      <c r="F51" s="1160"/>
      <c r="G51" s="1160"/>
      <c r="H51" s="1160"/>
      <c r="I51" s="1152"/>
      <c r="J51" s="1152"/>
    </row>
    <row r="52" spans="1:10" s="1153" customFormat="1">
      <c r="A52" s="1152"/>
      <c r="B52" s="1152"/>
      <c r="C52" s="1152"/>
      <c r="E52" s="1160"/>
      <c r="F52" s="1160"/>
      <c r="G52" s="1160"/>
      <c r="H52" s="1160"/>
      <c r="I52" s="1152"/>
      <c r="J52" s="1152"/>
    </row>
    <row r="53" spans="1:10" s="1153" customFormat="1">
      <c r="A53" s="1152"/>
      <c r="B53" s="1152"/>
      <c r="C53" s="1152"/>
      <c r="E53" s="1160"/>
      <c r="F53" s="1160"/>
      <c r="G53" s="1160"/>
      <c r="H53" s="1160"/>
      <c r="I53" s="1152"/>
      <c r="J53" s="1152"/>
    </row>
    <row r="54" spans="1:10" s="1153" customFormat="1">
      <c r="A54" s="1152"/>
      <c r="B54" s="1152"/>
      <c r="C54" s="1152"/>
      <c r="E54" s="1160"/>
      <c r="F54" s="1160"/>
      <c r="G54" s="1160"/>
      <c r="H54" s="1160"/>
      <c r="I54" s="1152"/>
      <c r="J54" s="1152"/>
    </row>
    <row r="55" spans="1:10" s="1153" customFormat="1">
      <c r="A55" s="1155"/>
      <c r="B55" s="1159"/>
      <c r="C55" s="1155"/>
      <c r="E55" s="1157"/>
      <c r="F55" s="1157"/>
      <c r="G55" s="1157"/>
      <c r="H55" s="1157"/>
      <c r="I55" s="1152"/>
      <c r="J55" s="1152"/>
    </row>
    <row r="56" spans="1:10" s="1153" customFormat="1">
      <c r="A56" s="1152"/>
      <c r="B56" s="1152"/>
      <c r="C56" s="1152"/>
      <c r="E56" s="1160"/>
      <c r="F56" s="1160"/>
      <c r="G56" s="1160"/>
      <c r="H56" s="1160"/>
      <c r="I56" s="1152"/>
      <c r="J56" s="1152"/>
    </row>
    <row r="57" spans="1:10" s="1153" customFormat="1">
      <c r="A57" s="1152"/>
      <c r="B57" s="1152"/>
      <c r="C57" s="1152"/>
      <c r="E57" s="1160"/>
      <c r="F57" s="1160"/>
      <c r="G57" s="1160"/>
      <c r="H57" s="1160"/>
      <c r="I57" s="1152"/>
      <c r="J57" s="1152"/>
    </row>
    <row r="58" spans="1:10" s="1153" customFormat="1">
      <c r="A58" s="1155"/>
      <c r="B58" s="1159"/>
      <c r="C58" s="1155"/>
      <c r="E58" s="1157"/>
      <c r="F58" s="1157"/>
      <c r="G58" s="1157"/>
      <c r="H58" s="1157"/>
      <c r="I58" s="1152"/>
      <c r="J58" s="1152"/>
    </row>
    <row r="59" spans="1:10" s="1153" customFormat="1">
      <c r="A59" s="1155"/>
      <c r="B59" s="1159"/>
      <c r="C59" s="1155"/>
      <c r="E59" s="1157"/>
      <c r="F59" s="1157"/>
      <c r="G59" s="1157"/>
      <c r="H59" s="1157"/>
      <c r="I59" s="1152"/>
      <c r="J59" s="1152"/>
    </row>
    <row r="60" spans="1:10" s="1153" customFormat="1">
      <c r="A60" s="1155"/>
      <c r="B60" s="1159"/>
      <c r="C60" s="1155"/>
      <c r="E60" s="1157"/>
      <c r="F60" s="1157"/>
      <c r="G60" s="1157"/>
      <c r="H60" s="1157"/>
      <c r="I60" s="1152"/>
      <c r="J60" s="1152"/>
    </row>
    <row r="61" spans="1:10" s="1153" customFormat="1">
      <c r="A61" s="1152"/>
      <c r="B61" s="1152"/>
      <c r="C61" s="1152"/>
      <c r="E61" s="1160"/>
      <c r="F61" s="1160"/>
      <c r="G61" s="1160"/>
      <c r="H61" s="1160"/>
      <c r="I61" s="1152"/>
      <c r="J61" s="1152"/>
    </row>
    <row r="62" spans="1:10" s="1153" customFormat="1">
      <c r="A62" s="1152"/>
      <c r="B62" s="1152"/>
      <c r="C62" s="1152"/>
      <c r="E62" s="1160"/>
      <c r="F62" s="1160"/>
      <c r="G62" s="1160"/>
      <c r="H62" s="1160"/>
      <c r="I62" s="1152"/>
      <c r="J62" s="1152"/>
    </row>
    <row r="63" spans="1:10" s="1153" customFormat="1">
      <c r="A63" s="1152"/>
      <c r="B63" s="1152"/>
      <c r="C63" s="1152"/>
      <c r="E63" s="1160"/>
      <c r="F63" s="1160"/>
      <c r="G63" s="1160"/>
      <c r="H63" s="1160"/>
      <c r="I63" s="1152"/>
      <c r="J63" s="1152"/>
    </row>
    <row r="64" spans="1:10" s="1153" customFormat="1">
      <c r="A64" s="1155"/>
      <c r="B64" s="1159"/>
      <c r="C64" s="1155"/>
      <c r="E64" s="1157"/>
      <c r="F64" s="1157"/>
      <c r="G64" s="1157"/>
      <c r="H64" s="1157"/>
      <c r="I64" s="1152"/>
      <c r="J64" s="1152"/>
    </row>
    <row r="65" spans="1:10" s="1153" customFormat="1">
      <c r="A65" s="1152"/>
      <c r="B65" s="1152"/>
      <c r="C65" s="1152"/>
      <c r="E65" s="1160"/>
      <c r="F65" s="1160"/>
      <c r="G65" s="1160"/>
      <c r="H65" s="1160"/>
      <c r="I65" s="1152"/>
      <c r="J65" s="1152"/>
    </row>
    <row r="66" spans="1:10" s="1153" customFormat="1">
      <c r="A66" s="1155"/>
      <c r="B66" s="1159"/>
      <c r="C66" s="1155"/>
      <c r="E66" s="1157"/>
      <c r="F66" s="1157"/>
      <c r="G66" s="1157"/>
      <c r="H66" s="1157"/>
      <c r="I66" s="1152"/>
      <c r="J66" s="1152"/>
    </row>
    <row r="67" spans="1:10" s="1153" customFormat="1">
      <c r="A67" s="1155"/>
      <c r="B67" s="1159"/>
      <c r="C67" s="1155"/>
      <c r="E67" s="1157"/>
      <c r="F67" s="1157"/>
      <c r="G67" s="1157"/>
      <c r="H67" s="1157"/>
      <c r="I67" s="1152"/>
      <c r="J67" s="1152"/>
    </row>
    <row r="68" spans="1:10" s="1153" customFormat="1">
      <c r="A68" s="1152"/>
      <c r="B68" s="1152"/>
      <c r="C68" s="1152"/>
      <c r="E68" s="1160"/>
      <c r="F68" s="1160"/>
      <c r="G68" s="1160"/>
      <c r="H68" s="1160"/>
      <c r="I68" s="1152"/>
      <c r="J68" s="1152"/>
    </row>
    <row r="69" spans="1:10" s="1153" customFormat="1">
      <c r="A69" s="1152"/>
      <c r="B69" s="1152"/>
      <c r="C69" s="1152"/>
      <c r="E69" s="1160"/>
      <c r="F69" s="1160"/>
      <c r="G69" s="1160"/>
      <c r="H69" s="1160"/>
      <c r="I69" s="1152"/>
      <c r="J69" s="1152"/>
    </row>
    <row r="70" spans="1:10" s="1153" customFormat="1">
      <c r="A70" s="1152"/>
      <c r="B70" s="1152"/>
      <c r="C70" s="1152"/>
      <c r="E70" s="1160"/>
      <c r="F70" s="1160"/>
      <c r="G70" s="1160"/>
      <c r="H70" s="1160"/>
      <c r="I70" s="1152"/>
      <c r="J70" s="1152"/>
    </row>
    <row r="71" spans="1:10" s="1153" customFormat="1">
      <c r="A71" s="1155"/>
      <c r="B71" s="1159"/>
      <c r="C71" s="1155"/>
      <c r="E71" s="1157"/>
      <c r="F71" s="1157"/>
      <c r="G71" s="1157"/>
      <c r="H71" s="1157"/>
      <c r="I71" s="1152"/>
      <c r="J71" s="1152"/>
    </row>
    <row r="72" spans="1:10" s="1153" customFormat="1">
      <c r="A72" s="1152"/>
      <c r="B72" s="1152"/>
      <c r="C72" s="1152"/>
      <c r="E72" s="1160"/>
      <c r="F72" s="1160"/>
      <c r="G72" s="1160"/>
      <c r="H72" s="1160"/>
      <c r="I72" s="1152"/>
      <c r="J72" s="1152"/>
    </row>
    <row r="73" spans="1:10" s="1153" customFormat="1">
      <c r="A73" s="1152"/>
      <c r="B73" s="1152"/>
      <c r="C73" s="1152"/>
      <c r="E73" s="1160"/>
      <c r="F73" s="1160"/>
      <c r="G73" s="1160"/>
      <c r="H73" s="1160"/>
      <c r="I73" s="1152"/>
      <c r="J73" s="1152"/>
    </row>
    <row r="74" spans="1:10" s="1153" customFormat="1">
      <c r="A74" s="1155"/>
      <c r="B74" s="1159"/>
      <c r="C74" s="1155"/>
      <c r="E74" s="1157"/>
      <c r="F74" s="1157"/>
      <c r="G74" s="1157"/>
      <c r="H74" s="1157"/>
      <c r="I74" s="1152"/>
      <c r="J74" s="1152"/>
    </row>
    <row r="75" spans="1:10" s="1153" customFormat="1">
      <c r="A75" s="1152"/>
      <c r="B75" s="1152"/>
      <c r="C75" s="1152"/>
      <c r="E75" s="1160"/>
      <c r="F75" s="1160"/>
      <c r="G75" s="1160"/>
      <c r="H75" s="1160"/>
      <c r="I75" s="1152"/>
      <c r="J75" s="1152"/>
    </row>
    <row r="76" spans="1:10" s="1153" customFormat="1">
      <c r="A76" s="1152"/>
      <c r="B76" s="1152"/>
      <c r="C76" s="1152"/>
      <c r="E76" s="1160"/>
      <c r="F76" s="1160"/>
      <c r="G76" s="1160"/>
      <c r="H76" s="1160"/>
      <c r="I76" s="1152"/>
      <c r="J76" s="1152"/>
    </row>
    <row r="77" spans="1:10" s="1153" customFormat="1">
      <c r="A77" s="1155"/>
      <c r="B77" s="1159"/>
      <c r="C77" s="1155"/>
      <c r="E77" s="1157"/>
      <c r="F77" s="1157"/>
      <c r="G77" s="1157"/>
      <c r="H77" s="1157"/>
      <c r="I77" s="1152"/>
      <c r="J77" s="1152"/>
    </row>
    <row r="78" spans="1:10" s="1153" customFormat="1">
      <c r="A78" s="1155"/>
      <c r="B78" s="1159"/>
      <c r="C78" s="1155"/>
      <c r="E78" s="1157"/>
      <c r="F78" s="1157"/>
      <c r="G78" s="1157"/>
      <c r="H78" s="1157"/>
      <c r="I78" s="1152"/>
      <c r="J78" s="1152"/>
    </row>
    <row r="79" spans="1:10" s="1153" customFormat="1">
      <c r="A79" s="1152"/>
      <c r="B79" s="1152"/>
      <c r="C79" s="1152"/>
      <c r="E79" s="1160"/>
      <c r="F79" s="1160"/>
      <c r="G79" s="1160"/>
      <c r="H79" s="1160"/>
      <c r="I79" s="1152"/>
      <c r="J79" s="1152"/>
    </row>
    <row r="80" spans="1:10" s="1153" customFormat="1">
      <c r="A80" s="1152"/>
      <c r="B80" s="1152"/>
      <c r="C80" s="1152"/>
      <c r="E80" s="1160"/>
      <c r="F80" s="1160"/>
      <c r="G80" s="1160"/>
      <c r="H80" s="1160"/>
      <c r="I80" s="1152"/>
      <c r="J80" s="1152"/>
    </row>
    <row r="81" spans="1:10" s="1153" customFormat="1">
      <c r="A81" s="1152"/>
      <c r="B81" s="1152"/>
      <c r="C81" s="1152"/>
      <c r="E81" s="1160"/>
      <c r="F81" s="1160"/>
      <c r="G81" s="1160"/>
      <c r="H81" s="1160"/>
      <c r="I81" s="1152"/>
      <c r="J81" s="1152"/>
    </row>
    <row r="82" spans="1:10" s="1153" customFormat="1">
      <c r="A82" s="1155"/>
      <c r="B82" s="1159"/>
      <c r="C82" s="1155"/>
      <c r="E82" s="1157"/>
      <c r="F82" s="1157"/>
      <c r="G82" s="1157"/>
      <c r="H82" s="1157"/>
      <c r="I82" s="1152"/>
      <c r="J82" s="1152"/>
    </row>
    <row r="83" spans="1:10" s="1153" customFormat="1">
      <c r="A83" s="1152"/>
      <c r="B83" s="1152"/>
      <c r="C83" s="1152"/>
      <c r="D83" s="1158"/>
      <c r="E83" s="1160"/>
      <c r="F83" s="1160"/>
      <c r="G83" s="1160"/>
      <c r="H83" s="1160"/>
      <c r="I83" s="1152"/>
      <c r="J83" s="1152"/>
    </row>
    <row r="84" spans="1:10" s="1153" customFormat="1">
      <c r="A84" s="1152"/>
      <c r="B84" s="1152"/>
      <c r="C84" s="1152"/>
      <c r="E84" s="1160"/>
      <c r="F84" s="1160"/>
      <c r="G84" s="1160"/>
      <c r="H84" s="1160"/>
      <c r="I84" s="1152"/>
      <c r="J84" s="1152"/>
    </row>
    <row r="85" spans="1:10" s="1153" customFormat="1">
      <c r="A85" s="1155"/>
      <c r="B85" s="1156"/>
      <c r="C85" s="1155"/>
      <c r="D85" s="1158"/>
      <c r="E85" s="1157"/>
      <c r="F85" s="1157"/>
      <c r="G85" s="1157"/>
      <c r="H85" s="1157"/>
      <c r="I85" s="1152"/>
      <c r="J85" s="1152"/>
    </row>
    <row r="86" spans="1:10">
      <c r="A86" s="1155"/>
      <c r="B86" s="1159"/>
      <c r="C86" s="1162"/>
      <c r="D86" s="1158"/>
      <c r="E86" s="1157"/>
      <c r="F86" s="1157"/>
      <c r="G86" s="1157"/>
      <c r="H86" s="1157"/>
    </row>
    <row r="87" spans="1:10">
      <c r="A87" s="1155"/>
      <c r="B87" s="1159"/>
      <c r="C87" s="1155"/>
      <c r="E87" s="1157"/>
      <c r="F87" s="1157"/>
      <c r="G87" s="1157"/>
      <c r="H87" s="1157"/>
    </row>
    <row r="88" spans="1:10">
      <c r="D88" s="1158"/>
      <c r="E88" s="1160"/>
      <c r="F88" s="1160"/>
      <c r="G88" s="1160"/>
      <c r="H88" s="1160"/>
    </row>
    <row r="89" spans="1:10">
      <c r="E89" s="1160"/>
      <c r="F89" s="1160"/>
      <c r="G89" s="1160"/>
      <c r="H89" s="1160"/>
    </row>
    <row r="90" spans="1:10">
      <c r="E90" s="1160"/>
      <c r="F90" s="1160"/>
      <c r="G90" s="1160"/>
      <c r="H90" s="1160"/>
    </row>
    <row r="91" spans="1:10">
      <c r="E91" s="1160"/>
      <c r="F91" s="1160"/>
      <c r="G91" s="1160"/>
      <c r="H91" s="1160"/>
    </row>
    <row r="92" spans="1:10">
      <c r="E92" s="1160"/>
      <c r="F92" s="1160"/>
      <c r="G92" s="1160"/>
      <c r="H92" s="1160"/>
    </row>
    <row r="93" spans="1:10">
      <c r="A93" s="1155"/>
      <c r="B93" s="1159"/>
      <c r="C93" s="1155"/>
      <c r="E93" s="1157"/>
      <c r="F93" s="1157"/>
      <c r="G93" s="1157"/>
      <c r="H93" s="1157"/>
    </row>
    <row r="94" spans="1:10">
      <c r="E94" s="1160"/>
      <c r="F94" s="1160"/>
      <c r="G94" s="1160"/>
      <c r="H94" s="1160"/>
    </row>
    <row r="95" spans="1:10">
      <c r="E95" s="1160"/>
      <c r="F95" s="1160"/>
      <c r="G95" s="1160"/>
      <c r="H95" s="1160"/>
    </row>
    <row r="96" spans="1:10">
      <c r="E96" s="1160"/>
      <c r="F96" s="1160"/>
      <c r="G96" s="1160"/>
      <c r="H96" s="1160"/>
    </row>
    <row r="97" spans="1:9">
      <c r="E97" s="1160"/>
      <c r="F97" s="1160"/>
      <c r="G97" s="1160"/>
      <c r="H97" s="1160"/>
    </row>
    <row r="98" spans="1:9">
      <c r="A98" s="1155"/>
      <c r="B98" s="1156"/>
      <c r="C98" s="1155"/>
      <c r="D98" s="1158"/>
      <c r="E98" s="1157"/>
      <c r="F98" s="1157"/>
      <c r="G98" s="1157"/>
      <c r="H98" s="1157"/>
    </row>
    <row r="99" spans="1:9">
      <c r="A99" s="1155"/>
      <c r="B99" s="1159"/>
      <c r="C99" s="1155"/>
      <c r="E99" s="1157"/>
      <c r="F99" s="1157"/>
      <c r="G99" s="1157"/>
      <c r="H99" s="1157"/>
    </row>
    <row r="100" spans="1:9">
      <c r="E100" s="1160"/>
      <c r="F100" s="1160"/>
      <c r="G100" s="1160"/>
      <c r="H100" s="1160"/>
    </row>
    <row r="101" spans="1:9">
      <c r="A101" s="1155"/>
      <c r="B101" s="1159"/>
      <c r="C101" s="1155"/>
      <c r="E101" s="1157"/>
      <c r="F101" s="1157"/>
      <c r="G101" s="1157"/>
      <c r="H101" s="1157"/>
    </row>
    <row r="102" spans="1:9">
      <c r="E102" s="1160"/>
      <c r="F102" s="1160"/>
      <c r="G102" s="1160"/>
      <c r="H102" s="1160"/>
    </row>
    <row r="103" spans="1:9">
      <c r="A103" s="1155"/>
      <c r="B103" s="1159"/>
      <c r="C103" s="1155"/>
      <c r="E103" s="1157"/>
      <c r="F103" s="1157"/>
      <c r="G103" s="1157"/>
      <c r="H103" s="1157"/>
    </row>
    <row r="104" spans="1:9">
      <c r="A104" s="1155"/>
      <c r="B104" s="1159"/>
      <c r="C104" s="1155"/>
      <c r="E104" s="1157"/>
      <c r="F104" s="1157"/>
      <c r="G104" s="1157"/>
      <c r="H104" s="1157"/>
    </row>
    <row r="105" spans="1:9">
      <c r="E105" s="1160"/>
      <c r="F105" s="1160"/>
      <c r="G105" s="1160"/>
      <c r="H105" s="1160"/>
    </row>
    <row r="106" spans="1:9">
      <c r="A106" s="1155"/>
      <c r="B106" s="1159"/>
      <c r="C106" s="1155"/>
      <c r="E106" s="1157"/>
      <c r="F106" s="1157"/>
      <c r="G106" s="1157"/>
      <c r="H106" s="1157"/>
    </row>
    <row r="107" spans="1:9">
      <c r="A107" s="1155"/>
      <c r="B107" s="1159"/>
      <c r="C107" s="1155"/>
      <c r="E107" s="1157"/>
      <c r="F107" s="1157"/>
      <c r="G107" s="1157"/>
      <c r="H107" s="1157"/>
    </row>
    <row r="108" spans="1:9">
      <c r="E108" s="1160"/>
      <c r="F108" s="1160"/>
      <c r="G108" s="1160"/>
      <c r="H108" s="1160"/>
    </row>
    <row r="109" spans="1:9">
      <c r="E109" s="1160"/>
      <c r="F109" s="1160"/>
      <c r="G109" s="1160"/>
      <c r="H109" s="1160"/>
    </row>
    <row r="110" spans="1:9">
      <c r="A110" s="1155"/>
      <c r="B110" s="1159"/>
      <c r="C110" s="1155"/>
      <c r="E110" s="1157"/>
      <c r="F110" s="1157"/>
      <c r="G110" s="1157"/>
      <c r="H110" s="1157"/>
    </row>
    <row r="111" spans="1:9">
      <c r="A111" s="1155"/>
      <c r="B111" s="1159"/>
      <c r="C111" s="1155"/>
      <c r="E111" s="1157"/>
      <c r="F111" s="1157"/>
      <c r="G111" s="1157"/>
      <c r="H111" s="1157"/>
    </row>
    <row r="112" spans="1:9">
      <c r="D112" s="1163"/>
      <c r="E112" s="1160"/>
      <c r="F112" s="1160"/>
      <c r="G112" s="1160"/>
      <c r="H112" s="1160"/>
      <c r="I112" s="1161"/>
    </row>
    <row r="113" spans="1:10">
      <c r="D113" s="1163"/>
      <c r="E113" s="1160"/>
      <c r="F113" s="1160"/>
      <c r="G113" s="1160"/>
      <c r="H113" s="1160"/>
      <c r="I113" s="1161"/>
    </row>
    <row r="114" spans="1:10">
      <c r="A114" s="1155"/>
      <c r="B114" s="1159"/>
      <c r="C114" s="1155"/>
      <c r="E114" s="1157"/>
      <c r="F114" s="1157"/>
      <c r="G114" s="1157"/>
      <c r="H114" s="1157"/>
    </row>
    <row r="115" spans="1:10">
      <c r="D115" s="1163"/>
      <c r="E115" s="1160"/>
      <c r="F115" s="1160"/>
      <c r="G115" s="1160"/>
      <c r="H115" s="1160"/>
      <c r="I115" s="1161"/>
    </row>
    <row r="116" spans="1:10">
      <c r="D116" s="1163"/>
      <c r="E116" s="1160"/>
      <c r="F116" s="1160"/>
      <c r="G116" s="1160"/>
      <c r="H116" s="1160"/>
      <c r="I116" s="1161"/>
    </row>
    <row r="117" spans="1:10">
      <c r="E117" s="1160"/>
      <c r="F117" s="1160"/>
      <c r="G117" s="1160"/>
      <c r="H117" s="1160"/>
    </row>
    <row r="118" spans="1:10">
      <c r="E118" s="1160"/>
      <c r="F118" s="1160"/>
      <c r="G118" s="1160"/>
      <c r="H118" s="1160"/>
      <c r="I118" s="1161"/>
    </row>
    <row r="119" spans="1:10">
      <c r="A119" s="1155"/>
      <c r="B119" s="1159"/>
      <c r="C119" s="1155"/>
      <c r="E119" s="1157"/>
      <c r="F119" s="1157"/>
      <c r="G119" s="1157"/>
      <c r="H119" s="1157"/>
    </row>
    <row r="120" spans="1:10">
      <c r="A120" s="1155"/>
      <c r="B120" s="1159"/>
      <c r="C120" s="1155"/>
      <c r="E120" s="1157"/>
      <c r="F120" s="1157"/>
      <c r="G120" s="1157"/>
      <c r="H120" s="1157"/>
    </row>
    <row r="121" spans="1:10">
      <c r="E121" s="1160"/>
      <c r="F121" s="1160"/>
      <c r="G121" s="1160"/>
      <c r="H121" s="1160"/>
      <c r="J121" s="1153"/>
    </row>
    <row r="122" spans="1:10">
      <c r="E122" s="1160"/>
      <c r="F122" s="1160"/>
      <c r="G122" s="1160"/>
      <c r="H122" s="1160"/>
      <c r="J122" s="1153"/>
    </row>
    <row r="123" spans="1:10">
      <c r="E123" s="1160"/>
      <c r="F123" s="1160"/>
      <c r="G123" s="1160"/>
      <c r="H123" s="1160"/>
      <c r="J123" s="1153"/>
    </row>
    <row r="124" spans="1:10">
      <c r="E124" s="1160"/>
      <c r="F124" s="1160"/>
      <c r="G124" s="1160"/>
      <c r="H124" s="1160"/>
      <c r="J124" s="1153"/>
    </row>
    <row r="125" spans="1:10">
      <c r="E125" s="1160"/>
      <c r="F125" s="1160"/>
      <c r="G125" s="1160"/>
      <c r="H125" s="1160"/>
      <c r="J125" s="1153"/>
    </row>
    <row r="126" spans="1:10">
      <c r="E126" s="1160"/>
      <c r="F126" s="1160"/>
      <c r="G126" s="1160"/>
      <c r="H126" s="1160"/>
      <c r="J126" s="1153"/>
    </row>
    <row r="127" spans="1:10">
      <c r="E127" s="1160"/>
      <c r="F127" s="1160"/>
      <c r="G127" s="1160"/>
      <c r="H127" s="1160"/>
      <c r="J127" s="1153"/>
    </row>
    <row r="128" spans="1:10">
      <c r="E128" s="1160"/>
      <c r="F128" s="1160"/>
      <c r="G128" s="1160"/>
      <c r="H128" s="1160"/>
      <c r="J128" s="1153"/>
    </row>
    <row r="129" spans="1:10">
      <c r="E129" s="1160"/>
      <c r="F129" s="1160"/>
      <c r="G129" s="1160"/>
      <c r="H129" s="1160"/>
      <c r="I129" s="1161"/>
      <c r="J129" s="1153"/>
    </row>
    <row r="130" spans="1:10">
      <c r="E130" s="1160"/>
      <c r="F130" s="1160"/>
      <c r="G130" s="1160"/>
      <c r="H130" s="1160"/>
      <c r="I130" s="1161"/>
      <c r="J130" s="1153"/>
    </row>
    <row r="131" spans="1:10">
      <c r="A131" s="1155"/>
      <c r="B131" s="1159"/>
      <c r="C131" s="1155"/>
      <c r="E131" s="1157"/>
      <c r="F131" s="1157"/>
      <c r="G131" s="1157"/>
      <c r="H131" s="1157"/>
    </row>
    <row r="132" spans="1:10">
      <c r="C132" s="1161"/>
      <c r="E132" s="1160"/>
      <c r="F132" s="1160"/>
      <c r="G132" s="1160"/>
      <c r="H132" s="1160"/>
    </row>
    <row r="133" spans="1:10">
      <c r="A133" s="1155"/>
      <c r="B133" s="1159"/>
      <c r="C133" s="1155"/>
      <c r="E133" s="1157"/>
      <c r="F133" s="1157"/>
      <c r="G133" s="1157"/>
      <c r="H133" s="1157"/>
    </row>
    <row r="134" spans="1:10">
      <c r="E134" s="1160"/>
      <c r="F134" s="1160"/>
      <c r="G134" s="1160"/>
      <c r="H134" s="1160"/>
    </row>
    <row r="135" spans="1:10">
      <c r="E135" s="1160"/>
      <c r="F135" s="1160"/>
      <c r="G135" s="1160"/>
      <c r="H135" s="1160"/>
      <c r="I135" s="1161"/>
    </row>
    <row r="136" spans="1:10">
      <c r="C136" s="1161"/>
      <c r="E136" s="1160"/>
      <c r="F136" s="1160"/>
      <c r="G136" s="1160"/>
      <c r="H136" s="1160"/>
    </row>
    <row r="137" spans="1:10">
      <c r="A137" s="1155"/>
      <c r="B137" s="1159"/>
      <c r="C137" s="1155"/>
      <c r="E137" s="1157"/>
      <c r="F137" s="1157"/>
      <c r="G137" s="1157"/>
      <c r="H137" s="1157"/>
    </row>
    <row r="138" spans="1:10">
      <c r="E138" s="1160"/>
      <c r="F138" s="1160"/>
      <c r="G138" s="1160"/>
      <c r="H138" s="1160"/>
      <c r="I138" s="1161"/>
    </row>
    <row r="139" spans="1:10">
      <c r="E139" s="1160"/>
      <c r="F139" s="1160"/>
      <c r="G139" s="1160"/>
      <c r="H139" s="1160"/>
      <c r="I139" s="1161"/>
    </row>
    <row r="140" spans="1:10">
      <c r="E140" s="1160"/>
      <c r="F140" s="1160"/>
      <c r="G140" s="1160"/>
      <c r="H140" s="1160"/>
      <c r="I140" s="1161"/>
    </row>
    <row r="141" spans="1:10">
      <c r="E141" s="1160"/>
      <c r="F141" s="1160"/>
      <c r="G141" s="1160"/>
      <c r="H141" s="1160"/>
      <c r="I141" s="1161"/>
    </row>
    <row r="142" spans="1:10">
      <c r="E142" s="1160"/>
      <c r="F142" s="1160"/>
      <c r="G142" s="1160"/>
      <c r="H142" s="1160"/>
      <c r="I142" s="1161"/>
    </row>
    <row r="143" spans="1:10">
      <c r="E143" s="1160"/>
      <c r="F143" s="1160"/>
      <c r="G143" s="1160"/>
      <c r="H143" s="1160"/>
      <c r="I143" s="1161"/>
    </row>
    <row r="144" spans="1:10">
      <c r="E144" s="1160"/>
      <c r="F144" s="1160"/>
      <c r="G144" s="1160"/>
      <c r="H144" s="1160"/>
      <c r="I144" s="1161"/>
    </row>
    <row r="145" spans="1:9">
      <c r="A145" s="1155"/>
      <c r="B145" s="1159"/>
      <c r="C145" s="1155"/>
      <c r="E145" s="1157"/>
      <c r="F145" s="1157"/>
      <c r="G145" s="1157"/>
      <c r="H145" s="1157"/>
    </row>
    <row r="146" spans="1:9">
      <c r="E146" s="1160"/>
      <c r="F146" s="1160"/>
      <c r="G146" s="1160"/>
      <c r="H146" s="1160"/>
    </row>
    <row r="147" spans="1:9">
      <c r="A147" s="1155"/>
      <c r="B147" s="1159"/>
      <c r="C147" s="1155"/>
      <c r="D147" s="1164"/>
      <c r="E147" s="1157"/>
      <c r="F147" s="1157"/>
      <c r="G147" s="1157"/>
      <c r="H147" s="1157"/>
    </row>
    <row r="148" spans="1:9">
      <c r="E148" s="1160"/>
      <c r="F148" s="1160"/>
      <c r="G148" s="1160"/>
      <c r="H148" s="1160"/>
      <c r="I148" s="1161"/>
    </row>
    <row r="149" spans="1:9">
      <c r="D149" s="1152"/>
      <c r="E149" s="1160"/>
      <c r="F149" s="1160"/>
      <c r="G149" s="1160"/>
      <c r="H149" s="1160"/>
      <c r="I149" s="1161"/>
    </row>
    <row r="150" spans="1:9">
      <c r="D150" s="1152"/>
      <c r="E150" s="1160"/>
      <c r="F150" s="1160"/>
      <c r="G150" s="1160"/>
      <c r="H150" s="1160"/>
      <c r="I150" s="1161"/>
    </row>
    <row r="151" spans="1:9">
      <c r="D151" s="1152"/>
      <c r="E151" s="1160"/>
      <c r="F151" s="1160"/>
      <c r="G151" s="1160"/>
      <c r="H151" s="1160"/>
      <c r="I151" s="1161"/>
    </row>
    <row r="152" spans="1:9">
      <c r="D152" s="1152"/>
      <c r="E152" s="1160"/>
      <c r="F152" s="1160"/>
      <c r="G152" s="1160"/>
      <c r="H152" s="1160"/>
      <c r="I152" s="1161"/>
    </row>
    <row r="153" spans="1:9">
      <c r="E153" s="1160"/>
      <c r="F153" s="1160"/>
      <c r="G153" s="1160"/>
      <c r="H153" s="1160"/>
      <c r="I153" s="1161"/>
    </row>
    <row r="154" spans="1:9">
      <c r="D154" s="1163"/>
      <c r="E154" s="1160"/>
      <c r="F154" s="1160"/>
      <c r="G154" s="1160"/>
      <c r="H154" s="1160"/>
      <c r="I154" s="1161"/>
    </row>
    <row r="155" spans="1:9">
      <c r="A155" s="1155"/>
      <c r="B155" s="1159"/>
      <c r="C155" s="1155"/>
      <c r="D155" s="1164"/>
      <c r="E155" s="1157"/>
      <c r="F155" s="1157"/>
      <c r="G155" s="1157"/>
      <c r="H155" s="1157"/>
    </row>
    <row r="156" spans="1:9">
      <c r="E156" s="1160"/>
      <c r="F156" s="1160"/>
      <c r="G156" s="1160"/>
      <c r="H156" s="1160"/>
      <c r="I156" s="1161"/>
    </row>
    <row r="157" spans="1:9">
      <c r="E157" s="1160"/>
      <c r="F157" s="1160"/>
      <c r="G157" s="1160"/>
      <c r="H157" s="1160"/>
      <c r="I157" s="1161"/>
    </row>
    <row r="158" spans="1:9">
      <c r="E158" s="1160"/>
      <c r="F158" s="1160"/>
      <c r="G158" s="1160"/>
      <c r="H158" s="1160"/>
      <c r="I158" s="1161"/>
    </row>
    <row r="159" spans="1:9">
      <c r="E159" s="1160"/>
      <c r="F159" s="1160"/>
      <c r="G159" s="1160"/>
      <c r="H159" s="1160"/>
      <c r="I159" s="1161"/>
    </row>
    <row r="160" spans="1:9">
      <c r="E160" s="1160"/>
      <c r="F160" s="1160"/>
      <c r="G160" s="1160"/>
      <c r="H160" s="1160"/>
      <c r="I160" s="1161"/>
    </row>
    <row r="161" spans="1:9">
      <c r="E161" s="1160"/>
      <c r="F161" s="1160"/>
      <c r="G161" s="1160"/>
      <c r="H161" s="1160"/>
      <c r="I161" s="1161"/>
    </row>
    <row r="162" spans="1:9">
      <c r="A162" s="1155"/>
      <c r="B162" s="1159"/>
      <c r="C162" s="1155"/>
      <c r="E162" s="1157"/>
      <c r="F162" s="1157"/>
      <c r="G162" s="1157"/>
      <c r="H162" s="1157"/>
    </row>
    <row r="163" spans="1:9">
      <c r="A163" s="1155"/>
      <c r="B163" s="1159"/>
      <c r="C163" s="1155"/>
      <c r="E163" s="1157"/>
      <c r="F163" s="1157"/>
      <c r="G163" s="1157"/>
      <c r="H163" s="1157"/>
    </row>
    <row r="164" spans="1:9">
      <c r="E164" s="1160"/>
      <c r="F164" s="1160"/>
      <c r="G164" s="1160"/>
      <c r="H164" s="1160"/>
      <c r="I164" s="1161"/>
    </row>
    <row r="165" spans="1:9">
      <c r="E165" s="1160"/>
      <c r="F165" s="1160"/>
      <c r="G165" s="1160"/>
      <c r="H165" s="1160"/>
      <c r="I165" s="1161"/>
    </row>
    <row r="166" spans="1:9">
      <c r="A166" s="1155"/>
      <c r="B166" s="1159"/>
      <c r="C166" s="1155"/>
      <c r="E166" s="1157"/>
      <c r="F166" s="1157"/>
      <c r="G166" s="1157"/>
      <c r="H166" s="1157"/>
    </row>
    <row r="167" spans="1:9">
      <c r="E167" s="1160"/>
      <c r="F167" s="1160"/>
      <c r="G167" s="1160"/>
      <c r="H167" s="1160"/>
      <c r="I167" s="1161"/>
    </row>
    <row r="168" spans="1:9">
      <c r="E168" s="1160"/>
      <c r="F168" s="1160"/>
      <c r="G168" s="1160"/>
      <c r="H168" s="1160"/>
      <c r="I168" s="1161"/>
    </row>
    <row r="169" spans="1:9">
      <c r="E169" s="1160"/>
      <c r="F169" s="1160"/>
      <c r="G169" s="1160"/>
      <c r="H169" s="1160"/>
      <c r="I169" s="1161"/>
    </row>
    <row r="170" spans="1:9">
      <c r="A170" s="1155"/>
      <c r="B170" s="1159"/>
      <c r="C170" s="1155"/>
      <c r="E170" s="1157"/>
      <c r="F170" s="1157"/>
      <c r="G170" s="1157"/>
      <c r="H170" s="1157"/>
    </row>
    <row r="171" spans="1:9">
      <c r="E171" s="1160"/>
      <c r="F171" s="1160"/>
      <c r="G171" s="1160"/>
      <c r="H171" s="1160"/>
      <c r="I171" s="1161"/>
    </row>
    <row r="172" spans="1:9">
      <c r="E172" s="1160"/>
      <c r="F172" s="1160"/>
      <c r="G172" s="1160"/>
      <c r="H172" s="1160"/>
      <c r="I172" s="1161"/>
    </row>
    <row r="173" spans="1:9">
      <c r="E173" s="1160"/>
      <c r="F173" s="1160"/>
      <c r="G173" s="1160"/>
      <c r="H173" s="1160"/>
      <c r="I173" s="1161"/>
    </row>
    <row r="174" spans="1:9">
      <c r="A174" s="1155"/>
      <c r="B174" s="1159"/>
      <c r="C174" s="1155"/>
      <c r="E174" s="1157"/>
      <c r="F174" s="1157"/>
      <c r="G174" s="1157"/>
      <c r="H174" s="1157"/>
    </row>
    <row r="175" spans="1:9">
      <c r="E175" s="1160"/>
      <c r="F175" s="1160"/>
      <c r="G175" s="1160"/>
      <c r="H175" s="1160"/>
    </row>
    <row r="176" spans="1:9">
      <c r="A176" s="1155"/>
      <c r="B176" s="1159"/>
      <c r="C176" s="1155"/>
      <c r="E176" s="1157"/>
      <c r="F176" s="1157"/>
      <c r="G176" s="1157"/>
      <c r="H176" s="1157"/>
    </row>
    <row r="177" spans="1:9">
      <c r="A177" s="1155"/>
      <c r="B177" s="1159"/>
      <c r="C177" s="1155"/>
      <c r="E177" s="1157"/>
      <c r="F177" s="1157"/>
      <c r="G177" s="1157"/>
      <c r="H177" s="1157"/>
    </row>
    <row r="178" spans="1:9">
      <c r="E178" s="1160"/>
      <c r="F178" s="1160"/>
      <c r="G178" s="1160"/>
      <c r="H178" s="1160"/>
      <c r="I178" s="1161"/>
    </row>
    <row r="179" spans="1:9">
      <c r="A179" s="1155"/>
      <c r="B179" s="1159"/>
      <c r="C179" s="1155"/>
      <c r="E179" s="1157"/>
      <c r="F179" s="1157"/>
      <c r="G179" s="1157"/>
      <c r="H179" s="1157"/>
    </row>
    <row r="180" spans="1:9">
      <c r="E180" s="1160"/>
      <c r="F180" s="1160"/>
      <c r="G180" s="1160"/>
      <c r="H180" s="1160"/>
      <c r="I180" s="1161"/>
    </row>
    <row r="181" spans="1:9">
      <c r="A181" s="1155"/>
      <c r="B181" s="1159"/>
      <c r="C181" s="1155"/>
      <c r="E181" s="1157"/>
      <c r="F181" s="1157"/>
      <c r="G181" s="1157"/>
      <c r="H181" s="1157"/>
    </row>
    <row r="182" spans="1:9">
      <c r="D182" s="1165"/>
      <c r="E182" s="1160"/>
      <c r="F182" s="1160"/>
      <c r="G182" s="1160"/>
      <c r="H182" s="1160"/>
    </row>
    <row r="183" spans="1:9">
      <c r="A183" s="1155"/>
      <c r="B183" s="1159"/>
      <c r="C183" s="1155"/>
      <c r="E183" s="1157"/>
      <c r="F183" s="1157"/>
      <c r="G183" s="1157"/>
      <c r="H183" s="1157"/>
    </row>
    <row r="184" spans="1:9">
      <c r="A184" s="1155"/>
      <c r="B184" s="1159"/>
      <c r="D184" s="1164"/>
      <c r="E184" s="1157"/>
      <c r="F184" s="1157"/>
      <c r="G184" s="1157"/>
      <c r="H184" s="1157"/>
    </row>
    <row r="185" spans="1:9">
      <c r="E185" s="1160"/>
      <c r="F185" s="1160"/>
      <c r="G185" s="1160"/>
      <c r="H185" s="1160"/>
      <c r="I185" s="1161"/>
    </row>
    <row r="186" spans="1:9">
      <c r="E186" s="1160"/>
      <c r="F186" s="1160"/>
      <c r="G186" s="1160"/>
      <c r="H186" s="1160"/>
      <c r="I186" s="1166"/>
    </row>
    <row r="187" spans="1:9">
      <c r="E187" s="1160"/>
      <c r="F187" s="1160"/>
      <c r="G187" s="1160"/>
      <c r="H187" s="1160"/>
      <c r="I187" s="1161"/>
    </row>
    <row r="188" spans="1:9">
      <c r="A188" s="1155"/>
      <c r="B188" s="1159"/>
      <c r="C188" s="1155"/>
      <c r="E188" s="1157"/>
      <c r="F188" s="1157"/>
      <c r="G188" s="1157"/>
      <c r="H188" s="1157"/>
    </row>
    <row r="189" spans="1:9">
      <c r="D189" s="1163"/>
      <c r="E189" s="1160"/>
      <c r="F189" s="1160"/>
      <c r="G189" s="1160"/>
      <c r="H189" s="1160"/>
      <c r="I189" s="1161"/>
    </row>
    <row r="190" spans="1:9">
      <c r="A190" s="1155"/>
      <c r="B190" s="1159"/>
      <c r="C190" s="1155"/>
      <c r="E190" s="1157"/>
      <c r="F190" s="1157"/>
      <c r="G190" s="1157"/>
      <c r="H190" s="1157"/>
    </row>
    <row r="191" spans="1:9">
      <c r="E191" s="1160"/>
      <c r="F191" s="1160"/>
      <c r="G191" s="1160"/>
      <c r="H191" s="1160"/>
      <c r="I191" s="1161"/>
    </row>
    <row r="192" spans="1:9">
      <c r="E192" s="1160"/>
      <c r="F192" s="1160"/>
      <c r="G192" s="1160"/>
      <c r="H192" s="1160"/>
      <c r="I192" s="1161"/>
    </row>
    <row r="193" spans="1:9">
      <c r="E193" s="1160"/>
      <c r="F193" s="1160"/>
      <c r="G193" s="1160"/>
      <c r="H193" s="1160"/>
      <c r="I193" s="1161"/>
    </row>
    <row r="194" spans="1:9">
      <c r="A194" s="1155"/>
      <c r="B194" s="1159"/>
      <c r="C194" s="1155"/>
      <c r="E194" s="1157"/>
      <c r="F194" s="1157"/>
      <c r="G194" s="1157"/>
      <c r="H194" s="1157"/>
    </row>
    <row r="195" spans="1:9">
      <c r="A195" s="1155"/>
      <c r="B195" s="1159"/>
      <c r="C195" s="1155"/>
      <c r="E195" s="1157"/>
      <c r="F195" s="1157"/>
      <c r="G195" s="1157"/>
      <c r="H195" s="1157"/>
    </row>
    <row r="196" spans="1:9">
      <c r="D196" s="1163"/>
      <c r="E196" s="1160"/>
      <c r="F196" s="1160"/>
      <c r="G196" s="1160"/>
      <c r="H196" s="1160"/>
      <c r="I196" s="1161"/>
    </row>
    <row r="197" spans="1:9">
      <c r="D197" s="1163"/>
      <c r="E197" s="1160"/>
      <c r="F197" s="1160"/>
      <c r="G197" s="1160"/>
      <c r="H197" s="1160"/>
      <c r="I197" s="1161"/>
    </row>
    <row r="198" spans="1:9">
      <c r="E198" s="1160"/>
      <c r="F198" s="1160"/>
      <c r="G198" s="1160"/>
      <c r="H198" s="1160"/>
      <c r="I198" s="1161"/>
    </row>
    <row r="199" spans="1:9">
      <c r="E199" s="1160"/>
      <c r="F199" s="1160"/>
      <c r="G199" s="1160"/>
      <c r="H199" s="1160"/>
      <c r="I199" s="1161"/>
    </row>
    <row r="200" spans="1:9">
      <c r="A200" s="1155"/>
      <c r="B200" s="1159"/>
      <c r="C200" s="1155"/>
      <c r="E200" s="1157"/>
      <c r="F200" s="1157"/>
      <c r="G200" s="1157"/>
      <c r="H200" s="1157"/>
    </row>
    <row r="201" spans="1:9">
      <c r="D201" s="1163"/>
      <c r="E201" s="1160"/>
      <c r="F201" s="1160"/>
      <c r="G201" s="1160"/>
      <c r="H201" s="1160"/>
      <c r="I201" s="1161"/>
    </row>
    <row r="202" spans="1:9">
      <c r="D202" s="1163"/>
      <c r="E202" s="1160"/>
      <c r="F202" s="1160"/>
      <c r="G202" s="1160"/>
      <c r="H202" s="1160"/>
      <c r="I202" s="1161"/>
    </row>
    <row r="203" spans="1:9">
      <c r="E203" s="1160"/>
      <c r="F203" s="1160"/>
      <c r="G203" s="1160"/>
      <c r="H203" s="1160"/>
      <c r="I203" s="1161"/>
    </row>
    <row r="204" spans="1:9">
      <c r="E204" s="1160"/>
      <c r="F204" s="1160"/>
      <c r="G204" s="1160"/>
      <c r="H204" s="1160"/>
    </row>
  </sheetData>
  <pageMargins left="0.7087" right="0.7087" top="1" bottom="0.748" header="0.315" footer="0.315"/>
  <pageSetup paperSize="9" fitToHeight="0" orientation="portrait" r:id="rId1"/>
  <headerFooter>
    <oddHeader>&amp;L&amp;12 MNC Asset Management</oddHeader>
    <oddFooter>&amp;L&amp;8 Time : 01/Mar/2018 02:44:43&amp;C&amp;9 RADSOFT-SYSTEM&amp;RPage &amp;P of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85"/>
  <sheetViews>
    <sheetView workbookViewId="0">
      <selection activeCell="C22" sqref="C22"/>
    </sheetView>
  </sheetViews>
  <sheetFormatPr defaultColWidth="9.1796875" defaultRowHeight="13"/>
  <cols>
    <col min="1" max="1" width="66.54296875" style="306" customWidth="1"/>
    <col min="2" max="2" width="17" style="312" bestFit="1" customWidth="1"/>
    <col min="3" max="3" width="20.1796875" style="312" bestFit="1" customWidth="1"/>
    <col min="4" max="4" width="14.81640625" style="306" bestFit="1" customWidth="1"/>
    <col min="5" max="5" width="12.26953125" style="306" bestFit="1" customWidth="1"/>
    <col min="6" max="6" width="41" style="306" hidden="1" customWidth="1"/>
    <col min="7" max="7" width="20.1796875" style="306" bestFit="1" customWidth="1"/>
    <col min="8" max="8" width="17" style="306" bestFit="1" customWidth="1"/>
    <col min="9" max="9" width="15.26953125" style="306" bestFit="1" customWidth="1"/>
    <col min="10" max="10" width="20.453125" style="306" bestFit="1" customWidth="1"/>
    <col min="11" max="11" width="17.26953125" style="306" bestFit="1" customWidth="1"/>
    <col min="12" max="12" width="11.26953125" style="306" bestFit="1" customWidth="1"/>
    <col min="13" max="13" width="26.7265625" style="306" bestFit="1" customWidth="1"/>
    <col min="14" max="16384" width="9.1796875" style="306"/>
  </cols>
  <sheetData>
    <row r="1" spans="1:13">
      <c r="B1" s="316"/>
      <c r="C1" s="316"/>
    </row>
    <row r="2" spans="1:13">
      <c r="A2" s="308" t="s">
        <v>0</v>
      </c>
      <c r="B2" s="326"/>
      <c r="C2" s="316"/>
      <c r="F2" s="356"/>
      <c r="G2" s="308"/>
      <c r="H2" s="308"/>
      <c r="I2" s="314"/>
      <c r="J2" s="308"/>
      <c r="K2" s="308"/>
      <c r="L2" s="314"/>
      <c r="M2" s="308"/>
    </row>
    <row r="3" spans="1:13">
      <c r="A3" s="308" t="s">
        <v>880</v>
      </c>
      <c r="B3" s="316"/>
      <c r="C3" s="316"/>
      <c r="F3" s="348"/>
    </row>
    <row r="4" spans="1:13">
      <c r="A4" s="308" t="s">
        <v>1408</v>
      </c>
      <c r="B4" s="316"/>
      <c r="C4" s="316"/>
      <c r="F4" s="349"/>
      <c r="G4" s="315"/>
      <c r="H4" s="315"/>
      <c r="I4" s="315"/>
    </row>
    <row r="5" spans="1:13">
      <c r="B5" s="316"/>
      <c r="C5" s="316"/>
      <c r="F5" s="348"/>
      <c r="G5" s="315"/>
      <c r="H5" s="315"/>
      <c r="I5" s="315"/>
    </row>
    <row r="6" spans="1:13">
      <c r="A6" s="308" t="s">
        <v>1063</v>
      </c>
      <c r="B6" s="316"/>
      <c r="C6" s="317">
        <f>'Dec''17'!O95</f>
        <v>142593726.30000648</v>
      </c>
      <c r="F6" s="348"/>
      <c r="G6" s="315"/>
      <c r="H6" s="315"/>
      <c r="I6" s="315"/>
    </row>
    <row r="7" spans="1:13">
      <c r="A7" s="308" t="s">
        <v>34</v>
      </c>
      <c r="B7" s="316"/>
      <c r="C7" s="317"/>
      <c r="F7" s="348"/>
      <c r="G7" s="315"/>
      <c r="H7" s="315"/>
      <c r="I7" s="315"/>
    </row>
    <row r="8" spans="1:13">
      <c r="A8" s="311" t="s">
        <v>881</v>
      </c>
      <c r="B8" s="316"/>
      <c r="C8" s="316"/>
      <c r="F8" s="348"/>
      <c r="G8" s="315"/>
      <c r="H8" s="315"/>
      <c r="I8" s="315"/>
    </row>
    <row r="9" spans="1:13">
      <c r="A9" s="306" t="s">
        <v>882</v>
      </c>
      <c r="B9" s="316">
        <v>67432678.588254988</v>
      </c>
      <c r="C9" s="316"/>
      <c r="F9" s="356"/>
      <c r="G9" s="315"/>
      <c r="H9" s="315"/>
      <c r="I9" s="315"/>
    </row>
    <row r="10" spans="1:13">
      <c r="A10" s="306" t="s">
        <v>883</v>
      </c>
      <c r="B10" s="316"/>
      <c r="C10" s="316"/>
      <c r="F10" s="356"/>
      <c r="G10" s="315"/>
      <c r="H10" s="315"/>
      <c r="I10" s="315"/>
    </row>
    <row r="11" spans="1:13">
      <c r="B11" s="318"/>
      <c r="C11" s="316"/>
      <c r="F11" s="356" t="s">
        <v>884</v>
      </c>
      <c r="G11" s="315"/>
      <c r="H11" s="315"/>
      <c r="I11" s="315"/>
    </row>
    <row r="12" spans="1:13">
      <c r="B12" s="319"/>
      <c r="C12" s="316"/>
      <c r="F12" s="348"/>
      <c r="G12" s="315"/>
      <c r="H12" s="315"/>
      <c r="I12" s="315"/>
    </row>
    <row r="13" spans="1:13">
      <c r="A13" s="306" t="s">
        <v>885</v>
      </c>
      <c r="B13" s="316"/>
      <c r="C13" s="316">
        <f>SUM(B8:B11)</f>
        <v>67432678.588254988</v>
      </c>
      <c r="F13" s="348"/>
      <c r="G13" s="315"/>
      <c r="H13" s="315"/>
      <c r="I13" s="315"/>
    </row>
    <row r="14" spans="1:13">
      <c r="B14" s="316"/>
      <c r="C14" s="316"/>
      <c r="F14" s="348"/>
      <c r="G14" s="315"/>
      <c r="H14" s="315"/>
      <c r="I14" s="315"/>
    </row>
    <row r="15" spans="1:13">
      <c r="A15" s="311" t="s">
        <v>886</v>
      </c>
      <c r="B15" s="316"/>
      <c r="C15" s="316"/>
      <c r="F15" s="348"/>
      <c r="G15" s="315"/>
      <c r="H15" s="315"/>
      <c r="I15" s="315"/>
    </row>
    <row r="16" spans="1:13">
      <c r="A16" s="306" t="s">
        <v>887</v>
      </c>
      <c r="B16" s="316">
        <f>+B65</f>
        <v>0</v>
      </c>
      <c r="C16" s="316"/>
      <c r="F16" s="348"/>
      <c r="G16" s="315"/>
      <c r="H16" s="315"/>
      <c r="I16" s="315"/>
    </row>
    <row r="17" spans="1:9">
      <c r="A17" s="306" t="s">
        <v>888</v>
      </c>
      <c r="B17" s="317">
        <f>'Detail WPL''1217'!Q67</f>
        <v>0</v>
      </c>
      <c r="C17" s="316"/>
      <c r="F17" s="348"/>
      <c r="G17" s="315"/>
      <c r="H17" s="315"/>
      <c r="I17" s="315"/>
    </row>
    <row r="18" spans="1:9">
      <c r="A18" s="306" t="s">
        <v>889</v>
      </c>
      <c r="B18" s="320">
        <f>-'Detail WPL''1217'!Q102</f>
        <v>0</v>
      </c>
      <c r="C18" s="316"/>
      <c r="F18" s="348"/>
      <c r="G18" s="315"/>
      <c r="H18" s="315"/>
      <c r="I18" s="315"/>
    </row>
    <row r="19" spans="1:9">
      <c r="A19" s="306" t="s">
        <v>890</v>
      </c>
      <c r="B19" s="321">
        <v>0</v>
      </c>
      <c r="C19" s="316"/>
      <c r="F19" s="348"/>
      <c r="G19" s="315"/>
      <c r="H19" s="315"/>
      <c r="I19" s="315"/>
    </row>
    <row r="20" spans="1:9">
      <c r="A20" s="306" t="s">
        <v>891</v>
      </c>
      <c r="B20" s="322">
        <f>SUM('TB''1217'!H229:H232)</f>
        <v>-6013526192.2799997</v>
      </c>
      <c r="C20" s="316"/>
      <c r="F20" s="356" t="s">
        <v>892</v>
      </c>
      <c r="G20" s="315"/>
      <c r="H20" s="315"/>
      <c r="I20" s="315"/>
    </row>
    <row r="21" spans="1:9">
      <c r="B21" s="316"/>
      <c r="C21" s="316"/>
      <c r="F21" s="348"/>
      <c r="G21" s="315"/>
      <c r="H21" s="315"/>
      <c r="I21" s="315"/>
    </row>
    <row r="22" spans="1:9">
      <c r="A22" s="306" t="s">
        <v>893</v>
      </c>
      <c r="B22" s="316"/>
      <c r="C22" s="318">
        <f>SUM(B16:B20)</f>
        <v>-6013526192.2799997</v>
      </c>
      <c r="F22" s="356"/>
      <c r="G22" s="315"/>
      <c r="H22" s="315"/>
      <c r="I22" s="315"/>
    </row>
    <row r="23" spans="1:9">
      <c r="B23" s="323"/>
      <c r="C23" s="323"/>
      <c r="F23" s="348"/>
      <c r="G23" s="315"/>
      <c r="H23" s="315"/>
      <c r="I23" s="315"/>
    </row>
    <row r="24" spans="1:9">
      <c r="A24" s="308" t="s">
        <v>894</v>
      </c>
      <c r="B24" s="324"/>
      <c r="C24" s="325">
        <f>+C22+C13+C6</f>
        <v>-5803499787.3917379</v>
      </c>
      <c r="D24" s="350"/>
      <c r="E24" s="350"/>
      <c r="F24" s="348"/>
      <c r="G24" s="315"/>
      <c r="H24" s="315"/>
      <c r="I24" s="315"/>
    </row>
    <row r="25" spans="1:9">
      <c r="A25" s="308"/>
      <c r="B25" s="324"/>
      <c r="C25" s="326"/>
      <c r="F25" s="348"/>
      <c r="G25" s="315"/>
      <c r="H25" s="315"/>
      <c r="I25" s="315"/>
    </row>
    <row r="26" spans="1:9">
      <c r="A26" s="308"/>
      <c r="B26" s="323"/>
      <c r="C26" s="327"/>
      <c r="F26" s="351"/>
      <c r="G26" s="315"/>
      <c r="H26" s="315"/>
      <c r="I26" s="315"/>
    </row>
    <row r="27" spans="1:9">
      <c r="A27" s="308" t="s">
        <v>895</v>
      </c>
      <c r="B27" s="328">
        <f>ROUNDDOWN((C24),-3)*25%</f>
        <v>-1450874750</v>
      </c>
      <c r="C27" s="327"/>
      <c r="F27" s="351"/>
      <c r="G27" s="315"/>
      <c r="H27" s="315"/>
      <c r="I27" s="315"/>
    </row>
    <row r="28" spans="1:9">
      <c r="A28" s="308"/>
      <c r="B28" s="328"/>
      <c r="C28" s="327"/>
      <c r="F28" s="351"/>
      <c r="G28" s="315"/>
      <c r="H28" s="315"/>
      <c r="I28" s="315"/>
    </row>
    <row r="29" spans="1:9">
      <c r="A29" s="308"/>
      <c r="B29" s="328"/>
      <c r="C29" s="327"/>
      <c r="F29" s="351"/>
      <c r="G29" s="315"/>
      <c r="H29" s="315"/>
      <c r="I29" s="315"/>
    </row>
    <row r="30" spans="1:9" ht="13.5">
      <c r="A30" s="357"/>
      <c r="B30" s="323"/>
      <c r="C30" s="316" t="s">
        <v>34</v>
      </c>
      <c r="F30" s="351"/>
      <c r="G30" s="315"/>
      <c r="H30" s="315"/>
      <c r="I30" s="315"/>
    </row>
    <row r="31" spans="1:9">
      <c r="A31" s="308"/>
      <c r="B31" s="329"/>
      <c r="C31" s="316"/>
      <c r="F31" s="356"/>
      <c r="G31" s="315"/>
      <c r="H31" s="315"/>
      <c r="I31" s="315"/>
    </row>
    <row r="32" spans="1:9">
      <c r="A32" s="308" t="s">
        <v>896</v>
      </c>
      <c r="B32" s="323"/>
      <c r="C32" s="323" t="s">
        <v>34</v>
      </c>
      <c r="F32" s="348"/>
      <c r="G32" s="315"/>
      <c r="H32" s="315"/>
      <c r="I32" s="315"/>
    </row>
    <row r="33" spans="1:9">
      <c r="B33" s="323"/>
      <c r="C33" s="323"/>
      <c r="F33" s="348"/>
      <c r="G33" s="315"/>
      <c r="H33" s="315"/>
      <c r="I33" s="315"/>
    </row>
    <row r="34" spans="1:9">
      <c r="A34" s="306" t="s">
        <v>897</v>
      </c>
      <c r="B34" s="323"/>
      <c r="C34" s="323"/>
      <c r="F34" s="348"/>
      <c r="G34" s="315"/>
      <c r="H34" s="315"/>
      <c r="I34" s="315"/>
    </row>
    <row r="35" spans="1:9">
      <c r="A35" s="306" t="s">
        <v>898</v>
      </c>
      <c r="B35" s="316">
        <f>C51</f>
        <v>-3.2910823822021484E-2</v>
      </c>
      <c r="C35" s="323" t="s">
        <v>899</v>
      </c>
      <c r="F35" s="348"/>
      <c r="G35" s="315"/>
      <c r="H35" s="315"/>
      <c r="I35" s="315"/>
    </row>
    <row r="36" spans="1:9">
      <c r="A36" s="306" t="s">
        <v>900</v>
      </c>
      <c r="B36" s="316">
        <f>C49</f>
        <v>0</v>
      </c>
      <c r="C36" s="323"/>
      <c r="F36" s="348"/>
      <c r="G36" s="315"/>
      <c r="H36" s="315"/>
      <c r="I36" s="315"/>
    </row>
    <row r="37" spans="1:9">
      <c r="A37" s="306" t="s">
        <v>901</v>
      </c>
      <c r="B37" s="316">
        <f>+B10*25%</f>
        <v>0</v>
      </c>
      <c r="C37" s="323" t="s">
        <v>899</v>
      </c>
      <c r="F37" s="348"/>
      <c r="G37" s="315"/>
      <c r="H37" s="315"/>
      <c r="I37" s="315"/>
    </row>
    <row r="38" spans="1:9" ht="13.5" thickBot="1">
      <c r="A38" s="306" t="s">
        <v>902</v>
      </c>
      <c r="B38" s="330">
        <f>C50</f>
        <v>0</v>
      </c>
      <c r="C38" s="323"/>
      <c r="F38" s="356"/>
      <c r="G38" s="315"/>
      <c r="H38" s="315"/>
      <c r="I38" s="315"/>
    </row>
    <row r="39" spans="1:9" ht="14" thickTop="1" thickBot="1">
      <c r="A39" s="306" t="s">
        <v>903</v>
      </c>
      <c r="B39" s="331">
        <f>+B37+B36+B35+B38</f>
        <v>-3.2910823822021484E-2</v>
      </c>
      <c r="C39" s="323"/>
      <c r="G39" s="315"/>
      <c r="H39" s="315"/>
      <c r="I39" s="315"/>
    </row>
    <row r="40" spans="1:9" ht="13.5" thickTop="1">
      <c r="B40" s="323"/>
      <c r="C40" s="323"/>
      <c r="G40" s="315"/>
      <c r="H40" s="315"/>
      <c r="I40" s="315"/>
    </row>
    <row r="41" spans="1:9">
      <c r="A41" s="308" t="s">
        <v>904</v>
      </c>
      <c r="B41" s="323"/>
      <c r="C41" s="323"/>
      <c r="G41" s="315"/>
      <c r="H41" s="315"/>
      <c r="I41" s="315"/>
    </row>
    <row r="42" spans="1:9">
      <c r="A42" s="308" t="s">
        <v>905</v>
      </c>
      <c r="B42" s="323"/>
      <c r="C42" s="323"/>
      <c r="G42" s="315"/>
      <c r="H42" s="315"/>
      <c r="I42" s="315"/>
    </row>
    <row r="43" spans="1:9">
      <c r="B43" s="323"/>
      <c r="C43" s="323"/>
      <c r="G43" s="315"/>
      <c r="H43" s="315"/>
      <c r="I43" s="315"/>
    </row>
    <row r="44" spans="1:9">
      <c r="B44" s="332" t="s">
        <v>241</v>
      </c>
      <c r="C44" s="333" t="s">
        <v>906</v>
      </c>
      <c r="D44" s="1102">
        <f>'Dec''17'!O7</f>
        <v>43070</v>
      </c>
      <c r="G44" s="315"/>
      <c r="H44" s="315"/>
      <c r="I44" s="315"/>
    </row>
    <row r="45" spans="1:9">
      <c r="C45" s="323"/>
      <c r="D45" s="334"/>
      <c r="G45" s="315"/>
      <c r="H45" s="315"/>
      <c r="I45" s="315"/>
    </row>
    <row r="46" spans="1:9">
      <c r="C46" s="323"/>
      <c r="D46" s="334"/>
      <c r="G46" s="315"/>
      <c r="H46" s="315"/>
      <c r="I46" s="315"/>
    </row>
    <row r="47" spans="1:9">
      <c r="A47" s="306" t="s">
        <v>907</v>
      </c>
      <c r="B47" s="316">
        <f>+D47+C47</f>
        <v>235229853</v>
      </c>
      <c r="C47" s="316">
        <f>+B37</f>
        <v>0</v>
      </c>
      <c r="D47" s="335">
        <v>235229853</v>
      </c>
      <c r="G47" s="315"/>
      <c r="H47" s="315"/>
      <c r="I47" s="315"/>
    </row>
    <row r="48" spans="1:9">
      <c r="A48" s="306" t="s">
        <v>908</v>
      </c>
      <c r="B48" s="316"/>
      <c r="C48" s="316"/>
      <c r="D48" s="335"/>
      <c r="G48" s="315"/>
      <c r="H48" s="315"/>
      <c r="I48" s="315"/>
    </row>
    <row r="49" spans="1:9">
      <c r="A49" s="306" t="s">
        <v>909</v>
      </c>
      <c r="B49" s="316">
        <v>1493046500</v>
      </c>
      <c r="C49" s="316">
        <f>+B49-D49</f>
        <v>0</v>
      </c>
      <c r="D49" s="335">
        <v>1493046500</v>
      </c>
      <c r="G49" s="315"/>
      <c r="H49" s="315"/>
      <c r="I49" s="315"/>
    </row>
    <row r="50" spans="1:9">
      <c r="A50" s="306" t="s">
        <v>902</v>
      </c>
      <c r="B50" s="316">
        <v>0</v>
      </c>
      <c r="C50" s="316">
        <f>+B50-D50</f>
        <v>0</v>
      </c>
      <c r="D50" s="335">
        <v>0</v>
      </c>
      <c r="G50" s="315"/>
      <c r="H50" s="315"/>
      <c r="I50" s="315"/>
    </row>
    <row r="51" spans="1:9">
      <c r="A51" s="306" t="s">
        <v>910</v>
      </c>
      <c r="B51" s="316">
        <v>-133260578</v>
      </c>
      <c r="C51" s="316">
        <f>+B51-D51</f>
        <v>-3.2910823822021484E-2</v>
      </c>
      <c r="D51" s="335">
        <v>-133260577.96708918</v>
      </c>
      <c r="G51" s="315"/>
      <c r="H51" s="315"/>
      <c r="I51" s="315"/>
    </row>
    <row r="52" spans="1:9">
      <c r="C52" s="316"/>
      <c r="D52" s="334"/>
    </row>
    <row r="53" spans="1:9" ht="13.5" thickBot="1">
      <c r="B53" s="336">
        <f>+B47+B49+B51</f>
        <v>1595015775</v>
      </c>
      <c r="C53" s="336">
        <f>C47+C49+C51+C50</f>
        <v>-3.2910823822021484E-2</v>
      </c>
      <c r="D53" s="337">
        <f>+D51+D49+D47+D50</f>
        <v>1595015775.0329108</v>
      </c>
      <c r="E53" s="335"/>
    </row>
    <row r="54" spans="1:9" ht="13.5" thickTop="1">
      <c r="A54" s="306" t="s">
        <v>911</v>
      </c>
    </row>
    <row r="55" spans="1:9">
      <c r="A55" s="338" t="s">
        <v>912</v>
      </c>
      <c r="B55" s="339">
        <f>B27</f>
        <v>-1450874750</v>
      </c>
      <c r="C55" s="340"/>
    </row>
    <row r="56" spans="1:9">
      <c r="A56" s="338" t="s">
        <v>913</v>
      </c>
      <c r="B56" s="340"/>
      <c r="C56" s="339">
        <f>B55</f>
        <v>-1450874750</v>
      </c>
      <c r="D56" s="352"/>
    </row>
    <row r="57" spans="1:9">
      <c r="A57" s="338"/>
      <c r="C57" s="326"/>
    </row>
    <row r="58" spans="1:9">
      <c r="A58" s="306" t="s">
        <v>914</v>
      </c>
      <c r="B58" s="328"/>
      <c r="C58" s="328"/>
      <c r="D58" s="350"/>
    </row>
    <row r="59" spans="1:9">
      <c r="A59" s="306" t="s">
        <v>915</v>
      </c>
      <c r="B59" s="353">
        <f>'Detail WPL''1217'!Q9+'Detail WPL''1217'!Q18</f>
        <v>0</v>
      </c>
      <c r="C59" s="328" t="s">
        <v>1074</v>
      </c>
      <c r="D59" s="350"/>
    </row>
    <row r="60" spans="1:9">
      <c r="A60" s="306" t="s">
        <v>916</v>
      </c>
      <c r="B60" s="354">
        <f>'Detail WPL''1217'!Q16</f>
        <v>0</v>
      </c>
      <c r="C60" s="328"/>
      <c r="D60" s="350"/>
    </row>
    <row r="61" spans="1:9">
      <c r="A61" s="306" t="s">
        <v>917</v>
      </c>
      <c r="B61" s="354">
        <f>'Detail WPL''1217'!Q14</f>
        <v>0</v>
      </c>
      <c r="C61" s="328" t="s">
        <v>1075</v>
      </c>
      <c r="D61" s="350"/>
    </row>
    <row r="62" spans="1:9">
      <c r="A62" s="306" t="s">
        <v>918</v>
      </c>
      <c r="B62" s="354">
        <f>'Detail WPL''1217'!Q13</f>
        <v>0</v>
      </c>
      <c r="C62" s="328"/>
      <c r="D62" s="350"/>
    </row>
    <row r="63" spans="1:9">
      <c r="A63" s="306" t="s">
        <v>919</v>
      </c>
      <c r="B63" s="354">
        <f>'Detail WPL''1217'!Q10</f>
        <v>0</v>
      </c>
      <c r="C63" s="328"/>
      <c r="D63" s="350"/>
    </row>
    <row r="64" spans="1:9">
      <c r="B64" s="328"/>
      <c r="C64" s="328"/>
      <c r="D64" s="350"/>
    </row>
    <row r="65" spans="1:4" ht="13.5" thickBot="1">
      <c r="A65" s="306" t="s">
        <v>174</v>
      </c>
      <c r="B65" s="355">
        <f>SUM(B59:B64)</f>
        <v>0</v>
      </c>
      <c r="C65" s="328"/>
      <c r="D65" s="350"/>
    </row>
    <row r="66" spans="1:4">
      <c r="B66" s="328"/>
      <c r="C66" s="328"/>
      <c r="D66" s="350"/>
    </row>
    <row r="67" spans="1:4">
      <c r="B67" s="328"/>
      <c r="C67" s="328"/>
      <c r="D67" s="350"/>
    </row>
    <row r="68" spans="1:4">
      <c r="B68" s="328"/>
      <c r="C68" s="328"/>
      <c r="D68" s="350"/>
    </row>
    <row r="69" spans="1:4">
      <c r="B69" s="328"/>
      <c r="C69" s="328"/>
      <c r="D69" s="350"/>
    </row>
    <row r="70" spans="1:4">
      <c r="B70" s="328"/>
      <c r="C70" s="328"/>
      <c r="D70" s="350"/>
    </row>
    <row r="71" spans="1:4">
      <c r="B71" s="328"/>
      <c r="C71" s="328"/>
      <c r="D71" s="350"/>
    </row>
    <row r="72" spans="1:4">
      <c r="B72" s="328"/>
      <c r="C72" s="328"/>
      <c r="D72" s="350"/>
    </row>
    <row r="73" spans="1:4">
      <c r="B73" s="328"/>
      <c r="C73" s="328"/>
      <c r="D73" s="350"/>
    </row>
    <row r="74" spans="1:4">
      <c r="B74" s="328"/>
      <c r="C74" s="328"/>
      <c r="D74" s="350"/>
    </row>
    <row r="75" spans="1:4">
      <c r="B75" s="328"/>
      <c r="C75" s="328"/>
      <c r="D75" s="350"/>
    </row>
    <row r="76" spans="1:4">
      <c r="B76" s="328"/>
      <c r="C76" s="328"/>
      <c r="D76" s="350"/>
    </row>
    <row r="77" spans="1:4">
      <c r="B77" s="328"/>
      <c r="C77" s="328"/>
      <c r="D77" s="350"/>
    </row>
    <row r="78" spans="1:4">
      <c r="B78" s="328"/>
      <c r="C78" s="328"/>
      <c r="D78" s="350"/>
    </row>
    <row r="79" spans="1:4">
      <c r="B79" s="328"/>
      <c r="C79" s="328"/>
      <c r="D79" s="350"/>
    </row>
    <row r="80" spans="1:4">
      <c r="B80" s="328"/>
      <c r="C80" s="328"/>
      <c r="D80" s="350"/>
    </row>
    <row r="81" spans="2:4">
      <c r="B81" s="328"/>
      <c r="C81" s="328"/>
      <c r="D81" s="350"/>
    </row>
    <row r="82" spans="2:4">
      <c r="B82" s="328"/>
      <c r="C82" s="328"/>
      <c r="D82" s="350"/>
    </row>
    <row r="83" spans="2:4">
      <c r="B83" s="328"/>
      <c r="C83" s="328"/>
      <c r="D83" s="350"/>
    </row>
    <row r="84" spans="2:4">
      <c r="B84" s="328"/>
      <c r="C84" s="328"/>
      <c r="D84" s="350"/>
    </row>
    <row r="85" spans="2:4">
      <c r="B85" s="328"/>
      <c r="C85" s="328"/>
      <c r="D85" s="350"/>
    </row>
  </sheetData>
  <pageMargins left="0.7" right="0.7" top="0.75" bottom="0.75" header="0.3" footer="0.3"/>
  <pageSetup scale="77" orientation="portrait" verticalDpi="0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7"/>
  <sheetViews>
    <sheetView workbookViewId="0">
      <selection activeCell="A3" sqref="A3:A4"/>
    </sheetView>
  </sheetViews>
  <sheetFormatPr defaultColWidth="9.1796875" defaultRowHeight="14.5"/>
  <cols>
    <col min="1" max="1" width="23.1796875" style="362" customWidth="1"/>
    <col min="2" max="4" width="12.1796875" style="362" bestFit="1" customWidth="1"/>
    <col min="5" max="5" width="8.26953125" style="362" bestFit="1" customWidth="1"/>
    <col min="6" max="6" width="7" style="362" bestFit="1" customWidth="1"/>
    <col min="7" max="8" width="16.26953125" style="362" bestFit="1" customWidth="1"/>
    <col min="9" max="16384" width="9.1796875" style="362"/>
  </cols>
  <sheetData>
    <row r="1" spans="1:8">
      <c r="A1" s="361">
        <v>1000000000</v>
      </c>
    </row>
    <row r="2" spans="1:8">
      <c r="A2" s="1188" t="s">
        <v>1089</v>
      </c>
      <c r="B2" s="1189"/>
      <c r="C2" s="1189"/>
      <c r="D2" s="1189"/>
      <c r="E2" s="1189"/>
      <c r="F2" s="1190"/>
    </row>
    <row r="3" spans="1:8">
      <c r="A3" s="1191" t="s">
        <v>1090</v>
      </c>
      <c r="B3" s="1193" t="s">
        <v>1059</v>
      </c>
      <c r="C3" s="1194"/>
      <c r="D3" s="409" t="s">
        <v>1091</v>
      </c>
      <c r="E3" s="410" t="s">
        <v>9</v>
      </c>
      <c r="F3" s="410" t="s">
        <v>9</v>
      </c>
    </row>
    <row r="4" spans="1:8">
      <c r="A4" s="1192"/>
      <c r="B4" s="411">
        <f>'Dec''17'!O7</f>
        <v>43070</v>
      </c>
      <c r="C4" s="411">
        <f>'Dec''17'!P7</f>
        <v>42705</v>
      </c>
      <c r="D4" s="411">
        <f>B4</f>
        <v>43070</v>
      </c>
      <c r="E4" s="412" t="s">
        <v>1092</v>
      </c>
      <c r="F4" s="412" t="s">
        <v>1093</v>
      </c>
    </row>
    <row r="5" spans="1:8">
      <c r="A5" s="363" t="s">
        <v>1094</v>
      </c>
      <c r="B5" s="364">
        <f>'Dec''17'!O62/1000000000</f>
        <v>31.321009990290001</v>
      </c>
      <c r="C5" s="364">
        <f>'Dec''17'!P62/1000000000</f>
        <v>35.55758286855</v>
      </c>
      <c r="D5" s="364">
        <f>'Dec''17'!T57/1000000000</f>
        <v>50.40318474204193</v>
      </c>
      <c r="E5" s="365">
        <f>B5/C5-1</f>
        <v>-0.1191468186665513</v>
      </c>
      <c r="F5" s="365">
        <f>B5/D5</f>
        <v>0.62140934448066243</v>
      </c>
      <c r="G5" s="361">
        <v>38332532266.285255</v>
      </c>
      <c r="H5" s="366"/>
    </row>
    <row r="6" spans="1:8">
      <c r="A6" s="367" t="s">
        <v>1095</v>
      </c>
      <c r="B6" s="368">
        <f>'Dec''17'!O82/1000000000</f>
        <v>31.204444718509993</v>
      </c>
      <c r="C6" s="368">
        <f>'Dec''17'!P82/1000000000</f>
        <v>30.867200343009998</v>
      </c>
      <c r="D6" s="368">
        <f>'Dec''17'!T82/1000000000</f>
        <v>48.862881433532394</v>
      </c>
      <c r="E6" s="369">
        <f t="shared" ref="E6:E10" si="0">B6/C6-1</f>
        <v>1.0925654797078632E-2</v>
      </c>
      <c r="F6" s="369">
        <f>B6/D6</f>
        <v>0.63861245597963834</v>
      </c>
      <c r="G6" s="361">
        <v>36026640967.558174</v>
      </c>
      <c r="H6" s="366"/>
    </row>
    <row r="7" spans="1:8">
      <c r="A7" s="367" t="s">
        <v>1096</v>
      </c>
      <c r="B7" s="370">
        <f>+B5-B6</f>
        <v>0.11656527178000786</v>
      </c>
      <c r="C7" s="370">
        <f>+C5-C6</f>
        <v>4.6903825255400022</v>
      </c>
      <c r="D7" s="370">
        <f>+D5-D6</f>
        <v>1.5403033085095359</v>
      </c>
      <c r="E7" s="369">
        <f t="shared" si="0"/>
        <v>-0.9751480244638282</v>
      </c>
      <c r="F7" s="371">
        <f>B7/D7</f>
        <v>7.5676830099651912E-2</v>
      </c>
      <c r="G7" s="361"/>
    </row>
    <row r="8" spans="1:8">
      <c r="A8" s="367" t="s">
        <v>1097</v>
      </c>
      <c r="B8" s="368">
        <f>'Dec''17'!O103/1000000000</f>
        <v>0.14259372630000647</v>
      </c>
      <c r="C8" s="368">
        <f>'Dec''17'!P103/1000000000</f>
        <v>3.3603587503279155</v>
      </c>
      <c r="D8" s="368">
        <f>'Dec''17'!T103/1000000000</f>
        <v>6.0108755675478855</v>
      </c>
      <c r="E8" s="369">
        <f t="shared" si="0"/>
        <v>-0.95756592170818322</v>
      </c>
      <c r="F8" s="369">
        <f>B8/D8</f>
        <v>2.3722621554479632E-2</v>
      </c>
      <c r="G8" s="361">
        <v>8835622072.4191437</v>
      </c>
      <c r="H8" s="366"/>
    </row>
    <row r="9" spans="1:8">
      <c r="A9" s="367" t="s">
        <v>1098</v>
      </c>
      <c r="B9" s="368">
        <f>'Dec''17'!O109/1000000000</f>
        <v>2.5686114584700066</v>
      </c>
      <c r="C9" s="368">
        <f>'Dec''17'!P109/1000000000</f>
        <v>7.0059806380900049</v>
      </c>
      <c r="D9" s="368">
        <f>'Dec''17'!T109/1000000000</f>
        <v>9.2333126803928707</v>
      </c>
      <c r="E9" s="369">
        <f t="shared" si="0"/>
        <v>-0.63336874719507219</v>
      </c>
      <c r="F9" s="369">
        <f>-B9/D9</f>
        <v>-0.27818958887036349</v>
      </c>
      <c r="G9" s="361">
        <v>4757011816.0604153</v>
      </c>
      <c r="H9" s="366"/>
    </row>
    <row r="10" spans="1:8">
      <c r="A10" s="372" t="s">
        <v>1099</v>
      </c>
      <c r="B10" s="383">
        <f>B9/B5</f>
        <v>8.2009215515920969E-2</v>
      </c>
      <c r="C10" s="383">
        <f>C9/C5</f>
        <v>0.19703197104229098</v>
      </c>
      <c r="D10" s="383">
        <f>D9/D5</f>
        <v>0.18318907282640909</v>
      </c>
      <c r="E10" s="835">
        <f t="shared" si="0"/>
        <v>-0.58377711453580039</v>
      </c>
      <c r="F10" s="835">
        <f>-B10/D10</f>
        <v>-0.4476752584125655</v>
      </c>
    </row>
    <row r="11" spans="1:8">
      <c r="A11" s="373"/>
      <c r="B11" s="374"/>
      <c r="C11" s="374"/>
      <c r="D11" s="374"/>
      <c r="E11" s="374"/>
      <c r="F11" s="375"/>
    </row>
    <row r="13" spans="1:8">
      <c r="A13" s="1188" t="s">
        <v>1089</v>
      </c>
      <c r="B13" s="1189"/>
      <c r="C13" s="1189"/>
      <c r="D13" s="1189"/>
      <c r="E13" s="1189"/>
      <c r="F13" s="1190"/>
    </row>
    <row r="14" spans="1:8">
      <c r="A14" s="1191" t="s">
        <v>1090</v>
      </c>
      <c r="B14" s="1193" t="s">
        <v>1059</v>
      </c>
      <c r="C14" s="1194"/>
      <c r="D14" s="409" t="s">
        <v>1091</v>
      </c>
      <c r="E14" s="410" t="s">
        <v>9</v>
      </c>
      <c r="F14" s="410" t="s">
        <v>9</v>
      </c>
    </row>
    <row r="15" spans="1:8">
      <c r="A15" s="1192"/>
      <c r="B15" s="411">
        <f>+B4</f>
        <v>43070</v>
      </c>
      <c r="C15" s="411">
        <f>+C4</f>
        <v>42705</v>
      </c>
      <c r="D15" s="411">
        <f>+D4</f>
        <v>43070</v>
      </c>
      <c r="E15" s="412" t="s">
        <v>1092</v>
      </c>
      <c r="F15" s="412" t="s">
        <v>1093</v>
      </c>
    </row>
    <row r="16" spans="1:8">
      <c r="A16" s="367" t="s">
        <v>1100</v>
      </c>
      <c r="B16" s="364">
        <f>'Dec''17'!O25/1000000000</f>
        <v>0</v>
      </c>
      <c r="C16" s="364">
        <f>'Dec''17'!P25/1000000000</f>
        <v>52.294868714332921</v>
      </c>
      <c r="D16" s="376">
        <f>'Dec''17'!S25/1000000000</f>
        <v>55.681119093577863</v>
      </c>
      <c r="E16" s="365">
        <f>(B16-C16)/C16</f>
        <v>-1</v>
      </c>
      <c r="F16" s="365">
        <f>B16/D16</f>
        <v>0</v>
      </c>
      <c r="G16" s="361">
        <v>59881837949.727196</v>
      </c>
    </row>
    <row r="17" spans="1:7">
      <c r="A17" s="367" t="s">
        <v>1101</v>
      </c>
      <c r="B17" s="836">
        <f>'Dec''17'!O34/1000000000</f>
        <v>0</v>
      </c>
      <c r="C17" s="368">
        <f>'Dec''17'!P34/1000000000</f>
        <v>7.8960488421799999</v>
      </c>
      <c r="D17" s="368">
        <f>'Dec''17'!S34/1000000000</f>
        <v>5.8128728130716469</v>
      </c>
      <c r="E17" s="369">
        <f>(B17-C17)/C17</f>
        <v>-1</v>
      </c>
      <c r="F17" s="369">
        <f>B17/D17</f>
        <v>0</v>
      </c>
      <c r="G17" s="361">
        <v>3951007458.2981291</v>
      </c>
    </row>
    <row r="18" spans="1:7">
      <c r="A18" s="372" t="s">
        <v>1102</v>
      </c>
      <c r="B18" s="377">
        <f>'Dec''17'!O45/1000000000</f>
        <v>43.091138168300006</v>
      </c>
      <c r="C18" s="377">
        <f>'Dec''17'!P45/1000000000</f>
        <v>44.39881987232792</v>
      </c>
      <c r="D18" s="377">
        <f>'Dec''17'!S45/1000000000</f>
        <v>49.868246280582866</v>
      </c>
      <c r="E18" s="378">
        <f>(B18-C18)/C18</f>
        <v>-2.9453073477814253E-2</v>
      </c>
      <c r="F18" s="378">
        <f>B18/D18</f>
        <v>0.86409973043464228</v>
      </c>
      <c r="G18" s="361">
        <v>55930830491.822006</v>
      </c>
    </row>
    <row r="51" spans="1:3">
      <c r="A51" s="379" t="s">
        <v>1090</v>
      </c>
      <c r="B51" s="380" t="s">
        <v>1092</v>
      </c>
      <c r="C51" s="380" t="s">
        <v>1093</v>
      </c>
    </row>
    <row r="52" spans="1:3">
      <c r="A52" s="381" t="s">
        <v>1094</v>
      </c>
      <c r="B52" s="382">
        <f t="shared" ref="B52:C57" si="1">E5</f>
        <v>-0.1191468186665513</v>
      </c>
      <c r="C52" s="382">
        <f t="shared" si="1"/>
        <v>0.62140934448066243</v>
      </c>
    </row>
    <row r="53" spans="1:3">
      <c r="A53" s="381" t="s">
        <v>1095</v>
      </c>
      <c r="B53" s="382">
        <f t="shared" si="1"/>
        <v>1.0925654797078632E-2</v>
      </c>
      <c r="C53" s="382">
        <f t="shared" si="1"/>
        <v>0.63861245597963834</v>
      </c>
    </row>
    <row r="54" spans="1:3">
      <c r="A54" s="381" t="s">
        <v>1096</v>
      </c>
      <c r="B54" s="382">
        <f t="shared" si="1"/>
        <v>-0.9751480244638282</v>
      </c>
      <c r="C54" s="382">
        <f t="shared" si="1"/>
        <v>7.5676830099651912E-2</v>
      </c>
    </row>
    <row r="55" spans="1:3">
      <c r="A55" s="381" t="s">
        <v>1097</v>
      </c>
      <c r="B55" s="382">
        <f t="shared" si="1"/>
        <v>-0.95756592170818322</v>
      </c>
      <c r="C55" s="382">
        <f t="shared" si="1"/>
        <v>2.3722621554479632E-2</v>
      </c>
    </row>
    <row r="56" spans="1:3">
      <c r="A56" s="381" t="s">
        <v>1098</v>
      </c>
      <c r="B56" s="382">
        <f t="shared" si="1"/>
        <v>-0.63336874719507219</v>
      </c>
      <c r="C56" s="382">
        <f t="shared" si="1"/>
        <v>-0.27818958887036349</v>
      </c>
    </row>
    <row r="57" spans="1:3">
      <c r="A57" s="381" t="s">
        <v>1099</v>
      </c>
      <c r="B57" s="382">
        <f t="shared" si="1"/>
        <v>-0.58377711453580039</v>
      </c>
      <c r="C57" s="382">
        <f t="shared" si="1"/>
        <v>-0.4476752584125655</v>
      </c>
    </row>
  </sheetData>
  <mergeCells count="6">
    <mergeCell ref="A2:F2"/>
    <mergeCell ref="A3:A4"/>
    <mergeCell ref="B3:C3"/>
    <mergeCell ref="A13:F13"/>
    <mergeCell ref="A14:A15"/>
    <mergeCell ref="B14:C14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AS1134"/>
  <sheetViews>
    <sheetView workbookViewId="0"/>
  </sheetViews>
  <sheetFormatPr defaultColWidth="8.81640625" defaultRowHeight="14"/>
  <cols>
    <col min="1" max="1" width="38.7265625" style="483" customWidth="1"/>
    <col min="2" max="2" width="22.7265625" style="483" hidden="1" customWidth="1"/>
    <col min="3" max="3" width="23.453125" style="484" hidden="1" customWidth="1"/>
    <col min="4" max="4" width="21.7265625" style="484" hidden="1" customWidth="1" collapsed="1"/>
    <col min="5" max="5" width="20.81640625" style="484" hidden="1" customWidth="1"/>
    <col min="6" max="6" width="22.453125" style="688" hidden="1" customWidth="1"/>
    <col min="7" max="7" width="22" style="484" hidden="1" customWidth="1" collapsed="1"/>
    <col min="8" max="13" width="22" style="484" hidden="1" customWidth="1"/>
    <col min="14" max="15" width="21.453125" style="484" hidden="1" customWidth="1"/>
    <col min="16" max="16" width="21.26953125" style="484" hidden="1" customWidth="1"/>
    <col min="17" max="17" width="21.7265625" style="484" bestFit="1" customWidth="1"/>
    <col min="18" max="18" width="21.1796875" style="484" customWidth="1"/>
    <col min="19" max="19" width="22" style="484" customWidth="1"/>
    <col min="20" max="20" width="19.81640625" style="799" bestFit="1" customWidth="1"/>
    <col min="21" max="21" width="8.26953125" customWidth="1"/>
    <col min="22" max="22" width="20.81640625" style="484" customWidth="1"/>
    <col min="23" max="23" width="7.7265625" style="488" hidden="1" customWidth="1"/>
    <col min="24" max="24" width="22.81640625" style="1003" hidden="1" customWidth="1"/>
    <col min="25" max="25" width="21.453125" style="484" hidden="1" customWidth="1"/>
    <col min="26" max="26" width="8.453125" style="484" hidden="1" customWidth="1"/>
    <col min="27" max="27" width="23.1796875" style="484" hidden="1" customWidth="1"/>
    <col min="28" max="28" width="8" style="484" hidden="1" customWidth="1"/>
    <col min="29" max="29" width="23.1796875" style="484" hidden="1" customWidth="1"/>
    <col min="30" max="30" width="8.1796875" style="484" hidden="1" customWidth="1"/>
    <col min="31" max="31" width="24.7265625" style="484" hidden="1" customWidth="1"/>
    <col min="32" max="32" width="7" style="484" hidden="1" customWidth="1"/>
    <col min="33" max="33" width="9.1796875" style="484" hidden="1" customWidth="1"/>
    <col min="34" max="34" width="9.1796875" style="484" hidden="1" customWidth="1" collapsed="1"/>
    <col min="35" max="36" width="9.1796875" style="484" customWidth="1"/>
    <col min="37" max="37" width="17.26953125" style="484" customWidth="1"/>
    <col min="38" max="16384" width="8.81640625" style="489"/>
  </cols>
  <sheetData>
    <row r="1" spans="1:38">
      <c r="F1" s="485"/>
      <c r="G1" s="486"/>
      <c r="H1" s="486"/>
      <c r="I1" s="486"/>
      <c r="J1" s="486"/>
      <c r="K1" s="486"/>
      <c r="L1" s="486"/>
      <c r="M1" s="486"/>
      <c r="N1" s="486"/>
      <c r="O1" s="486"/>
      <c r="V1" s="487"/>
    </row>
    <row r="2" spans="1:38">
      <c r="A2" s="490" t="s">
        <v>1128</v>
      </c>
      <c r="B2" s="491" t="e">
        <v>#REF!</v>
      </c>
      <c r="C2" s="492"/>
      <c r="D2" s="493">
        <v>1520000000000</v>
      </c>
      <c r="E2" s="492">
        <f>E295</f>
        <v>450422130504.77185</v>
      </c>
      <c r="F2" s="492">
        <v>367613327916.30725</v>
      </c>
      <c r="G2" s="492">
        <f t="shared" ref="G2:Q2" si="0">G295</f>
        <v>367613327916.30725</v>
      </c>
      <c r="H2" s="492">
        <f t="shared" si="0"/>
        <v>367613327916.30725</v>
      </c>
      <c r="I2" s="492">
        <f t="shared" si="0"/>
        <v>367613327916.30725</v>
      </c>
      <c r="J2" s="492">
        <f t="shared" si="0"/>
        <v>367613327916.30725</v>
      </c>
      <c r="K2" s="492">
        <f t="shared" si="0"/>
        <v>367613327916.30725</v>
      </c>
      <c r="L2" s="492">
        <f t="shared" si="0"/>
        <v>367613327916.30725</v>
      </c>
      <c r="M2" s="492">
        <f t="shared" si="0"/>
        <v>367613327916.30725</v>
      </c>
      <c r="N2" s="492">
        <f t="shared" si="0"/>
        <v>367613327916.30725</v>
      </c>
      <c r="O2" s="492">
        <f t="shared" si="0"/>
        <v>367613327916.30725</v>
      </c>
      <c r="P2" s="492">
        <f t="shared" si="0"/>
        <v>367613327916.30725</v>
      </c>
      <c r="Q2" s="492">
        <f t="shared" si="0"/>
        <v>367613327916.30725</v>
      </c>
      <c r="R2" s="492">
        <f>R295</f>
        <v>367613327916.30725</v>
      </c>
      <c r="S2" s="492">
        <f>S295</f>
        <v>367613327916.30725</v>
      </c>
      <c r="T2" s="787"/>
      <c r="V2" s="492">
        <f>S2</f>
        <v>367613327916.30725</v>
      </c>
      <c r="W2" s="488">
        <f t="shared" ref="W2:W7" si="1">+V2/G2-1</f>
        <v>0</v>
      </c>
      <c r="X2" s="1003">
        <f t="shared" ref="X2:X12" si="2">+V2-G2</f>
        <v>0</v>
      </c>
      <c r="Y2" s="494">
        <f>Y295</f>
        <v>346377728058.15833</v>
      </c>
      <c r="Z2" s="488"/>
      <c r="AA2" s="494">
        <f>AA295</f>
        <v>346377728058.15833</v>
      </c>
      <c r="AB2" s="488"/>
      <c r="AC2" s="494">
        <f>AC295</f>
        <v>346377728058.15833</v>
      </c>
      <c r="AD2" s="488"/>
      <c r="AE2" s="494">
        <f>AE295</f>
        <v>346377728058.15833</v>
      </c>
      <c r="AF2" s="488"/>
      <c r="AG2" s="494"/>
    </row>
    <row r="3" spans="1:38">
      <c r="A3" s="490" t="s">
        <v>1129</v>
      </c>
      <c r="B3" s="491" t="e">
        <v>#REF!</v>
      </c>
      <c r="C3" s="492"/>
      <c r="D3" s="493">
        <v>1041670000000</v>
      </c>
      <c r="E3" s="492">
        <f>E333</f>
        <v>427605274618.90717</v>
      </c>
      <c r="F3" s="495">
        <v>445618867153.34119</v>
      </c>
      <c r="G3" s="492">
        <f t="shared" ref="G3:Q3" si="3">G333</f>
        <v>645818867153.34106</v>
      </c>
      <c r="H3" s="492">
        <f t="shared" si="3"/>
        <v>709818867153.34106</v>
      </c>
      <c r="I3" s="492">
        <f t="shared" si="3"/>
        <v>797818867153.34106</v>
      </c>
      <c r="J3" s="492">
        <f t="shared" si="3"/>
        <v>885818867153.34094</v>
      </c>
      <c r="K3" s="492">
        <f t="shared" si="3"/>
        <v>960485533820.00781</v>
      </c>
      <c r="L3" s="492">
        <f t="shared" si="3"/>
        <v>1043152200486.6746</v>
      </c>
      <c r="M3" s="492">
        <f t="shared" si="3"/>
        <v>1125818867153.3411</v>
      </c>
      <c r="N3" s="492">
        <f t="shared" si="3"/>
        <v>1192485533820.0081</v>
      </c>
      <c r="O3" s="492">
        <f t="shared" si="3"/>
        <v>1259152200486.6743</v>
      </c>
      <c r="P3" s="492">
        <f t="shared" si="3"/>
        <v>1325818867153.3413</v>
      </c>
      <c r="Q3" s="492">
        <f t="shared" si="3"/>
        <v>1365818867153.3413</v>
      </c>
      <c r="R3" s="492">
        <f>R333</f>
        <v>1405818867153.3413</v>
      </c>
      <c r="S3" s="492">
        <f>S333</f>
        <v>1445818867153.3413</v>
      </c>
      <c r="T3" s="787"/>
      <c r="V3" s="492">
        <f>+S3</f>
        <v>1445818867153.3413</v>
      </c>
      <c r="W3" s="488">
        <f t="shared" si="1"/>
        <v>1.238737424204194</v>
      </c>
      <c r="X3" s="1003">
        <f t="shared" si="2"/>
        <v>800000000000.00024</v>
      </c>
      <c r="Y3" s="494">
        <f>+Y333</f>
        <v>1078644469230.7302</v>
      </c>
      <c r="Z3" s="488"/>
      <c r="AA3" s="494">
        <f>+AA333</f>
        <v>1294373363076.876</v>
      </c>
      <c r="AB3" s="488"/>
      <c r="AC3" s="494">
        <f>+AC333</f>
        <v>1553248035692.2515</v>
      </c>
      <c r="AD3" s="488"/>
      <c r="AE3" s="494">
        <f>+AE333</f>
        <v>1863897642830.7021</v>
      </c>
      <c r="AF3" s="488"/>
      <c r="AG3" s="494"/>
    </row>
    <row r="4" spans="1:38">
      <c r="A4" s="490" t="s">
        <v>1130</v>
      </c>
      <c r="B4" s="491">
        <v>191510000000</v>
      </c>
      <c r="C4" s="492"/>
      <c r="D4" s="493">
        <v>2233030000000</v>
      </c>
      <c r="E4" s="492">
        <f>E372</f>
        <v>398026867819.64001</v>
      </c>
      <c r="F4" s="495">
        <v>447687597085.94965</v>
      </c>
      <c r="G4" s="492">
        <f t="shared" ref="G4:Q4" si="4">G372</f>
        <v>566830097085.94971</v>
      </c>
      <c r="H4" s="492">
        <f t="shared" si="4"/>
        <v>694430097085.94971</v>
      </c>
      <c r="I4" s="492">
        <f t="shared" si="4"/>
        <v>742280097085.94958</v>
      </c>
      <c r="J4" s="492">
        <f t="shared" si="4"/>
        <v>790130097085.94958</v>
      </c>
      <c r="K4" s="492">
        <f t="shared" si="4"/>
        <v>837980097085.94958</v>
      </c>
      <c r="L4" s="492">
        <f t="shared" si="4"/>
        <v>885830097085.94946</v>
      </c>
      <c r="M4" s="492">
        <f t="shared" si="4"/>
        <v>933680097085.94946</v>
      </c>
      <c r="N4" s="492">
        <f t="shared" si="4"/>
        <v>1051710097085.9495</v>
      </c>
      <c r="O4" s="845">
        <f t="shared" si="4"/>
        <v>1094775097085.9495</v>
      </c>
      <c r="P4" s="492">
        <f t="shared" si="4"/>
        <v>1133055097085.9495</v>
      </c>
      <c r="Q4" s="492">
        <f t="shared" si="4"/>
        <v>1156980097085.9495</v>
      </c>
      <c r="R4" s="492">
        <f>R372</f>
        <v>1180905097085.9495</v>
      </c>
      <c r="S4" s="492">
        <f>S372</f>
        <v>1204830097085.9495</v>
      </c>
      <c r="T4" s="787">
        <f>R4+R6</f>
        <v>2184064289952.0796</v>
      </c>
      <c r="V4" s="492">
        <f>S4</f>
        <v>1204830097085.9495</v>
      </c>
      <c r="W4" s="488">
        <f t="shared" si="1"/>
        <v>1.1255577346367662</v>
      </c>
      <c r="X4" s="1003">
        <f t="shared" si="2"/>
        <v>637999999999.99976</v>
      </c>
      <c r="Y4" s="494">
        <f>+Y372</f>
        <v>601825966133.46655</v>
      </c>
      <c r="Z4" s="488"/>
      <c r="AA4" s="494">
        <f>+AA372</f>
        <v>842556352586.85315</v>
      </c>
      <c r="AB4" s="488"/>
      <c r="AC4" s="494">
        <f>+AC372</f>
        <v>1263834528880.2793</v>
      </c>
      <c r="AD4" s="488"/>
      <c r="AE4" s="494">
        <f>+AE372</f>
        <v>1579793161100.3494</v>
      </c>
      <c r="AF4" s="488"/>
      <c r="AG4" s="494"/>
    </row>
    <row r="5" spans="1:38">
      <c r="A5" s="490" t="s">
        <v>1131</v>
      </c>
      <c r="B5" s="491"/>
      <c r="C5" s="492"/>
      <c r="D5" s="493"/>
      <c r="E5" s="492">
        <f>E411</f>
        <v>0</v>
      </c>
      <c r="F5" s="495">
        <v>417155348554.15997</v>
      </c>
      <c r="G5" s="492">
        <f t="shared" ref="G5:Q5" si="5">G411</f>
        <v>417155348554.15997</v>
      </c>
      <c r="H5" s="492">
        <f t="shared" si="5"/>
        <v>417155348554.15997</v>
      </c>
      <c r="I5" s="492">
        <f t="shared" si="5"/>
        <v>417155348554.15997</v>
      </c>
      <c r="J5" s="492">
        <f t="shared" si="5"/>
        <v>417155348554.15997</v>
      </c>
      <c r="K5" s="492">
        <f t="shared" si="5"/>
        <v>417155348554.15997</v>
      </c>
      <c r="L5" s="492">
        <f t="shared" si="5"/>
        <v>417155348554.15997</v>
      </c>
      <c r="M5" s="492">
        <f t="shared" si="5"/>
        <v>417155348554.15997</v>
      </c>
      <c r="N5" s="492">
        <f t="shared" si="5"/>
        <v>417155348554.15997</v>
      </c>
      <c r="O5" s="846">
        <f t="shared" si="5"/>
        <v>417155348554.15997</v>
      </c>
      <c r="P5" s="492">
        <f t="shared" si="5"/>
        <v>417155348554.15997</v>
      </c>
      <c r="Q5" s="492">
        <f t="shared" si="5"/>
        <v>417155348554.15997</v>
      </c>
      <c r="R5" s="492">
        <f>R411</f>
        <v>417155348554.15997</v>
      </c>
      <c r="S5" s="492">
        <f>S411</f>
        <v>417155348554.15997</v>
      </c>
      <c r="T5" s="787"/>
      <c r="V5" s="492">
        <f>S5</f>
        <v>417155348554.15997</v>
      </c>
      <c r="W5" s="488">
        <f t="shared" si="1"/>
        <v>0</v>
      </c>
      <c r="X5" s="1003">
        <f t="shared" si="2"/>
        <v>0</v>
      </c>
      <c r="Y5" s="494"/>
      <c r="Z5" s="488"/>
      <c r="AA5" s="494"/>
      <c r="AB5" s="488"/>
      <c r="AC5" s="494"/>
      <c r="AD5" s="488"/>
      <c r="AE5" s="494"/>
      <c r="AF5" s="488"/>
      <c r="AG5" s="494"/>
    </row>
    <row r="6" spans="1:38">
      <c r="A6" s="490" t="s">
        <v>1132</v>
      </c>
      <c r="B6" s="491">
        <v>0</v>
      </c>
      <c r="C6" s="492"/>
      <c r="D6" s="493">
        <v>267000000000</v>
      </c>
      <c r="E6" s="492">
        <f>E451</f>
        <v>30234236163.630001</v>
      </c>
      <c r="F6" s="495">
        <v>40284554432.299995</v>
      </c>
      <c r="G6" s="492">
        <f t="shared" ref="G6:Q6" si="6">G451</f>
        <v>82046692866.130066</v>
      </c>
      <c r="H6" s="492">
        <f t="shared" si="6"/>
        <v>153821692866.13007</v>
      </c>
      <c r="I6" s="492">
        <f t="shared" si="6"/>
        <v>225596692866.13007</v>
      </c>
      <c r="J6" s="492">
        <f t="shared" si="6"/>
        <v>336621692866.13007</v>
      </c>
      <c r="K6" s="492">
        <f t="shared" si="6"/>
        <v>408396692866.13007</v>
      </c>
      <c r="L6" s="492">
        <f t="shared" si="6"/>
        <v>480171692866.13007</v>
      </c>
      <c r="M6" s="492">
        <f t="shared" si="6"/>
        <v>551946692866.13013</v>
      </c>
      <c r="N6" s="492">
        <f t="shared" si="6"/>
        <v>711759192866.13013</v>
      </c>
      <c r="O6" s="845">
        <f t="shared" si="6"/>
        <v>771571692866.13013</v>
      </c>
      <c r="P6" s="492">
        <f t="shared" si="6"/>
        <v>831384192866.13013</v>
      </c>
      <c r="Q6" s="492">
        <f t="shared" si="6"/>
        <v>967271692866.13013</v>
      </c>
      <c r="R6" s="492">
        <f>R451</f>
        <v>1003159192866.1301</v>
      </c>
      <c r="S6" s="492">
        <f>S451</f>
        <v>1039046692866.13</v>
      </c>
      <c r="T6" s="787"/>
      <c r="V6" s="492">
        <f>S6</f>
        <v>1039046692866.13</v>
      </c>
      <c r="W6" s="488">
        <f t="shared" si="1"/>
        <v>11.664089880642367</v>
      </c>
      <c r="X6" s="1003">
        <f t="shared" si="2"/>
        <v>957000000000</v>
      </c>
      <c r="Y6" s="494" t="e">
        <f>+Y373</f>
        <v>#REF!</v>
      </c>
      <c r="Z6" s="488"/>
      <c r="AA6" s="494" t="e">
        <f>+AA373</f>
        <v>#REF!</v>
      </c>
      <c r="AB6" s="488"/>
      <c r="AC6" s="494" t="e">
        <f>+AC373</f>
        <v>#REF!</v>
      </c>
      <c r="AD6" s="488"/>
      <c r="AE6" s="494" t="e">
        <f>+AE373</f>
        <v>#REF!</v>
      </c>
      <c r="AF6" s="488"/>
      <c r="AG6" s="494"/>
    </row>
    <row r="7" spans="1:38">
      <c r="A7" s="490" t="s">
        <v>1133</v>
      </c>
      <c r="B7" s="491">
        <v>870000000</v>
      </c>
      <c r="C7" s="492"/>
      <c r="D7" s="496">
        <v>0</v>
      </c>
      <c r="E7" s="492">
        <f>E490</f>
        <v>1019873957904.9</v>
      </c>
      <c r="F7" s="495">
        <v>1021061307133.87</v>
      </c>
      <c r="G7" s="492">
        <f t="shared" ref="G7:Q7" si="7">G490</f>
        <v>856061307133.87</v>
      </c>
      <c r="H7" s="492">
        <f t="shared" si="7"/>
        <v>856061307133.87</v>
      </c>
      <c r="I7" s="492">
        <f t="shared" si="7"/>
        <v>856061307133.87</v>
      </c>
      <c r="J7" s="492">
        <f t="shared" si="7"/>
        <v>856061307133.87</v>
      </c>
      <c r="K7" s="492">
        <f t="shared" si="7"/>
        <v>856061307133.87</v>
      </c>
      <c r="L7" s="492">
        <f t="shared" si="7"/>
        <v>856061307133.87</v>
      </c>
      <c r="M7" s="492">
        <f t="shared" si="7"/>
        <v>856061307133.87</v>
      </c>
      <c r="N7" s="492">
        <f t="shared" si="7"/>
        <v>856061307133.87</v>
      </c>
      <c r="O7" s="846">
        <f t="shared" si="7"/>
        <v>856061307133.87</v>
      </c>
      <c r="P7" s="492">
        <f t="shared" si="7"/>
        <v>856061307133.87</v>
      </c>
      <c r="Q7" s="492">
        <f t="shared" si="7"/>
        <v>856061307133.87</v>
      </c>
      <c r="R7" s="492">
        <f>R490</f>
        <v>856061307133.87</v>
      </c>
      <c r="S7" s="492">
        <f>S490</f>
        <v>856061307133.87</v>
      </c>
      <c r="T7" s="787"/>
      <c r="V7" s="492">
        <f>S7</f>
        <v>856061307133.87</v>
      </c>
      <c r="W7" s="488">
        <f t="shared" si="1"/>
        <v>0</v>
      </c>
      <c r="X7" s="1003">
        <f t="shared" si="2"/>
        <v>0</v>
      </c>
      <c r="Y7" s="494" t="e">
        <f>+#REF!</f>
        <v>#REF!</v>
      </c>
      <c r="Z7" s="488"/>
      <c r="AA7" s="494" t="e">
        <f>+#REF!</f>
        <v>#REF!</v>
      </c>
      <c r="AB7" s="488"/>
      <c r="AC7" s="494" t="e">
        <f>+#REF!</f>
        <v>#REF!</v>
      </c>
      <c r="AD7" s="488"/>
      <c r="AE7" s="494" t="e">
        <f>+#REF!</f>
        <v>#REF!</v>
      </c>
      <c r="AF7" s="488"/>
      <c r="AG7" s="494"/>
    </row>
    <row r="8" spans="1:38">
      <c r="A8" s="490" t="s">
        <v>1134</v>
      </c>
      <c r="B8" s="491">
        <v>0</v>
      </c>
      <c r="C8" s="492"/>
      <c r="D8" s="496">
        <v>0</v>
      </c>
      <c r="E8" s="492">
        <v>0</v>
      </c>
      <c r="F8" s="495"/>
      <c r="G8" s="492"/>
      <c r="H8" s="492"/>
      <c r="I8" s="492"/>
      <c r="J8" s="492"/>
      <c r="K8" s="492"/>
      <c r="L8" s="492"/>
      <c r="M8" s="492"/>
      <c r="N8" s="492"/>
      <c r="O8" s="492"/>
      <c r="P8" s="492"/>
      <c r="Q8" s="492"/>
      <c r="R8" s="492"/>
      <c r="S8" s="492"/>
      <c r="T8" s="787"/>
      <c r="V8" s="492"/>
      <c r="X8" s="1003">
        <f t="shared" si="2"/>
        <v>0</v>
      </c>
      <c r="Y8" s="494" t="e">
        <f>#REF!</f>
        <v>#REF!</v>
      </c>
      <c r="Z8" s="488"/>
      <c r="AA8" s="494" t="e">
        <f>#REF!</f>
        <v>#REF!</v>
      </c>
      <c r="AB8" s="488"/>
      <c r="AC8" s="494" t="e">
        <f>#REF!</f>
        <v>#REF!</v>
      </c>
      <c r="AD8" s="488"/>
      <c r="AE8" s="494" t="e">
        <f>#REF!</f>
        <v>#REF!</v>
      </c>
      <c r="AF8" s="488"/>
      <c r="AG8" s="494"/>
    </row>
    <row r="9" spans="1:38">
      <c r="A9" s="490" t="s">
        <v>1135</v>
      </c>
      <c r="B9" s="491">
        <v>870000000</v>
      </c>
      <c r="C9" s="492"/>
      <c r="D9" s="493">
        <v>80216000000</v>
      </c>
      <c r="E9" s="497">
        <f>E529</f>
        <v>731715674.6099999</v>
      </c>
      <c r="F9" s="498">
        <v>728359631.99000001</v>
      </c>
      <c r="G9" s="492">
        <f t="shared" ref="G9:Q9" si="8">G529</f>
        <v>11463431349.219999</v>
      </c>
      <c r="H9" s="492">
        <f t="shared" si="8"/>
        <v>14663431349.219999</v>
      </c>
      <c r="I9" s="492">
        <f t="shared" si="8"/>
        <v>18863431349.219997</v>
      </c>
      <c r="J9" s="492">
        <f t="shared" si="8"/>
        <v>25063431349.219997</v>
      </c>
      <c r="K9" s="492">
        <f t="shared" si="8"/>
        <v>36463431349.220001</v>
      </c>
      <c r="L9" s="492">
        <f t="shared" si="8"/>
        <v>52563431349.220001</v>
      </c>
      <c r="M9" s="492">
        <f t="shared" si="8"/>
        <v>71663431349.220001</v>
      </c>
      <c r="N9" s="492">
        <f t="shared" si="8"/>
        <v>115763431349.22</v>
      </c>
      <c r="O9" s="844">
        <f t="shared" si="8"/>
        <v>135463431349.22</v>
      </c>
      <c r="P9" s="492">
        <f t="shared" si="8"/>
        <v>155163431349.22</v>
      </c>
      <c r="Q9" s="492">
        <f t="shared" si="8"/>
        <v>174863431349.22</v>
      </c>
      <c r="R9" s="492">
        <f>R529</f>
        <v>194563431349.22</v>
      </c>
      <c r="S9" s="492">
        <f>S529</f>
        <v>214263431349.22</v>
      </c>
      <c r="T9" s="787">
        <f>R9+R10</f>
        <v>397371901769.22998</v>
      </c>
      <c r="V9" s="492">
        <f>S9</f>
        <v>214263431349.22</v>
      </c>
      <c r="W9" s="488">
        <f t="shared" ref="W9:W15" si="9">+V9/G9-1</f>
        <v>17.69103803406988</v>
      </c>
      <c r="X9" s="1003">
        <f t="shared" si="2"/>
        <v>202800000000</v>
      </c>
      <c r="Y9" s="494" t="e">
        <f>#REF!</f>
        <v>#REF!</v>
      </c>
      <c r="Z9" s="488"/>
      <c r="AA9" s="494" t="e">
        <f>#REF!</f>
        <v>#REF!</v>
      </c>
      <c r="AB9" s="488"/>
      <c r="AC9" s="494" t="e">
        <f>#REF!</f>
        <v>#REF!</v>
      </c>
      <c r="AD9" s="488"/>
      <c r="AE9" s="494" t="e">
        <f>#REF!</f>
        <v>#REF!</v>
      </c>
      <c r="AF9" s="488"/>
      <c r="AG9" s="494"/>
    </row>
    <row r="10" spans="1:38">
      <c r="A10" s="490" t="s">
        <v>1136</v>
      </c>
      <c r="B10" s="491">
        <v>2040000000</v>
      </c>
      <c r="C10" s="492"/>
      <c r="E10" s="497">
        <f>E569</f>
        <v>94936165524.303696</v>
      </c>
      <c r="F10" s="498">
        <v>114808470420.23</v>
      </c>
      <c r="G10" s="492">
        <f t="shared" ref="G10:Q10" si="10">G569</f>
        <v>114808470420.01001</v>
      </c>
      <c r="H10" s="492">
        <f t="shared" si="10"/>
        <v>122808470420.01001</v>
      </c>
      <c r="I10" s="492">
        <f t="shared" si="10"/>
        <v>130808470420.01001</v>
      </c>
      <c r="J10" s="492">
        <f t="shared" si="10"/>
        <v>138808470420.01001</v>
      </c>
      <c r="K10" s="492">
        <f t="shared" si="10"/>
        <v>146808470420.01001</v>
      </c>
      <c r="L10" s="492">
        <f t="shared" si="10"/>
        <v>154808470420.01001</v>
      </c>
      <c r="M10" s="492">
        <f t="shared" si="10"/>
        <v>162808470420.01001</v>
      </c>
      <c r="N10" s="492">
        <f t="shared" si="10"/>
        <v>170808470420.01001</v>
      </c>
      <c r="O10" s="844">
        <f t="shared" si="10"/>
        <v>178808470420.01001</v>
      </c>
      <c r="P10" s="492">
        <f t="shared" si="10"/>
        <v>186808470420.01001</v>
      </c>
      <c r="Q10" s="492">
        <f t="shared" si="10"/>
        <v>194808470420.01001</v>
      </c>
      <c r="R10" s="492">
        <f>R569</f>
        <v>202808470420.01001</v>
      </c>
      <c r="S10" s="492">
        <f>S569</f>
        <v>210808470420.01001</v>
      </c>
      <c r="T10" s="787"/>
      <c r="V10" s="492">
        <f>S10</f>
        <v>210808470420.01001</v>
      </c>
      <c r="W10" s="488">
        <f t="shared" si="9"/>
        <v>0.8361752373217588</v>
      </c>
      <c r="X10" s="1003">
        <f t="shared" si="2"/>
        <v>96000000000</v>
      </c>
      <c r="Y10" s="494" t="e">
        <f>Y531</f>
        <v>#REF!</v>
      </c>
      <c r="Z10" s="488"/>
      <c r="AA10" s="494" t="e">
        <f>AA531</f>
        <v>#REF!</v>
      </c>
      <c r="AB10" s="488"/>
      <c r="AC10" s="494" t="e">
        <f>AC531</f>
        <v>#REF!</v>
      </c>
      <c r="AD10" s="488"/>
      <c r="AE10" s="494" t="e">
        <f>AE531</f>
        <v>#REF!</v>
      </c>
      <c r="AF10" s="488"/>
      <c r="AG10" s="494"/>
    </row>
    <row r="11" spans="1:38">
      <c r="A11" s="490" t="s">
        <v>1137</v>
      </c>
      <c r="B11" s="491">
        <v>2040000000</v>
      </c>
      <c r="C11" s="492"/>
      <c r="D11" s="493">
        <v>23537000000</v>
      </c>
      <c r="E11" s="492">
        <f>E608</f>
        <v>0</v>
      </c>
      <c r="F11" s="495">
        <v>0</v>
      </c>
      <c r="G11" s="492">
        <f t="shared" ref="G11:Q11" si="11">G608</f>
        <v>200000000</v>
      </c>
      <c r="H11" s="492">
        <f t="shared" si="11"/>
        <v>1635000000</v>
      </c>
      <c r="I11" s="492">
        <f t="shared" si="11"/>
        <v>3070000000</v>
      </c>
      <c r="J11" s="492">
        <f t="shared" si="11"/>
        <v>4505000000</v>
      </c>
      <c r="K11" s="492">
        <f t="shared" si="11"/>
        <v>5940000000</v>
      </c>
      <c r="L11" s="492">
        <f t="shared" si="11"/>
        <v>7375000000</v>
      </c>
      <c r="M11" s="492">
        <f t="shared" si="11"/>
        <v>8810000000</v>
      </c>
      <c r="N11" s="492">
        <f t="shared" si="11"/>
        <v>10245000000</v>
      </c>
      <c r="O11" s="844">
        <f t="shared" si="11"/>
        <v>11680000000</v>
      </c>
      <c r="P11" s="492">
        <f t="shared" si="11"/>
        <v>13115000000</v>
      </c>
      <c r="Q11" s="492">
        <f t="shared" si="11"/>
        <v>14550000000</v>
      </c>
      <c r="R11" s="492">
        <f>R608</f>
        <v>15985000000</v>
      </c>
      <c r="S11" s="492">
        <f>S608</f>
        <v>17420000000</v>
      </c>
      <c r="T11" s="787">
        <f>R11+R12+R5+R7+R14</f>
        <v>1740142054814.1814</v>
      </c>
      <c r="V11" s="492">
        <f>S11</f>
        <v>17420000000</v>
      </c>
      <c r="W11" s="488">
        <f t="shared" si="9"/>
        <v>86.1</v>
      </c>
      <c r="X11" s="1003">
        <f t="shared" si="2"/>
        <v>17220000000</v>
      </c>
      <c r="Y11" s="494" t="e">
        <f>#REF!</f>
        <v>#REF!</v>
      </c>
      <c r="Z11" s="488"/>
      <c r="AA11" s="494" t="e">
        <f>#REF!</f>
        <v>#REF!</v>
      </c>
      <c r="AB11" s="488"/>
      <c r="AC11" s="494" t="e">
        <f>#REF!</f>
        <v>#REF!</v>
      </c>
      <c r="AD11" s="488"/>
      <c r="AE11" s="494" t="e">
        <f>#REF!</f>
        <v>#REF!</v>
      </c>
      <c r="AF11" s="488"/>
      <c r="AG11" s="494"/>
    </row>
    <row r="12" spans="1:38">
      <c r="A12" s="490" t="s">
        <v>1138</v>
      </c>
      <c r="B12" s="491">
        <v>413900000000</v>
      </c>
      <c r="C12" s="492"/>
      <c r="D12" s="493">
        <v>415730000000</v>
      </c>
      <c r="E12" s="492">
        <f>E647-E14</f>
        <v>403717586722.30225</v>
      </c>
      <c r="F12" s="495">
        <f>F13-SUM(F2:F11)</f>
        <v>381077577049.85156</v>
      </c>
      <c r="G12" s="492">
        <f>F12</f>
        <v>381077577049.85156</v>
      </c>
      <c r="H12" s="492">
        <f t="shared" ref="H12:Q12" si="12">G12</f>
        <v>381077577049.85156</v>
      </c>
      <c r="I12" s="492">
        <f t="shared" si="12"/>
        <v>381077577049.85156</v>
      </c>
      <c r="J12" s="492">
        <f t="shared" si="12"/>
        <v>381077577049.85156</v>
      </c>
      <c r="K12" s="492">
        <f t="shared" si="12"/>
        <v>381077577049.85156</v>
      </c>
      <c r="L12" s="492">
        <f t="shared" si="12"/>
        <v>381077577049.85156</v>
      </c>
      <c r="M12" s="492">
        <f t="shared" si="12"/>
        <v>381077577049.85156</v>
      </c>
      <c r="N12" s="492">
        <f>M12</f>
        <v>381077577049.85156</v>
      </c>
      <c r="O12" s="846">
        <f>N12</f>
        <v>381077577049.85156</v>
      </c>
      <c r="P12" s="492">
        <f>O12</f>
        <v>381077577049.85156</v>
      </c>
      <c r="Q12" s="492">
        <f t="shared" si="12"/>
        <v>381077577049.85156</v>
      </c>
      <c r="R12" s="492">
        <f>Q12</f>
        <v>381077577049.85156</v>
      </c>
      <c r="S12" s="492">
        <f>R12</f>
        <v>381077577049.85156</v>
      </c>
      <c r="T12" s="787"/>
      <c r="V12" s="492">
        <f>S12</f>
        <v>381077577049.85156</v>
      </c>
      <c r="W12" s="488">
        <f t="shared" si="9"/>
        <v>0</v>
      </c>
      <c r="X12" s="1003">
        <f t="shared" si="2"/>
        <v>0</v>
      </c>
      <c r="Y12" s="494" t="e">
        <f>#REF!</f>
        <v>#REF!</v>
      </c>
      <c r="Z12" s="488"/>
      <c r="AA12" s="494" t="e">
        <f>#REF!</f>
        <v>#REF!</v>
      </c>
      <c r="AB12" s="488"/>
      <c r="AC12" s="494" t="e">
        <f>#REF!</f>
        <v>#REF!</v>
      </c>
      <c r="AD12" s="488"/>
      <c r="AE12" s="494" t="e">
        <f>#REF!</f>
        <v>#REF!</v>
      </c>
      <c r="AF12" s="488"/>
      <c r="AG12" s="494"/>
    </row>
    <row r="13" spans="1:38">
      <c r="A13" s="499" t="s">
        <v>1139</v>
      </c>
      <c r="B13" s="491" t="e">
        <f>SUM(B2:B12)</f>
        <v>#REF!</v>
      </c>
      <c r="C13" s="492"/>
      <c r="D13" s="500">
        <f>SUM(D2:D12)</f>
        <v>5581183000000</v>
      </c>
      <c r="E13" s="500">
        <f>SUM(E2:E12)</f>
        <v>2825547934933.0645</v>
      </c>
      <c r="F13" s="500">
        <f>3236035409378</f>
        <v>3236035409378</v>
      </c>
      <c r="G13" s="500">
        <f>SUM(G2:G12)</f>
        <v>3443075119528.8398</v>
      </c>
      <c r="H13" s="500">
        <f>SUM(H2:H12)</f>
        <v>3719085119528.8398</v>
      </c>
      <c r="I13" s="500">
        <f t="shared" ref="I13:Q13" si="13">SUM(I2:I12)</f>
        <v>3940345119528.8398</v>
      </c>
      <c r="J13" s="500">
        <f t="shared" si="13"/>
        <v>4202855119528.8398</v>
      </c>
      <c r="K13" s="500">
        <f t="shared" si="13"/>
        <v>4417981786195.5068</v>
      </c>
      <c r="L13" s="500">
        <f t="shared" si="13"/>
        <v>4645808452862.1738</v>
      </c>
      <c r="M13" s="500">
        <f t="shared" si="13"/>
        <v>4876635119528.8398</v>
      </c>
      <c r="N13" s="500">
        <f t="shared" si="13"/>
        <v>5274679286195.5059</v>
      </c>
      <c r="O13" s="500">
        <f t="shared" si="13"/>
        <v>5473358452862.1719</v>
      </c>
      <c r="P13" s="492">
        <f t="shared" si="13"/>
        <v>5667252619528.8389</v>
      </c>
      <c r="Q13" s="500">
        <f t="shared" si="13"/>
        <v>5896200119528.8389</v>
      </c>
      <c r="R13" s="500">
        <f>SUM(R2:R12)</f>
        <v>6025147619528.8389</v>
      </c>
      <c r="S13" s="500">
        <f>SUM(S2:S12)</f>
        <v>6154095119528.8389</v>
      </c>
      <c r="T13" s="787"/>
      <c r="V13" s="500">
        <f>SUM(V2:V12)</f>
        <v>6154095119528.8389</v>
      </c>
      <c r="W13" s="488">
        <f t="shared" si="9"/>
        <v>0.78738334363468154</v>
      </c>
      <c r="X13" s="1004">
        <f>SUM(X2:X12)</f>
        <v>2711020000000</v>
      </c>
      <c r="Y13" s="500" t="e">
        <f>SUM(Y2:Y12)</f>
        <v>#REF!</v>
      </c>
      <c r="Z13" s="488"/>
      <c r="AA13" s="500" t="e">
        <f>SUM(AA2:AA12)</f>
        <v>#REF!</v>
      </c>
      <c r="AB13" s="488"/>
      <c r="AC13" s="500" t="e">
        <f>SUM(AC2:AC12)</f>
        <v>#REF!</v>
      </c>
      <c r="AD13" s="488"/>
      <c r="AE13" s="500" t="e">
        <f>SUM(AE2:AE12)</f>
        <v>#REF!</v>
      </c>
      <c r="AF13" s="488"/>
      <c r="AG13" s="500"/>
    </row>
    <row r="14" spans="1:38">
      <c r="A14" s="499" t="s">
        <v>1140</v>
      </c>
      <c r="B14" s="491">
        <v>33689999999.999996</v>
      </c>
      <c r="C14" s="492"/>
      <c r="D14" s="493">
        <v>80000000000</v>
      </c>
      <c r="E14" s="492">
        <f>SUM(E627:E629)</f>
        <v>69204228496.672806</v>
      </c>
      <c r="F14" s="501">
        <v>69562406682.730011</v>
      </c>
      <c r="G14" s="492">
        <f t="shared" ref="G14:Q14" si="14">SUM(G627:G629)</f>
        <v>69862822076.300003</v>
      </c>
      <c r="H14" s="492">
        <f t="shared" si="14"/>
        <v>69862822076.300003</v>
      </c>
      <c r="I14" s="492">
        <f t="shared" si="14"/>
        <v>69862822076.300003</v>
      </c>
      <c r="J14" s="492">
        <f t="shared" si="14"/>
        <v>69862822076.300003</v>
      </c>
      <c r="K14" s="492">
        <f t="shared" si="14"/>
        <v>69862822076.300003</v>
      </c>
      <c r="L14" s="492">
        <f t="shared" si="14"/>
        <v>69862822076.300003</v>
      </c>
      <c r="M14" s="492">
        <f t="shared" si="14"/>
        <v>69862822076.300003</v>
      </c>
      <c r="N14" s="492">
        <f t="shared" si="14"/>
        <v>69862822076.300003</v>
      </c>
      <c r="O14" s="492">
        <f t="shared" si="14"/>
        <v>69862822076.300003</v>
      </c>
      <c r="P14" s="492">
        <f t="shared" si="14"/>
        <v>69862822076.300003</v>
      </c>
      <c r="Q14" s="492">
        <f t="shared" si="14"/>
        <v>69862822076.300003</v>
      </c>
      <c r="R14" s="492">
        <f>SUM(R627:R629)</f>
        <v>69862822076.300003</v>
      </c>
      <c r="S14" s="492">
        <f>SUM(S627:S629)</f>
        <v>69862822076.300003</v>
      </c>
      <c r="T14" s="787"/>
      <c r="V14" s="492">
        <f>S14</f>
        <v>69862822076.300003</v>
      </c>
      <c r="W14" s="488">
        <f t="shared" si="9"/>
        <v>0</v>
      </c>
      <c r="Y14" s="488"/>
      <c r="Z14" s="488"/>
      <c r="AA14" s="488"/>
      <c r="AB14" s="488"/>
      <c r="AC14" s="488"/>
      <c r="AD14" s="488"/>
      <c r="AE14" s="488"/>
      <c r="AF14" s="488"/>
      <c r="AG14" s="488"/>
    </row>
    <row r="15" spans="1:38">
      <c r="A15" s="483" t="s">
        <v>1141</v>
      </c>
      <c r="B15" s="491">
        <v>2182497000000</v>
      </c>
      <c r="C15" s="488"/>
      <c r="D15" s="491">
        <f>+D14+D13</f>
        <v>5661183000000</v>
      </c>
      <c r="E15" s="491">
        <f>+E14+E13</f>
        <v>2894752163429.7373</v>
      </c>
      <c r="F15" s="491">
        <f>+F13+F14</f>
        <v>3305597816060.73</v>
      </c>
      <c r="G15" s="492">
        <f t="shared" ref="G15:V15" si="15">+G13+G14</f>
        <v>3512937941605.1396</v>
      </c>
      <c r="H15" s="492">
        <f t="shared" si="15"/>
        <v>3788947941605.1396</v>
      </c>
      <c r="I15" s="492">
        <f t="shared" si="15"/>
        <v>4010207941605.1396</v>
      </c>
      <c r="J15" s="492">
        <f t="shared" si="15"/>
        <v>4272717941605.1396</v>
      </c>
      <c r="K15" s="492">
        <f t="shared" si="15"/>
        <v>4487844608271.8066</v>
      </c>
      <c r="L15" s="492">
        <f t="shared" si="15"/>
        <v>4715671274938.4736</v>
      </c>
      <c r="M15" s="492">
        <f t="shared" si="15"/>
        <v>4946497941605.1396</v>
      </c>
      <c r="N15" s="492">
        <f t="shared" si="15"/>
        <v>5344542108271.8057</v>
      </c>
      <c r="O15" s="492">
        <f t="shared" si="15"/>
        <v>5543221274938.4717</v>
      </c>
      <c r="P15" s="492">
        <f>+P13+P14</f>
        <v>5737115441605.1387</v>
      </c>
      <c r="Q15" s="492">
        <f t="shared" si="15"/>
        <v>5966062941605.1387</v>
      </c>
      <c r="R15" s="492">
        <f>+R13+R14</f>
        <v>6095010441605.1387</v>
      </c>
      <c r="S15" s="492">
        <f>+S13+S14</f>
        <v>6223957941605.1387</v>
      </c>
      <c r="T15" s="787"/>
      <c r="V15" s="492">
        <f t="shared" si="15"/>
        <v>6223957941605.1387</v>
      </c>
      <c r="W15" s="488">
        <f t="shared" si="9"/>
        <v>0.77172442128632457</v>
      </c>
      <c r="Y15" s="488"/>
      <c r="Z15" s="488"/>
      <c r="AA15" s="488"/>
      <c r="AB15" s="488"/>
      <c r="AC15" s="488"/>
      <c r="AD15" s="488"/>
      <c r="AE15" s="488"/>
      <c r="AF15" s="488"/>
      <c r="AG15" s="488"/>
      <c r="AL15" s="484"/>
    </row>
    <row r="16" spans="1:38">
      <c r="A16" s="502" t="s">
        <v>1142</v>
      </c>
      <c r="E16" s="503"/>
      <c r="F16" s="485"/>
      <c r="G16" s="486"/>
      <c r="H16" s="487">
        <f>+H15-G15</f>
        <v>276010000000</v>
      </c>
      <c r="I16" s="487">
        <f t="shared" ref="I16:Q16" si="16">+I15-H15</f>
        <v>221260000000</v>
      </c>
      <c r="J16" s="487">
        <f t="shared" si="16"/>
        <v>262510000000</v>
      </c>
      <c r="K16" s="487">
        <f t="shared" si="16"/>
        <v>215126666666.66699</v>
      </c>
      <c r="L16" s="487">
        <f t="shared" si="16"/>
        <v>227826666666.66699</v>
      </c>
      <c r="M16" s="487">
        <f t="shared" si="16"/>
        <v>230826666666.66602</v>
      </c>
      <c r="N16" s="487">
        <f>+N15-M15</f>
        <v>398044166666.66602</v>
      </c>
      <c r="O16" s="487">
        <f>+O15-N15</f>
        <v>198679166666.66602</v>
      </c>
      <c r="P16" s="487">
        <f>+P15-O15</f>
        <v>193894166666.66699</v>
      </c>
      <c r="Q16" s="487">
        <f t="shared" si="16"/>
        <v>228947500000</v>
      </c>
      <c r="R16" s="487">
        <f>+R15-Q15</f>
        <v>128947500000</v>
      </c>
      <c r="S16" s="487">
        <f>+S15-R15</f>
        <v>128947500000</v>
      </c>
      <c r="T16" s="788"/>
      <c r="V16" s="487">
        <f>V15-G15</f>
        <v>2711019999999.999</v>
      </c>
      <c r="Y16" s="504">
        <v>0.2</v>
      </c>
      <c r="Z16" s="488"/>
      <c r="AA16" s="505">
        <v>0.4</v>
      </c>
      <c r="AB16" s="505"/>
      <c r="AC16" s="505">
        <v>0.5</v>
      </c>
      <c r="AD16" s="505"/>
      <c r="AE16" s="505">
        <v>0.25</v>
      </c>
      <c r="AF16" s="505"/>
      <c r="AG16" s="505"/>
    </row>
    <row r="17" spans="1:38" hidden="1">
      <c r="A17" s="490" t="s">
        <v>1143</v>
      </c>
      <c r="B17" s="491"/>
      <c r="C17" s="492"/>
      <c r="D17" s="493">
        <v>21234955263.077068</v>
      </c>
      <c r="E17" s="506">
        <f>E739</f>
        <v>240289394.80708334</v>
      </c>
      <c r="F17" s="507">
        <v>7695648647.1995792</v>
      </c>
      <c r="G17" s="492">
        <f>G739</f>
        <v>516307147.28495723</v>
      </c>
      <c r="H17" s="492">
        <f t="shared" ref="H17:Q17" si="17">H739</f>
        <v>336834469.16349483</v>
      </c>
      <c r="I17" s="492">
        <f t="shared" si="17"/>
        <v>552035504.95574772</v>
      </c>
      <c r="J17" s="492">
        <f>J739</f>
        <v>552035504.95574772</v>
      </c>
      <c r="K17" s="492">
        <f t="shared" si="17"/>
        <v>552035504.95574772</v>
      </c>
      <c r="L17" s="492">
        <f t="shared" si="17"/>
        <v>552035504.95574772</v>
      </c>
      <c r="M17" s="492">
        <f t="shared" si="17"/>
        <v>552035504.95574772</v>
      </c>
      <c r="N17" s="492">
        <f t="shared" si="17"/>
        <v>552035504.95574772</v>
      </c>
      <c r="O17" s="492">
        <f t="shared" si="17"/>
        <v>552035504.95574772</v>
      </c>
      <c r="P17" s="492">
        <f t="shared" si="17"/>
        <v>552035504.95574772</v>
      </c>
      <c r="Q17" s="492">
        <f t="shared" si="17"/>
        <v>552035504.95574772</v>
      </c>
      <c r="R17" s="492">
        <f>R739</f>
        <v>552035504.95574772</v>
      </c>
      <c r="S17" s="492">
        <f>S739</f>
        <v>552035504.95574772</v>
      </c>
      <c r="T17" s="787"/>
      <c r="V17" s="492">
        <f t="shared" ref="V17:V27" si="18">SUM(H17:U17)</f>
        <v>6409225023.6767187</v>
      </c>
      <c r="Y17" s="494">
        <f>Y306</f>
        <v>0</v>
      </c>
      <c r="Z17" s="488"/>
      <c r="AA17" s="494">
        <f>AA306</f>
        <v>0</v>
      </c>
      <c r="AB17" s="488"/>
      <c r="AC17" s="494">
        <f>AC306</f>
        <v>0</v>
      </c>
      <c r="AD17" s="488"/>
      <c r="AE17" s="494">
        <f>AE306</f>
        <v>0</v>
      </c>
      <c r="AF17" s="488"/>
      <c r="AG17" s="494"/>
    </row>
    <row r="18" spans="1:38" hidden="1">
      <c r="A18" s="490" t="s">
        <v>1144</v>
      </c>
      <c r="B18" s="491"/>
      <c r="C18" s="492"/>
      <c r="D18" s="493">
        <v>8379029744.5919809</v>
      </c>
      <c r="E18" s="506">
        <f>E779</f>
        <v>133691128.02724002</v>
      </c>
      <c r="F18" s="507">
        <v>1459983561.6438363</v>
      </c>
      <c r="G18" s="492">
        <f>G779</f>
        <v>566743796.75471437</v>
      </c>
      <c r="H18" s="492">
        <f t="shared" ref="H18:Q18" si="19">H779</f>
        <v>746802575.991961</v>
      </c>
      <c r="I18" s="492">
        <f t="shared" si="19"/>
        <v>849521325.99196076</v>
      </c>
      <c r="J18" s="492">
        <f t="shared" si="19"/>
        <v>968458825.99196064</v>
      </c>
      <c r="K18" s="492">
        <f t="shared" si="19"/>
        <v>1078385909.325294</v>
      </c>
      <c r="L18" s="492">
        <f t="shared" si="19"/>
        <v>1184708825.9919605</v>
      </c>
      <c r="M18" s="492">
        <f t="shared" si="19"/>
        <v>1296437992.6586273</v>
      </c>
      <c r="N18" s="492">
        <f t="shared" si="19"/>
        <v>1397354659.3252938</v>
      </c>
      <c r="O18" s="492">
        <f t="shared" si="19"/>
        <v>1487458825.9919605</v>
      </c>
      <c r="P18" s="492">
        <f t="shared" si="19"/>
        <v>1577562992.6586268</v>
      </c>
      <c r="Q18" s="492">
        <f t="shared" si="19"/>
        <v>1649646325.9919605</v>
      </c>
      <c r="R18" s="492">
        <f>R779</f>
        <v>1703708825.9919603</v>
      </c>
      <c r="S18" s="492">
        <f>S779</f>
        <v>1757771325.9919603</v>
      </c>
      <c r="T18" s="787"/>
      <c r="V18" s="492">
        <f t="shared" si="18"/>
        <v>15697818411.903526</v>
      </c>
      <c r="Y18" s="494">
        <f>+Y344</f>
        <v>0</v>
      </c>
      <c r="Z18" s="488"/>
      <c r="AA18" s="494">
        <f>+AA344</f>
        <v>0</v>
      </c>
      <c r="AB18" s="488"/>
      <c r="AC18" s="494">
        <f>+AC344</f>
        <v>0</v>
      </c>
      <c r="AD18" s="488"/>
      <c r="AE18" s="494">
        <f>+AE344</f>
        <v>0</v>
      </c>
      <c r="AF18" s="488"/>
      <c r="AG18" s="494"/>
    </row>
    <row r="19" spans="1:38" hidden="1">
      <c r="A19" s="490" t="s">
        <v>1145</v>
      </c>
      <c r="B19" s="491"/>
      <c r="C19" s="492"/>
      <c r="D19" s="493">
        <v>8140564031.1991701</v>
      </c>
      <c r="E19" s="506">
        <f>E818</f>
        <v>109815687.57546356</v>
      </c>
      <c r="F19" s="507">
        <v>1467175528</v>
      </c>
      <c r="G19" s="492">
        <f>G818</f>
        <v>299707109.41366225</v>
      </c>
      <c r="H19" s="492">
        <f t="shared" ref="H19:Q19" si="20">H818</f>
        <v>414700052.00973046</v>
      </c>
      <c r="I19" s="492">
        <f t="shared" si="20"/>
        <v>479550093.67639714</v>
      </c>
      <c r="J19" s="492">
        <f t="shared" si="20"/>
        <v>539415760.34306383</v>
      </c>
      <c r="K19" s="492">
        <f t="shared" si="20"/>
        <v>599281427.00973046</v>
      </c>
      <c r="L19" s="492">
        <f t="shared" si="20"/>
        <v>659147093.6763972</v>
      </c>
      <c r="M19" s="492">
        <f t="shared" si="20"/>
        <v>719012760.34306383</v>
      </c>
      <c r="N19" s="492">
        <f t="shared" si="20"/>
        <v>777876235.34306383</v>
      </c>
      <c r="O19" s="492">
        <f t="shared" si="20"/>
        <v>833746427.00973046</v>
      </c>
      <c r="P19" s="492">
        <f t="shared" si="20"/>
        <v>884632243.67639709</v>
      </c>
      <c r="Q19" s="492">
        <f t="shared" si="20"/>
        <v>923544927.00973046</v>
      </c>
      <c r="R19" s="492">
        <f>R818</f>
        <v>953477760.34306371</v>
      </c>
      <c r="S19" s="492">
        <f>S818</f>
        <v>983410593.6763972</v>
      </c>
      <c r="T19" s="787"/>
      <c r="V19" s="492">
        <f t="shared" si="18"/>
        <v>8767795374.116766</v>
      </c>
      <c r="Y19" s="494" t="e">
        <f>+#REF!</f>
        <v>#REF!</v>
      </c>
      <c r="Z19" s="488"/>
      <c r="AA19" s="494" t="e">
        <f>+#REF!</f>
        <v>#REF!</v>
      </c>
      <c r="AB19" s="488"/>
      <c r="AC19" s="494" t="e">
        <f>+#REF!</f>
        <v>#REF!</v>
      </c>
      <c r="AD19" s="488"/>
      <c r="AE19" s="494" t="e">
        <f>+#REF!</f>
        <v>#REF!</v>
      </c>
      <c r="AF19" s="488"/>
      <c r="AG19" s="494"/>
    </row>
    <row r="20" spans="1:38" hidden="1">
      <c r="A20" s="490" t="s">
        <v>1131</v>
      </c>
      <c r="B20" s="491"/>
      <c r="C20" s="492"/>
      <c r="D20" s="493">
        <v>1449160227.2727273</v>
      </c>
      <c r="E20" s="506">
        <f>E857</f>
        <v>0</v>
      </c>
      <c r="F20" s="507">
        <v>0</v>
      </c>
      <c r="G20" s="492">
        <f>G857</f>
        <v>142180447.96554285</v>
      </c>
      <c r="H20" s="492">
        <f t="shared" ref="H20:Q20" si="21">H857</f>
        <v>284360895.93108571</v>
      </c>
      <c r="I20" s="492">
        <f t="shared" si="21"/>
        <v>284360895.93108571</v>
      </c>
      <c r="J20" s="492">
        <f t="shared" si="21"/>
        <v>284360895.93108571</v>
      </c>
      <c r="K20" s="492">
        <f t="shared" si="21"/>
        <v>284360895.93108571</v>
      </c>
      <c r="L20" s="492">
        <f t="shared" si="21"/>
        <v>284360895.93108571</v>
      </c>
      <c r="M20" s="492">
        <f t="shared" si="21"/>
        <v>284360895.93108571</v>
      </c>
      <c r="N20" s="492">
        <f t="shared" si="21"/>
        <v>284360895.93108571</v>
      </c>
      <c r="O20" s="492">
        <f t="shared" si="21"/>
        <v>284360895.93108571</v>
      </c>
      <c r="P20" s="492">
        <f t="shared" si="21"/>
        <v>284360895.93108571</v>
      </c>
      <c r="Q20" s="492">
        <f t="shared" si="21"/>
        <v>284360895.93108571</v>
      </c>
      <c r="R20" s="492">
        <f>R857</f>
        <v>284360895.93108571</v>
      </c>
      <c r="S20" s="492">
        <f>S857</f>
        <v>284360895.93108571</v>
      </c>
      <c r="T20" s="787"/>
      <c r="V20" s="508">
        <f t="shared" si="18"/>
        <v>3412330751.1730275</v>
      </c>
      <c r="Y20" s="494" t="e">
        <f>#REF!</f>
        <v>#REF!</v>
      </c>
      <c r="Z20" s="488"/>
      <c r="AA20" s="494" t="e">
        <f>#REF!</f>
        <v>#REF!</v>
      </c>
      <c r="AB20" s="488"/>
      <c r="AC20" s="494" t="e">
        <f>#REF!</f>
        <v>#REF!</v>
      </c>
      <c r="AD20" s="488"/>
      <c r="AE20" s="494" t="e">
        <f>#REF!</f>
        <v>#REF!</v>
      </c>
      <c r="AF20" s="488"/>
      <c r="AG20" s="494"/>
    </row>
    <row r="21" spans="1:38" hidden="1">
      <c r="A21" s="490" t="s">
        <v>1132</v>
      </c>
      <c r="B21" s="491"/>
      <c r="C21" s="492"/>
      <c r="D21" s="493">
        <v>0</v>
      </c>
      <c r="E21" s="506">
        <f>E896</f>
        <v>8188438.9609831246</v>
      </c>
      <c r="F21" s="507">
        <v>228059984</v>
      </c>
      <c r="G21" s="492">
        <f>G896</f>
        <v>39263689.875463977</v>
      </c>
      <c r="H21" s="492">
        <f t="shared" ref="H21:Q21" si="22">H896</f>
        <v>107049751.82896173</v>
      </c>
      <c r="I21" s="492">
        <f t="shared" si="22"/>
        <v>196848251.82896173</v>
      </c>
      <c r="J21" s="492">
        <f t="shared" si="22"/>
        <v>291553001.82896173</v>
      </c>
      <c r="K21" s="492">
        <f t="shared" si="22"/>
        <v>386257751.82896167</v>
      </c>
      <c r="L21" s="492">
        <f t="shared" si="22"/>
        <v>476056251.82896167</v>
      </c>
      <c r="M21" s="492">
        <f t="shared" si="22"/>
        <v>565854751.82896173</v>
      </c>
      <c r="N21" s="492">
        <f t="shared" si="22"/>
        <v>660670043.49562848</v>
      </c>
      <c r="O21" s="492">
        <f t="shared" si="22"/>
        <v>748002126.82896173</v>
      </c>
      <c r="P21" s="492">
        <f t="shared" si="22"/>
        <v>822834210.1622951</v>
      </c>
      <c r="Q21" s="492">
        <f t="shared" si="22"/>
        <v>895199876.82896173</v>
      </c>
      <c r="R21" s="492">
        <f>R896</f>
        <v>952599126.82896173</v>
      </c>
      <c r="S21" s="492">
        <f>S896</f>
        <v>997498376.82896173</v>
      </c>
      <c r="T21" s="787"/>
      <c r="V21" s="492">
        <f t="shared" si="18"/>
        <v>7100423521.9475393</v>
      </c>
      <c r="Y21" s="494"/>
      <c r="Z21" s="488"/>
      <c r="AA21" s="494"/>
      <c r="AB21" s="488"/>
      <c r="AC21" s="494"/>
      <c r="AD21" s="488"/>
      <c r="AE21" s="494"/>
      <c r="AF21" s="488"/>
      <c r="AG21" s="494"/>
    </row>
    <row r="22" spans="1:38" hidden="1">
      <c r="A22" s="490" t="s">
        <v>1133</v>
      </c>
      <c r="B22" s="491"/>
      <c r="C22" s="492"/>
      <c r="D22" s="493">
        <v>0</v>
      </c>
      <c r="E22" s="506">
        <f>E935</f>
        <v>68312998.158230528</v>
      </c>
      <c r="F22" s="507">
        <v>0</v>
      </c>
      <c r="G22" s="492">
        <f>G935</f>
        <v>123101844.89823052</v>
      </c>
      <c r="H22" s="492">
        <f t="shared" ref="H22:Q22" si="23">H935</f>
        <v>109577693.48</v>
      </c>
      <c r="I22" s="492">
        <f t="shared" si="23"/>
        <v>109577693.48</v>
      </c>
      <c r="J22" s="492">
        <f t="shared" si="23"/>
        <v>109577693.48</v>
      </c>
      <c r="K22" s="492">
        <f t="shared" si="23"/>
        <v>109577693.48</v>
      </c>
      <c r="L22" s="492">
        <f t="shared" si="23"/>
        <v>109577693.48</v>
      </c>
      <c r="M22" s="492">
        <f t="shared" si="23"/>
        <v>109577693.48</v>
      </c>
      <c r="N22" s="492">
        <f t="shared" si="23"/>
        <v>109577693.48</v>
      </c>
      <c r="O22" s="492">
        <f t="shared" si="23"/>
        <v>109577693.48</v>
      </c>
      <c r="P22" s="492">
        <f t="shared" si="23"/>
        <v>109577693.48</v>
      </c>
      <c r="Q22" s="492">
        <f t="shared" si="23"/>
        <v>109577693.48</v>
      </c>
      <c r="R22" s="492">
        <f>R935</f>
        <v>109577693.48</v>
      </c>
      <c r="S22" s="492">
        <f>S935</f>
        <v>109577693.48</v>
      </c>
      <c r="T22" s="787"/>
      <c r="V22" s="508">
        <f t="shared" si="18"/>
        <v>1314932321.76</v>
      </c>
      <c r="Y22" s="494"/>
      <c r="Z22" s="488"/>
      <c r="AA22" s="494"/>
      <c r="AB22" s="488"/>
      <c r="AC22" s="494"/>
      <c r="AD22" s="488"/>
      <c r="AE22" s="494"/>
      <c r="AF22" s="488"/>
      <c r="AG22" s="494"/>
    </row>
    <row r="23" spans="1:38" hidden="1">
      <c r="A23" s="490" t="s">
        <v>1134</v>
      </c>
      <c r="B23" s="491"/>
      <c r="C23" s="492"/>
      <c r="D23" s="493">
        <v>0</v>
      </c>
      <c r="E23" s="506"/>
      <c r="F23" s="507">
        <v>0</v>
      </c>
      <c r="G23" s="492">
        <v>0</v>
      </c>
      <c r="H23" s="492"/>
      <c r="I23" s="492"/>
      <c r="J23" s="492"/>
      <c r="K23" s="492"/>
      <c r="L23" s="492"/>
      <c r="M23" s="492"/>
      <c r="N23" s="492"/>
      <c r="O23" s="492"/>
      <c r="P23" s="492"/>
      <c r="Q23" s="492"/>
      <c r="R23" s="492"/>
      <c r="S23" s="492"/>
      <c r="T23" s="787"/>
      <c r="V23" s="492">
        <f t="shared" si="18"/>
        <v>0</v>
      </c>
      <c r="Y23" s="494"/>
      <c r="Z23" s="488"/>
      <c r="AA23" s="494"/>
      <c r="AB23" s="488"/>
      <c r="AC23" s="494"/>
      <c r="AD23" s="488"/>
      <c r="AE23" s="494"/>
      <c r="AF23" s="488"/>
      <c r="AG23" s="494"/>
    </row>
    <row r="24" spans="1:38" hidden="1">
      <c r="A24" s="490" t="s">
        <v>1146</v>
      </c>
      <c r="B24" s="491"/>
      <c r="C24" s="492"/>
      <c r="D24" s="493">
        <v>446485960.52767366</v>
      </c>
      <c r="E24" s="506">
        <f>E974</f>
        <v>788154.82163749996</v>
      </c>
      <c r="F24" s="507">
        <v>0</v>
      </c>
      <c r="G24" s="492">
        <f>G974</f>
        <v>14864464.464912498</v>
      </c>
      <c r="H24" s="492">
        <f t="shared" ref="H24:Q24" si="24">H974</f>
        <v>32006785.953216664</v>
      </c>
      <c r="I24" s="492">
        <f t="shared" si="24"/>
        <v>40965119.286549993</v>
      </c>
      <c r="J24" s="492">
        <f t="shared" si="24"/>
        <v>52694285.953216672</v>
      </c>
      <c r="K24" s="492">
        <f t="shared" si="24"/>
        <v>70069285.953216657</v>
      </c>
      <c r="L24" s="492">
        <f t="shared" si="24"/>
        <v>94571369.28655</v>
      </c>
      <c r="M24" s="492">
        <f t="shared" si="24"/>
        <v>124221369.28654999</v>
      </c>
      <c r="N24" s="492">
        <f t="shared" si="24"/>
        <v>171642202.61988333</v>
      </c>
      <c r="O24" s="492">
        <f t="shared" si="24"/>
        <v>219346369.28654999</v>
      </c>
      <c r="P24" s="492">
        <f t="shared" si="24"/>
        <v>251708869.28654999</v>
      </c>
      <c r="Q24" s="492">
        <f t="shared" si="24"/>
        <v>284071369.28654999</v>
      </c>
      <c r="R24" s="492">
        <f>R974</f>
        <v>316433869.28654993</v>
      </c>
      <c r="S24" s="492">
        <f>S974</f>
        <v>348796369.28654999</v>
      </c>
      <c r="T24" s="787"/>
      <c r="V24" s="508">
        <f t="shared" si="18"/>
        <v>2006527264.7719336</v>
      </c>
      <c r="Y24" s="494" t="e">
        <f>#REF!</f>
        <v>#REF!</v>
      </c>
      <c r="Z24" s="488"/>
      <c r="AA24" s="494" t="e">
        <f>#REF!</f>
        <v>#REF!</v>
      </c>
      <c r="AB24" s="488"/>
      <c r="AC24" s="494" t="e">
        <f>#REF!</f>
        <v>#REF!</v>
      </c>
      <c r="AD24" s="488"/>
      <c r="AE24" s="494" t="e">
        <f>#REF!</f>
        <v>#REF!</v>
      </c>
      <c r="AF24" s="488"/>
      <c r="AG24" s="494"/>
    </row>
    <row r="25" spans="1:38" hidden="1">
      <c r="A25" s="490" t="s">
        <v>1147</v>
      </c>
      <c r="B25" s="491"/>
      <c r="C25" s="492"/>
      <c r="D25" s="493">
        <v>266055753.97404355</v>
      </c>
      <c r="E25" s="506">
        <f>E1013</f>
        <v>54700101.199745007</v>
      </c>
      <c r="F25" s="507">
        <v>0</v>
      </c>
      <c r="G25" s="492">
        <f>G1013</f>
        <v>116500034.82721065</v>
      </c>
      <c r="H25" s="492">
        <f t="shared" ref="H25:Q25" si="25">H1013</f>
        <v>127537367.25493124</v>
      </c>
      <c r="I25" s="492">
        <f t="shared" si="25"/>
        <v>135412367.25493124</v>
      </c>
      <c r="J25" s="492">
        <f t="shared" si="25"/>
        <v>143287367.25493124</v>
      </c>
      <c r="K25" s="492">
        <f t="shared" si="25"/>
        <v>151162367.25493124</v>
      </c>
      <c r="L25" s="492">
        <f t="shared" si="25"/>
        <v>159037367.25493124</v>
      </c>
      <c r="M25" s="492">
        <f t="shared" si="25"/>
        <v>166912367.25493124</v>
      </c>
      <c r="N25" s="492">
        <f t="shared" si="25"/>
        <v>174787367.25493124</v>
      </c>
      <c r="O25" s="492">
        <f t="shared" si="25"/>
        <v>182662367.25493124</v>
      </c>
      <c r="P25" s="492">
        <f t="shared" si="25"/>
        <v>190537367.25493124</v>
      </c>
      <c r="Q25" s="492">
        <f t="shared" si="25"/>
        <v>198412367.25493124</v>
      </c>
      <c r="R25" s="492">
        <f>R1013</f>
        <v>206287367.25493124</v>
      </c>
      <c r="S25" s="492">
        <f>S1013</f>
        <v>214162367.25493124</v>
      </c>
      <c r="T25" s="787"/>
      <c r="V25" s="508">
        <f t="shared" si="18"/>
        <v>2050198407.0591748</v>
      </c>
      <c r="Y25" s="494" t="e">
        <f>#REF!</f>
        <v>#REF!</v>
      </c>
      <c r="Z25" s="488"/>
      <c r="AA25" s="494" t="e">
        <f>#REF!</f>
        <v>#REF!</v>
      </c>
      <c r="AB25" s="488"/>
      <c r="AC25" s="494" t="e">
        <f>#REF!</f>
        <v>#REF!</v>
      </c>
      <c r="AD25" s="488"/>
      <c r="AE25" s="494" t="e">
        <f>#REF!</f>
        <v>#REF!</v>
      </c>
      <c r="AF25" s="488"/>
      <c r="AG25" s="494"/>
    </row>
    <row r="26" spans="1:38" hidden="1">
      <c r="A26" s="490" t="s">
        <v>1148</v>
      </c>
      <c r="B26" s="491"/>
      <c r="C26" s="492"/>
      <c r="D26" s="493">
        <v>0</v>
      </c>
      <c r="E26" s="506">
        <f>E1052</f>
        <v>0</v>
      </c>
      <c r="F26" s="507">
        <v>0</v>
      </c>
      <c r="G26" s="492">
        <f>G1052</f>
        <v>54166.666666666664</v>
      </c>
      <c r="H26" s="492">
        <f t="shared" ref="H26:Q26" si="26">H1052</f>
        <v>836562.49999999988</v>
      </c>
      <c r="I26" s="492">
        <f t="shared" si="26"/>
        <v>2293020.8333333335</v>
      </c>
      <c r="J26" s="492">
        <f t="shared" si="26"/>
        <v>3749479.1666666665</v>
      </c>
      <c r="K26" s="492">
        <f t="shared" si="26"/>
        <v>5205937.5</v>
      </c>
      <c r="L26" s="492">
        <f t="shared" si="26"/>
        <v>6662395.833333333</v>
      </c>
      <c r="M26" s="492">
        <f t="shared" si="26"/>
        <v>8118854.166666667</v>
      </c>
      <c r="N26" s="492">
        <f t="shared" si="26"/>
        <v>9575312.5</v>
      </c>
      <c r="O26" s="492">
        <f t="shared" si="26"/>
        <v>11031770.833333334</v>
      </c>
      <c r="P26" s="492">
        <f t="shared" si="26"/>
        <v>12488229.166666668</v>
      </c>
      <c r="Q26" s="492">
        <f t="shared" si="26"/>
        <v>13944687.5</v>
      </c>
      <c r="R26" s="492">
        <f>R1052</f>
        <v>15401145.833333332</v>
      </c>
      <c r="S26" s="492">
        <f>S1052</f>
        <v>16857604.166666664</v>
      </c>
      <c r="T26" s="787"/>
      <c r="V26" s="492">
        <f t="shared" si="18"/>
        <v>106165000</v>
      </c>
      <c r="Y26" s="494"/>
      <c r="Z26" s="488"/>
      <c r="AA26" s="494"/>
      <c r="AB26" s="488"/>
      <c r="AC26" s="494"/>
      <c r="AD26" s="488"/>
      <c r="AE26" s="494"/>
      <c r="AF26" s="488"/>
      <c r="AG26" s="494"/>
    </row>
    <row r="27" spans="1:38" hidden="1">
      <c r="A27" s="490" t="s">
        <v>1149</v>
      </c>
      <c r="B27" s="491"/>
      <c r="C27" s="492"/>
      <c r="D27" s="493">
        <v>1976974512.0595989</v>
      </c>
      <c r="E27" s="506">
        <f>E1091</f>
        <v>114627466.5207952</v>
      </c>
      <c r="F27" s="507">
        <v>0</v>
      </c>
      <c r="G27" s="492">
        <f>G1091</f>
        <v>218370230.45782581</v>
      </c>
      <c r="H27" s="492">
        <f t="shared" ref="H27:Q27" si="27">H1091</f>
        <v>207485527.87406132</v>
      </c>
      <c r="I27" s="492">
        <f t="shared" si="27"/>
        <v>207485527.87406132</v>
      </c>
      <c r="J27" s="492">
        <f t="shared" si="27"/>
        <v>207485527.87406132</v>
      </c>
      <c r="K27" s="492">
        <f t="shared" si="27"/>
        <v>207485527.87406132</v>
      </c>
      <c r="L27" s="492">
        <f t="shared" si="27"/>
        <v>207485527.87406132</v>
      </c>
      <c r="M27" s="492">
        <f t="shared" si="27"/>
        <v>207485527.87406132</v>
      </c>
      <c r="N27" s="492">
        <f t="shared" si="27"/>
        <v>207485527.87406132</v>
      </c>
      <c r="O27" s="492">
        <f t="shared" si="27"/>
        <v>207485527.87406132</v>
      </c>
      <c r="P27" s="492">
        <f t="shared" si="27"/>
        <v>207485527.87406132</v>
      </c>
      <c r="Q27" s="492">
        <f t="shared" si="27"/>
        <v>207485527.87406132</v>
      </c>
      <c r="R27" s="492">
        <f>R1091</f>
        <v>207485527.87406132</v>
      </c>
      <c r="S27" s="492">
        <f>S1091</f>
        <v>207485527.87406132</v>
      </c>
      <c r="T27" s="787"/>
      <c r="V27" s="492">
        <f t="shared" si="18"/>
        <v>2489826334.4887357</v>
      </c>
      <c r="Y27" s="494" t="e">
        <f>Y658</f>
        <v>#REF!</v>
      </c>
      <c r="Z27" s="488"/>
      <c r="AA27" s="494" t="e">
        <f>AA658</f>
        <v>#REF!</v>
      </c>
      <c r="AB27" s="488"/>
      <c r="AC27" s="494" t="e">
        <f>AC658</f>
        <v>#REF!</v>
      </c>
      <c r="AD27" s="488"/>
      <c r="AE27" s="494" t="e">
        <f>AE658</f>
        <v>#REF!</v>
      </c>
      <c r="AF27" s="488"/>
      <c r="AG27" s="494"/>
    </row>
    <row r="28" spans="1:38" hidden="1">
      <c r="A28" s="499" t="s">
        <v>1150</v>
      </c>
      <c r="B28" s="491"/>
      <c r="C28" s="492"/>
      <c r="D28" s="500">
        <f>SUM(D17:D27)</f>
        <v>41893225492.702263</v>
      </c>
      <c r="E28" s="509">
        <f>E30-E29</f>
        <v>13290918108</v>
      </c>
      <c r="F28" s="510"/>
      <c r="G28" s="500">
        <f t="shared" ref="G28:V28" si="28">SUM(G17:G27)</f>
        <v>2037092932.6091869</v>
      </c>
      <c r="H28" s="500">
        <f t="shared" si="28"/>
        <v>2367191681.987443</v>
      </c>
      <c r="I28" s="500">
        <f t="shared" si="28"/>
        <v>2858049801.1130295</v>
      </c>
      <c r="J28" s="500">
        <f t="shared" si="28"/>
        <v>3152618342.7796955</v>
      </c>
      <c r="K28" s="500">
        <f t="shared" si="28"/>
        <v>3443822301.1130285</v>
      </c>
      <c r="L28" s="500">
        <f t="shared" si="28"/>
        <v>3733642926.113029</v>
      </c>
      <c r="M28" s="500">
        <f t="shared" si="28"/>
        <v>4034017717.7796955</v>
      </c>
      <c r="N28" s="500">
        <f t="shared" si="28"/>
        <v>4345365442.7796955</v>
      </c>
      <c r="O28" s="500">
        <f t="shared" si="28"/>
        <v>4635707509.4463615</v>
      </c>
      <c r="P28" s="492">
        <f t="shared" si="28"/>
        <v>4893223534.4463625</v>
      </c>
      <c r="Q28" s="500">
        <f t="shared" si="28"/>
        <v>5118279176.1130276</v>
      </c>
      <c r="R28" s="500">
        <f>SUM(R17:R27)</f>
        <v>5301367717.7796946</v>
      </c>
      <c r="S28" s="500">
        <f>SUM(S17:S27)</f>
        <v>5471956259.4463615</v>
      </c>
      <c r="T28" s="787"/>
      <c r="V28" s="500">
        <f t="shared" si="28"/>
        <v>49355242410.89743</v>
      </c>
      <c r="Y28" s="500" t="e">
        <f>SUM(Y17:Y27)</f>
        <v>#REF!</v>
      </c>
      <c r="Z28" s="488"/>
      <c r="AA28" s="500" t="e">
        <f>SUM(AA17:AA27)</f>
        <v>#REF!</v>
      </c>
      <c r="AB28" s="488"/>
      <c r="AC28" s="500" t="e">
        <f>SUM(AC17:AC27)</f>
        <v>#REF!</v>
      </c>
      <c r="AD28" s="488"/>
      <c r="AE28" s="500" t="e">
        <f>SUM(AE17:AE27)</f>
        <v>#REF!</v>
      </c>
      <c r="AF28" s="488"/>
      <c r="AG28" s="500"/>
    </row>
    <row r="29" spans="1:38" hidden="1">
      <c r="A29" s="499" t="s">
        <v>1140</v>
      </c>
      <c r="B29" s="491"/>
      <c r="C29" s="492"/>
      <c r="D29" s="493">
        <v>994572972.19076896</v>
      </c>
      <c r="E29" s="506">
        <v>614175943</v>
      </c>
      <c r="F29" s="507"/>
      <c r="G29" s="500">
        <f>G698</f>
        <v>107644024.03852259</v>
      </c>
      <c r="H29" s="500">
        <f>H698</f>
        <v>87328527.595375001</v>
      </c>
      <c r="I29" s="500">
        <f t="shared" ref="I29:V29" si="29">I698</f>
        <v>87328527.595375001</v>
      </c>
      <c r="J29" s="500">
        <f t="shared" si="29"/>
        <v>87328527.595375001</v>
      </c>
      <c r="K29" s="500">
        <f t="shared" si="29"/>
        <v>87328527.595375001</v>
      </c>
      <c r="L29" s="500">
        <f t="shared" si="29"/>
        <v>87328527.595375001</v>
      </c>
      <c r="M29" s="500">
        <f t="shared" si="29"/>
        <v>87328527.595375001</v>
      </c>
      <c r="N29" s="500">
        <f t="shared" si="29"/>
        <v>87328527.595375001</v>
      </c>
      <c r="O29" s="500">
        <f t="shared" si="29"/>
        <v>87328527.595375001</v>
      </c>
      <c r="P29" s="492">
        <f t="shared" si="29"/>
        <v>87328527.595375001</v>
      </c>
      <c r="Q29" s="500">
        <f t="shared" si="29"/>
        <v>87328527.595375001</v>
      </c>
      <c r="R29" s="500">
        <f>R698</f>
        <v>87328527.595375001</v>
      </c>
      <c r="S29" s="500">
        <f>S698</f>
        <v>87328527.595375001</v>
      </c>
      <c r="T29" s="787"/>
      <c r="V29" s="508">
        <f t="shared" si="29"/>
        <v>1047942331.1445</v>
      </c>
      <c r="Y29" s="488"/>
      <c r="Z29" s="488"/>
      <c r="AA29" s="488"/>
      <c r="AB29" s="488"/>
      <c r="AC29" s="488"/>
      <c r="AD29" s="488"/>
      <c r="AE29" s="488"/>
      <c r="AF29" s="488"/>
      <c r="AG29" s="488"/>
    </row>
    <row r="30" spans="1:38" collapsed="1">
      <c r="A30" s="483" t="s">
        <v>1151</v>
      </c>
      <c r="B30" s="491"/>
      <c r="C30" s="488"/>
      <c r="D30" s="491">
        <f>+D29+D28</f>
        <v>42887798464.893028</v>
      </c>
      <c r="E30" s="509">
        <f>E38</f>
        <v>13905094051</v>
      </c>
      <c r="F30" s="511"/>
      <c r="G30" s="492"/>
      <c r="H30" s="492">
        <f>H28+H29</f>
        <v>2454520209.582818</v>
      </c>
      <c r="I30" s="492">
        <f t="shared" ref="I30:Q30" si="30">I28+I29</f>
        <v>2945378328.7084045</v>
      </c>
      <c r="J30" s="492">
        <f t="shared" si="30"/>
        <v>3239946870.3750706</v>
      </c>
      <c r="K30" s="492">
        <f t="shared" si="30"/>
        <v>3531150828.7084036</v>
      </c>
      <c r="L30" s="492">
        <f t="shared" si="30"/>
        <v>3820971453.7084041</v>
      </c>
      <c r="M30" s="492">
        <f t="shared" si="30"/>
        <v>4121346245.3750706</v>
      </c>
      <c r="N30" s="492">
        <f t="shared" si="30"/>
        <v>4432693970.3750706</v>
      </c>
      <c r="O30" s="492">
        <f t="shared" si="30"/>
        <v>4723036037.0417366</v>
      </c>
      <c r="P30" s="492">
        <f t="shared" si="30"/>
        <v>4980552062.0417376</v>
      </c>
      <c r="Q30" s="492">
        <f t="shared" si="30"/>
        <v>5205607703.7084026</v>
      </c>
      <c r="R30" s="492">
        <f>R28+R29</f>
        <v>5388696245.3750696</v>
      </c>
      <c r="S30" s="492">
        <f>S28+S29</f>
        <v>5559284787.0417366</v>
      </c>
      <c r="T30" s="787"/>
      <c r="V30" s="492">
        <f>V28+V29</f>
        <v>50403184742.041931</v>
      </c>
      <c r="Y30" s="488"/>
      <c r="Z30" s="488"/>
      <c r="AA30" s="488"/>
      <c r="AB30" s="488"/>
      <c r="AC30" s="488"/>
      <c r="AD30" s="488"/>
      <c r="AE30" s="488"/>
      <c r="AF30" s="488"/>
      <c r="AG30" s="488"/>
      <c r="AL30" s="484"/>
    </row>
    <row r="31" spans="1:38">
      <c r="F31" s="485"/>
      <c r="H31" s="488">
        <f t="shared" ref="H31:S31" si="31">H16/$V$16</f>
        <v>0.10181038870978455</v>
      </c>
      <c r="I31" s="488">
        <f t="shared" si="31"/>
        <v>8.1615037882420666E-2</v>
      </c>
      <c r="J31" s="488">
        <f t="shared" si="31"/>
        <v>9.6830713163311266E-2</v>
      </c>
      <c r="K31" s="488">
        <f t="shared" si="31"/>
        <v>7.9352666769948968E-2</v>
      </c>
      <c r="L31" s="488">
        <f t="shared" si="31"/>
        <v>8.4037250432186808E-2</v>
      </c>
      <c r="M31" s="488">
        <f t="shared" si="31"/>
        <v>8.5143844998069401E-2</v>
      </c>
      <c r="N31" s="488">
        <f t="shared" si="31"/>
        <v>0.14682450393824692</v>
      </c>
      <c r="O31" s="488">
        <f t="shared" si="31"/>
        <v>7.3285762062495333E-2</v>
      </c>
      <c r="P31" s="488">
        <f t="shared" si="31"/>
        <v>7.1520743729912378E-2</v>
      </c>
      <c r="Q31" s="488">
        <f t="shared" si="31"/>
        <v>8.4450686457495733E-2</v>
      </c>
      <c r="R31" s="488">
        <f t="shared" si="31"/>
        <v>4.7564200928063995E-2</v>
      </c>
      <c r="S31" s="488">
        <f t="shared" si="31"/>
        <v>4.7564200928063995E-2</v>
      </c>
      <c r="T31" s="789"/>
      <c r="V31" s="488">
        <f>V16/$V$16</f>
        <v>1</v>
      </c>
      <c r="Y31" s="504">
        <v>0.2</v>
      </c>
      <c r="Z31" s="488"/>
      <c r="AA31" s="505">
        <v>0.4</v>
      </c>
      <c r="AB31" s="505"/>
      <c r="AC31" s="505">
        <v>0.5</v>
      </c>
      <c r="AD31" s="505"/>
      <c r="AE31" s="505">
        <v>0.25</v>
      </c>
      <c r="AF31" s="505"/>
      <c r="AG31" s="505"/>
    </row>
    <row r="32" spans="1:38" ht="17.25" customHeight="1">
      <c r="B32" s="512" t="s">
        <v>1152</v>
      </c>
      <c r="C32" s="513"/>
      <c r="D32" s="514" t="s">
        <v>1153</v>
      </c>
      <c r="E32" s="514" t="s">
        <v>1154</v>
      </c>
      <c r="F32" s="515" t="s">
        <v>1155</v>
      </c>
      <c r="G32" s="516" t="s">
        <v>1156</v>
      </c>
      <c r="H32" s="1037" t="s">
        <v>1157</v>
      </c>
      <c r="I32" s="1038"/>
      <c r="J32" s="1038"/>
      <c r="K32" s="1038"/>
      <c r="L32" s="1038"/>
      <c r="M32" s="1038"/>
      <c r="N32" s="1038"/>
      <c r="O32" s="1038"/>
      <c r="P32" s="1038"/>
      <c r="Q32" s="1038"/>
      <c r="R32" s="1038"/>
      <c r="S32" s="1038"/>
      <c r="T32" s="1038"/>
      <c r="V32" s="1039"/>
      <c r="W32" s="517"/>
      <c r="X32" s="1005"/>
      <c r="Y32" s="518"/>
      <c r="Z32" s="518"/>
      <c r="AA32" s="518"/>
      <c r="AB32" s="518"/>
      <c r="AC32" s="518"/>
      <c r="AD32" s="518"/>
      <c r="AE32" s="518"/>
      <c r="AF32" s="518"/>
      <c r="AG32" s="518"/>
    </row>
    <row r="33" spans="1:37" s="529" customFormat="1" ht="16.5" customHeight="1">
      <c r="A33" s="519"/>
      <c r="B33" s="512" t="s">
        <v>1152</v>
      </c>
      <c r="C33" s="520"/>
      <c r="D33" s="521" t="s">
        <v>1158</v>
      </c>
      <c r="E33" s="522"/>
      <c r="F33" s="523"/>
      <c r="G33" s="524">
        <v>42735</v>
      </c>
      <c r="H33" s="524">
        <v>42766</v>
      </c>
      <c r="I33" s="524">
        <v>42794</v>
      </c>
      <c r="J33" s="524">
        <v>42825</v>
      </c>
      <c r="K33" s="524">
        <v>42855</v>
      </c>
      <c r="L33" s="524">
        <v>42886</v>
      </c>
      <c r="M33" s="524">
        <v>42916</v>
      </c>
      <c r="N33" s="524">
        <v>42947</v>
      </c>
      <c r="O33" s="524">
        <v>42978</v>
      </c>
      <c r="P33" s="524">
        <v>43008</v>
      </c>
      <c r="Q33" s="524">
        <v>43039</v>
      </c>
      <c r="R33" s="524">
        <v>43069</v>
      </c>
      <c r="S33" s="524">
        <v>43100</v>
      </c>
      <c r="T33" s="790" t="s">
        <v>1407</v>
      </c>
      <c r="V33" s="525" t="s">
        <v>1159</v>
      </c>
      <c r="W33" s="526"/>
      <c r="X33" s="1006"/>
      <c r="Y33" s="527">
        <v>2018</v>
      </c>
      <c r="Z33" s="527"/>
      <c r="AA33" s="527">
        <v>2019</v>
      </c>
      <c r="AB33" s="527"/>
      <c r="AC33" s="527">
        <v>2020</v>
      </c>
      <c r="AD33" s="527"/>
      <c r="AE33" s="527">
        <v>2020</v>
      </c>
      <c r="AF33" s="527"/>
      <c r="AG33" s="527"/>
      <c r="AH33" s="528"/>
      <c r="AI33" s="528"/>
      <c r="AJ33" s="528"/>
      <c r="AK33" s="528"/>
    </row>
    <row r="34" spans="1:37" s="484" customFormat="1">
      <c r="A34" s="519"/>
      <c r="B34" s="519"/>
      <c r="C34" s="530"/>
      <c r="D34" s="530"/>
      <c r="E34" s="530"/>
      <c r="F34" s="530"/>
      <c r="G34" s="531"/>
      <c r="H34" s="531"/>
      <c r="I34" s="531"/>
      <c r="J34" s="531"/>
      <c r="K34" s="531"/>
      <c r="L34" s="531"/>
      <c r="M34" s="531"/>
      <c r="N34" s="531"/>
      <c r="O34" s="531"/>
      <c r="P34" s="531"/>
      <c r="Q34" s="531"/>
      <c r="R34" s="531"/>
      <c r="S34" s="531"/>
      <c r="T34" s="791"/>
      <c r="V34" s="532"/>
      <c r="W34" s="533"/>
      <c r="X34" s="1007"/>
      <c r="Y34" s="530"/>
      <c r="Z34" s="530"/>
      <c r="AA34" s="530"/>
      <c r="AB34" s="530"/>
      <c r="AC34" s="530"/>
      <c r="AD34" s="530"/>
      <c r="AE34" s="530"/>
      <c r="AF34" s="530"/>
      <c r="AG34" s="530"/>
    </row>
    <row r="35" spans="1:37" s="484" customFormat="1" ht="14.5">
      <c r="A35" s="534" t="s">
        <v>1160</v>
      </c>
      <c r="B35" s="534"/>
      <c r="C35" s="530"/>
      <c r="D35" s="530"/>
      <c r="E35" s="530"/>
      <c r="F35" s="535"/>
      <c r="G35" s="536"/>
      <c r="H35" s="530"/>
      <c r="I35" s="530"/>
      <c r="J35" s="530"/>
      <c r="K35" s="530"/>
      <c r="L35" s="530"/>
      <c r="M35" s="530"/>
      <c r="N35" s="530"/>
      <c r="O35" s="530"/>
      <c r="P35" s="530"/>
      <c r="Q35" s="530"/>
      <c r="R35" s="530"/>
      <c r="S35" s="530"/>
      <c r="T35" s="792"/>
      <c r="V35" s="530"/>
      <c r="W35" s="533"/>
      <c r="X35" s="1007"/>
      <c r="Y35" s="530"/>
      <c r="Z35" s="530"/>
      <c r="AA35" s="530"/>
      <c r="AB35" s="530"/>
      <c r="AC35" s="530"/>
      <c r="AD35" s="530"/>
      <c r="AE35" s="530"/>
      <c r="AF35" s="530"/>
      <c r="AG35" s="530"/>
    </row>
    <row r="36" spans="1:37" s="484" customFormat="1">
      <c r="A36" s="519"/>
      <c r="B36" s="519"/>
      <c r="C36" s="530"/>
      <c r="D36" s="530"/>
      <c r="E36" s="530"/>
      <c r="F36" s="530"/>
      <c r="G36" s="530"/>
      <c r="H36" s="530"/>
      <c r="I36" s="530"/>
      <c r="J36" s="530"/>
      <c r="K36" s="530"/>
      <c r="L36" s="530"/>
      <c r="M36" s="530"/>
      <c r="N36" s="530"/>
      <c r="O36" s="530"/>
      <c r="P36" s="530"/>
      <c r="Q36" s="530"/>
      <c r="R36" s="530"/>
      <c r="S36" s="530"/>
      <c r="T36" s="792"/>
      <c r="V36" s="530"/>
      <c r="W36" s="533"/>
      <c r="X36" s="1007"/>
      <c r="Y36" s="530"/>
      <c r="Z36" s="530"/>
      <c r="AA36" s="530"/>
      <c r="AB36" s="530"/>
      <c r="AC36" s="530"/>
      <c r="AD36" s="530"/>
      <c r="AE36" s="530"/>
      <c r="AF36" s="530"/>
      <c r="AG36" s="530"/>
    </row>
    <row r="37" spans="1:37" s="484" customFormat="1">
      <c r="A37" s="519" t="s">
        <v>1161</v>
      </c>
      <c r="B37" s="519"/>
      <c r="C37" s="537"/>
      <c r="D37" s="537"/>
      <c r="E37" s="537"/>
      <c r="F37" s="537"/>
      <c r="G37" s="537"/>
      <c r="H37" s="537"/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793"/>
      <c r="V37" s="537"/>
      <c r="W37" s="538"/>
      <c r="X37" s="1008"/>
      <c r="Y37" s="537"/>
      <c r="Z37" s="537"/>
      <c r="AA37" s="537"/>
      <c r="AB37" s="537"/>
      <c r="AC37" s="537"/>
      <c r="AD37" s="537"/>
      <c r="AE37" s="537"/>
      <c r="AF37" s="537"/>
      <c r="AG37" s="537"/>
    </row>
    <row r="38" spans="1:37" s="484" customFormat="1">
      <c r="A38" s="540" t="s">
        <v>1162</v>
      </c>
      <c r="B38" s="541">
        <v>28251981470</v>
      </c>
      <c r="C38" s="493"/>
      <c r="D38" s="493">
        <v>42887798464.893028</v>
      </c>
      <c r="E38" s="493">
        <v>13905094051</v>
      </c>
      <c r="F38" s="493">
        <v>15743289634</v>
      </c>
      <c r="G38" s="493">
        <f>G692*3+F38</f>
        <v>21854568431.82756</v>
      </c>
      <c r="H38" s="493">
        <f>H30</f>
        <v>2454520209.582818</v>
      </c>
      <c r="I38" s="493">
        <f t="shared" ref="I38:Q38" si="32">I30</f>
        <v>2945378328.7084045</v>
      </c>
      <c r="J38" s="493">
        <f t="shared" si="32"/>
        <v>3239946870.3750706</v>
      </c>
      <c r="K38" s="493">
        <f t="shared" si="32"/>
        <v>3531150828.7084036</v>
      </c>
      <c r="L38" s="493">
        <f t="shared" si="32"/>
        <v>3820971453.7084041</v>
      </c>
      <c r="M38" s="493">
        <f t="shared" si="32"/>
        <v>4121346245.3750706</v>
      </c>
      <c r="N38" s="493">
        <f t="shared" si="32"/>
        <v>4432693970.3750706</v>
      </c>
      <c r="O38" s="493">
        <f t="shared" si="32"/>
        <v>4723036037.0417366</v>
      </c>
      <c r="P38" s="493">
        <f t="shared" si="32"/>
        <v>4980552062.0417376</v>
      </c>
      <c r="Q38" s="493">
        <f t="shared" si="32"/>
        <v>5205607703.7084026</v>
      </c>
      <c r="R38" s="493">
        <f>R30</f>
        <v>5388696245.3750696</v>
      </c>
      <c r="S38" s="493">
        <f>S30</f>
        <v>5559284787.0417366</v>
      </c>
      <c r="T38" s="794">
        <f>SUM(H38:S38)</f>
        <v>50403184742.041931</v>
      </c>
      <c r="U38" s="600">
        <f>SUM(H38:S38)-T38</f>
        <v>0</v>
      </c>
      <c r="V38" s="493">
        <f>V30</f>
        <v>50403184742.041931</v>
      </c>
      <c r="W38" s="542">
        <f>+V38/G38-1</f>
        <v>1.3062997056779229</v>
      </c>
      <c r="X38" s="1009">
        <v>50403184742.041931</v>
      </c>
      <c r="Y38" s="493" t="e">
        <f>Y692+Y698</f>
        <v>#REF!</v>
      </c>
      <c r="Z38" s="493">
        <f>Z673</f>
        <v>2.7272727272727271E-3</v>
      </c>
      <c r="AA38" s="493" t="e">
        <f>AA692+AA698</f>
        <v>#REF!</v>
      </c>
      <c r="AB38" s="493"/>
      <c r="AC38" s="493" t="e">
        <f>AC692+AC698</f>
        <v>#REF!</v>
      </c>
      <c r="AD38" s="493"/>
      <c r="AE38" s="493" t="e">
        <f>AE692+AE698</f>
        <v>#REF!</v>
      </c>
      <c r="AF38" s="493"/>
      <c r="AG38" s="493"/>
      <c r="AH38" s="600">
        <f>V38-X38</f>
        <v>0</v>
      </c>
    </row>
    <row r="39" spans="1:37" s="484" customFormat="1">
      <c r="A39" s="540"/>
      <c r="B39" s="540"/>
      <c r="C39" s="493"/>
      <c r="D39" s="493"/>
      <c r="E39" s="493"/>
      <c r="F39" s="493"/>
      <c r="G39" s="493"/>
      <c r="H39" s="493"/>
      <c r="I39" s="493"/>
      <c r="J39" s="493"/>
      <c r="K39" s="493"/>
      <c r="L39" s="493"/>
      <c r="M39" s="493"/>
      <c r="N39" s="493"/>
      <c r="O39" s="493"/>
      <c r="P39" s="493"/>
      <c r="Q39" s="493"/>
      <c r="R39" s="493"/>
      <c r="S39" s="493"/>
      <c r="T39" s="794"/>
      <c r="V39" s="493"/>
      <c r="W39" s="542"/>
      <c r="X39" s="1009"/>
      <c r="Y39" s="493"/>
      <c r="Z39" s="493"/>
      <c r="AA39" s="493"/>
      <c r="AB39" s="493"/>
      <c r="AC39" s="493"/>
      <c r="AD39" s="493"/>
      <c r="AE39" s="493"/>
      <c r="AF39" s="493"/>
      <c r="AG39" s="493"/>
    </row>
    <row r="40" spans="1:37" s="484" customFormat="1">
      <c r="A40" s="544" t="s">
        <v>1163</v>
      </c>
      <c r="B40" s="545">
        <f>+B38</f>
        <v>28251981470</v>
      </c>
      <c r="C40" s="545"/>
      <c r="D40" s="545">
        <f>SUM(D38:D39)</f>
        <v>42887798464.893028</v>
      </c>
      <c r="E40" s="545">
        <f>SUM(E38:E39)</f>
        <v>13905094051</v>
      </c>
      <c r="F40" s="545">
        <f>SUM(F38:F39)</f>
        <v>15743289634</v>
      </c>
      <c r="G40" s="545">
        <f t="shared" ref="G40:V40" si="33">SUM(G38:G39)</f>
        <v>21854568431.82756</v>
      </c>
      <c r="H40" s="545">
        <f t="shared" si="33"/>
        <v>2454520209.582818</v>
      </c>
      <c r="I40" s="545">
        <f t="shared" si="33"/>
        <v>2945378328.7084045</v>
      </c>
      <c r="J40" s="545">
        <f t="shared" si="33"/>
        <v>3239946870.3750706</v>
      </c>
      <c r="K40" s="545">
        <f t="shared" si="33"/>
        <v>3531150828.7084036</v>
      </c>
      <c r="L40" s="545">
        <f t="shared" si="33"/>
        <v>3820971453.7084041</v>
      </c>
      <c r="M40" s="545">
        <f t="shared" si="33"/>
        <v>4121346245.3750706</v>
      </c>
      <c r="N40" s="545">
        <f t="shared" si="33"/>
        <v>4432693970.3750706</v>
      </c>
      <c r="O40" s="545">
        <f t="shared" si="33"/>
        <v>4723036037.0417366</v>
      </c>
      <c r="P40" s="545">
        <f t="shared" si="33"/>
        <v>4980552062.0417376</v>
      </c>
      <c r="Q40" s="545">
        <f t="shared" si="33"/>
        <v>5205607703.7084026</v>
      </c>
      <c r="R40" s="545">
        <f>SUM(R38:R39)</f>
        <v>5388696245.3750696</v>
      </c>
      <c r="S40" s="545">
        <f>SUM(S38:S39)</f>
        <v>5559284787.0417366</v>
      </c>
      <c r="T40" s="795">
        <f>T38</f>
        <v>50403184742.041931</v>
      </c>
      <c r="U40" s="600">
        <f t="shared" ref="U40:U83" si="34">SUM(H40:S40)-T40</f>
        <v>0</v>
      </c>
      <c r="V40" s="545">
        <f t="shared" si="33"/>
        <v>50403184742.041931</v>
      </c>
      <c r="W40" s="542">
        <f>+V40/G40-1</f>
        <v>1.3062997056779229</v>
      </c>
      <c r="X40" s="1008">
        <v>50403184742.041931</v>
      </c>
      <c r="Y40" s="545" t="e">
        <f>SUM(Y38:Y39)</f>
        <v>#REF!</v>
      </c>
      <c r="Z40" s="546" t="e">
        <f>+Y40/V40-1</f>
        <v>#REF!</v>
      </c>
      <c r="AA40" s="545" t="e">
        <f>SUM(AA38:AA39)</f>
        <v>#REF!</v>
      </c>
      <c r="AB40" s="546" t="e">
        <f>+AA40/Y40-1</f>
        <v>#REF!</v>
      </c>
      <c r="AC40" s="545" t="e">
        <f>SUM(AC38:AC39)</f>
        <v>#REF!</v>
      </c>
      <c r="AD40" s="546" t="e">
        <f>+AC40/AA40-1</f>
        <v>#REF!</v>
      </c>
      <c r="AE40" s="545" t="e">
        <f>SUM(AE38:AE39)</f>
        <v>#REF!</v>
      </c>
      <c r="AF40" s="546" t="e">
        <f>+AE40/AC40-1</f>
        <v>#REF!</v>
      </c>
      <c r="AG40" s="545"/>
      <c r="AH40" s="600">
        <f t="shared" ref="AH40:AH103" si="35">V40-X40</f>
        <v>0</v>
      </c>
    </row>
    <row r="41" spans="1:37" s="484" customFormat="1">
      <c r="A41" s="547"/>
      <c r="B41" s="547"/>
      <c r="C41" s="493"/>
      <c r="D41" s="493"/>
      <c r="E41" s="493"/>
      <c r="F41" s="493"/>
      <c r="G41" s="493"/>
      <c r="H41" s="493"/>
      <c r="I41" s="493"/>
      <c r="J41" s="493"/>
      <c r="K41" s="493"/>
      <c r="L41" s="493"/>
      <c r="M41" s="493"/>
      <c r="N41" s="493"/>
      <c r="O41" s="493"/>
      <c r="P41" s="493"/>
      <c r="Q41" s="493"/>
      <c r="R41" s="493"/>
      <c r="S41" s="493"/>
      <c r="T41" s="794"/>
      <c r="U41" s="600">
        <f t="shared" si="34"/>
        <v>0</v>
      </c>
      <c r="V41" s="493"/>
      <c r="W41" s="538"/>
      <c r="X41" s="1009"/>
      <c r="Y41" s="537"/>
      <c r="Z41" s="537"/>
      <c r="AA41" s="537"/>
      <c r="AB41" s="537"/>
      <c r="AC41" s="537"/>
      <c r="AD41" s="537"/>
      <c r="AE41" s="537"/>
      <c r="AF41" s="537"/>
      <c r="AG41" s="537"/>
      <c r="AH41" s="600">
        <f t="shared" si="35"/>
        <v>0</v>
      </c>
    </row>
    <row r="42" spans="1:37" s="484" customFormat="1">
      <c r="A42" s="519" t="s">
        <v>1164</v>
      </c>
      <c r="B42" s="519"/>
      <c r="C42" s="493"/>
      <c r="D42" s="493"/>
      <c r="E42" s="493"/>
      <c r="F42" s="493"/>
      <c r="G42" s="493"/>
      <c r="H42" s="493"/>
      <c r="I42" s="493"/>
      <c r="J42" s="493"/>
      <c r="K42" s="493"/>
      <c r="L42" s="493"/>
      <c r="M42" s="493"/>
      <c r="N42" s="493"/>
      <c r="O42" s="493"/>
      <c r="P42" s="493"/>
      <c r="Q42" s="493"/>
      <c r="R42" s="493"/>
      <c r="S42" s="493"/>
      <c r="T42" s="794"/>
      <c r="U42" s="600">
        <f t="shared" si="34"/>
        <v>0</v>
      </c>
      <c r="V42" s="493"/>
      <c r="W42" s="542"/>
      <c r="X42" s="1008"/>
      <c r="Y42" s="543"/>
      <c r="Z42" s="543"/>
      <c r="AA42" s="543"/>
      <c r="AB42" s="543"/>
      <c r="AC42" s="543"/>
      <c r="AD42" s="543"/>
      <c r="AE42" s="543"/>
      <c r="AF42" s="543"/>
      <c r="AG42" s="543"/>
      <c r="AH42" s="600">
        <f t="shared" si="35"/>
        <v>0</v>
      </c>
    </row>
    <row r="43" spans="1:37" s="484" customFormat="1">
      <c r="A43" s="540" t="s">
        <v>1165</v>
      </c>
      <c r="B43" s="493">
        <f>13832890356-392981501-226659773</f>
        <v>13213249082</v>
      </c>
      <c r="C43" s="493"/>
      <c r="D43" s="493">
        <v>21013277850.043201</v>
      </c>
      <c r="E43" s="493">
        <v>11140273936.33</v>
      </c>
      <c r="F43" s="493">
        <v>12356181472.34</v>
      </c>
      <c r="G43" s="493">
        <f>+E43/8*12</f>
        <v>16710410904.494999</v>
      </c>
      <c r="H43" s="493">
        <v>1399200433.688</v>
      </c>
      <c r="I43" s="493">
        <v>1470390683.688</v>
      </c>
      <c r="J43" s="493">
        <v>1730693683.688</v>
      </c>
      <c r="K43" s="493">
        <v>1735091108.0510001</v>
      </c>
      <c r="L43" s="493">
        <v>3298584780.6615</v>
      </c>
      <c r="M43" s="493">
        <v>3137837899.329</v>
      </c>
      <c r="N43" s="493">
        <v>1734168182.8005002</v>
      </c>
      <c r="O43" s="493">
        <v>1747059078.299</v>
      </c>
      <c r="P43" s="493">
        <v>1741153417.2995</v>
      </c>
      <c r="Q43" s="493">
        <v>1743633065.4245</v>
      </c>
      <c r="R43" s="493">
        <v>1742759565.4245</v>
      </c>
      <c r="S43" s="493">
        <v>1742759565.4245</v>
      </c>
      <c r="T43" s="794">
        <f t="shared" ref="T43:T63" si="36">SUM(H43:S43)</f>
        <v>23223331463.778</v>
      </c>
      <c r="U43" s="600">
        <f t="shared" si="34"/>
        <v>0</v>
      </c>
      <c r="V43" s="548">
        <f t="shared" ref="V43:V62" si="37">SUM(H43:U43)-T43</f>
        <v>23223331463.778</v>
      </c>
      <c r="W43" s="542">
        <f t="shared" ref="W43:W62" si="38">V43/G43-1</f>
        <v>0.38975226860107104</v>
      </c>
      <c r="X43" s="1009">
        <v>71976503353.393509</v>
      </c>
      <c r="Y43" s="493"/>
      <c r="Z43" s="542"/>
      <c r="AA43" s="493"/>
      <c r="AB43" s="542"/>
      <c r="AC43" s="493"/>
      <c r="AD43" s="542"/>
      <c r="AE43" s="493"/>
      <c r="AF43" s="542"/>
      <c r="AG43" s="493"/>
      <c r="AH43" s="600">
        <f t="shared" si="35"/>
        <v>-48753171889.615509</v>
      </c>
    </row>
    <row r="44" spans="1:37" s="484" customFormat="1">
      <c r="A44" s="540" t="s">
        <v>372</v>
      </c>
      <c r="B44" s="493">
        <v>392981501</v>
      </c>
      <c r="C44" s="493"/>
      <c r="D44" s="493">
        <v>2389960512.3921766</v>
      </c>
      <c r="E44" s="493">
        <v>183269229</v>
      </c>
      <c r="F44" s="495">
        <v>213339065</v>
      </c>
      <c r="G44" s="493">
        <f>(+G18+G19+G21)*16%*70%+F44</f>
        <v>314779099.75691015</v>
      </c>
      <c r="H44" s="493">
        <f t="shared" ref="H44:Q44" si="39">((H18+H19+H20)*16%*40%)*0.95</f>
        <v>87908502.255112842</v>
      </c>
      <c r="I44" s="493">
        <f t="shared" si="39"/>
        <v>98096684.788446158</v>
      </c>
      <c r="J44" s="493">
        <f t="shared" si="39"/>
        <v>108967917.32177947</v>
      </c>
      <c r="K44" s="493">
        <f t="shared" si="39"/>
        <v>119291316.52177948</v>
      </c>
      <c r="L44" s="493">
        <f t="shared" si="39"/>
        <v>129395582.38844615</v>
      </c>
      <c r="M44" s="493">
        <f t="shared" si="39"/>
        <v>139828548.25511283</v>
      </c>
      <c r="N44" s="493">
        <f t="shared" si="39"/>
        <v>149543180.86844617</v>
      </c>
      <c r="O44" s="493">
        <f t="shared" si="39"/>
        <v>158418421.85511282</v>
      </c>
      <c r="P44" s="493">
        <f t="shared" si="39"/>
        <v>166990612.84177947</v>
      </c>
      <c r="Q44" s="493">
        <f t="shared" si="39"/>
        <v>173739170.65511283</v>
      </c>
      <c r="R44" s="493">
        <f>((R18+R19+R20)*16%*40%)*0.95</f>
        <v>178846086.92177945</v>
      </c>
      <c r="S44" s="493">
        <f>((S18+S19+S20)*16%*40%)*0.95</f>
        <v>183953003.18844616</v>
      </c>
      <c r="T44" s="794">
        <f t="shared" si="36"/>
        <v>1694979027.8613539</v>
      </c>
      <c r="U44" s="600">
        <f t="shared" si="34"/>
        <v>0</v>
      </c>
      <c r="V44" s="548">
        <f t="shared" si="37"/>
        <v>1694979027.8613539</v>
      </c>
      <c r="W44" s="542">
        <f t="shared" si="38"/>
        <v>4.3846619078913136</v>
      </c>
      <c r="X44" s="1009">
        <v>4677901681.6107292</v>
      </c>
      <c r="Y44" s="493"/>
      <c r="Z44" s="542"/>
      <c r="AA44" s="493"/>
      <c r="AB44" s="542"/>
      <c r="AC44" s="493"/>
      <c r="AD44" s="542"/>
      <c r="AE44" s="493"/>
      <c r="AF44" s="542"/>
      <c r="AG44" s="493"/>
      <c r="AH44" s="600">
        <f t="shared" si="35"/>
        <v>-2982922653.7493753</v>
      </c>
    </row>
    <row r="45" spans="1:37" s="484" customFormat="1">
      <c r="A45" s="540" t="s">
        <v>377</v>
      </c>
      <c r="B45" s="550">
        <v>226659773</v>
      </c>
      <c r="C45" s="493"/>
      <c r="D45" s="493">
        <v>330870000.00000018</v>
      </c>
      <c r="E45" s="493">
        <v>111921431</v>
      </c>
      <c r="F45" s="493">
        <v>117171431</v>
      </c>
      <c r="G45" s="493">
        <f t="shared" ref="G45:G62" si="40">+E45/8*12</f>
        <v>167882146.5</v>
      </c>
      <c r="H45" s="493">
        <v>15400000</v>
      </c>
      <c r="I45" s="493">
        <v>0</v>
      </c>
      <c r="J45" s="493">
        <v>3000000</v>
      </c>
      <c r="K45" s="493">
        <v>34000000</v>
      </c>
      <c r="L45" s="493">
        <v>250000000</v>
      </c>
      <c r="M45" s="493">
        <v>38400000</v>
      </c>
      <c r="N45" s="493">
        <v>27300000</v>
      </c>
      <c r="O45" s="493">
        <v>0</v>
      </c>
      <c r="P45" s="493">
        <v>0</v>
      </c>
      <c r="Q45" s="493">
        <v>0</v>
      </c>
      <c r="R45" s="493">
        <v>40000000</v>
      </c>
      <c r="S45" s="493">
        <v>0</v>
      </c>
      <c r="T45" s="794">
        <f t="shared" si="36"/>
        <v>408100000</v>
      </c>
      <c r="U45" s="600">
        <f t="shared" si="34"/>
        <v>0</v>
      </c>
      <c r="V45" s="548">
        <f t="shared" si="37"/>
        <v>408100000</v>
      </c>
      <c r="W45" s="542">
        <f t="shared" si="38"/>
        <v>1.4308719450403262</v>
      </c>
      <c r="X45" s="1009">
        <v>1512400000</v>
      </c>
      <c r="Y45" s="493">
        <f t="shared" ref="Y45:Y62" si="41">+V45*(100%+Z45)</f>
        <v>448910000.00000006</v>
      </c>
      <c r="Z45" s="542">
        <v>0.1</v>
      </c>
      <c r="AA45" s="493">
        <f t="shared" ref="AA45:AA62" si="42">+Y45*(100%+AB45)</f>
        <v>493801000.00000012</v>
      </c>
      <c r="AB45" s="542">
        <v>0.1</v>
      </c>
      <c r="AC45" s="493">
        <f t="shared" ref="AC45:AC62" si="43">+AA45*(100%+AD45)</f>
        <v>543181100.00000012</v>
      </c>
      <c r="AD45" s="542">
        <v>0.1</v>
      </c>
      <c r="AE45" s="493">
        <f t="shared" ref="AE45:AE62" si="44">+AC45*(100%+AF45)</f>
        <v>597499210.00000024</v>
      </c>
      <c r="AF45" s="542">
        <v>0.1</v>
      </c>
      <c r="AG45" s="493"/>
      <c r="AH45" s="600">
        <f t="shared" si="35"/>
        <v>-1104300000</v>
      </c>
    </row>
    <row r="46" spans="1:37" s="484" customFormat="1" hidden="1">
      <c r="A46" s="540" t="s">
        <v>1166</v>
      </c>
      <c r="B46" s="493"/>
      <c r="C46" s="493"/>
      <c r="D46" s="493"/>
      <c r="E46" s="493">
        <v>0</v>
      </c>
      <c r="F46" s="493"/>
      <c r="G46" s="493">
        <f t="shared" si="40"/>
        <v>0</v>
      </c>
      <c r="H46" s="493">
        <v>0</v>
      </c>
      <c r="I46" s="493">
        <v>0</v>
      </c>
      <c r="J46" s="493">
        <v>0</v>
      </c>
      <c r="K46" s="493">
        <v>0</v>
      </c>
      <c r="L46" s="493">
        <v>0</v>
      </c>
      <c r="M46" s="493">
        <v>0</v>
      </c>
      <c r="N46" s="493">
        <v>0</v>
      </c>
      <c r="O46" s="493">
        <v>0</v>
      </c>
      <c r="P46" s="493">
        <v>0</v>
      </c>
      <c r="Q46" s="493">
        <v>0</v>
      </c>
      <c r="R46" s="493">
        <v>0</v>
      </c>
      <c r="S46" s="493">
        <v>0</v>
      </c>
      <c r="T46" s="794">
        <f t="shared" si="36"/>
        <v>0</v>
      </c>
      <c r="U46" s="600">
        <f t="shared" si="34"/>
        <v>0</v>
      </c>
      <c r="V46" s="548">
        <f t="shared" si="37"/>
        <v>0</v>
      </c>
      <c r="W46" s="542" t="e">
        <f t="shared" si="38"/>
        <v>#DIV/0!</v>
      </c>
      <c r="X46" s="1009">
        <v>0</v>
      </c>
      <c r="Y46" s="493">
        <f t="shared" si="41"/>
        <v>0</v>
      </c>
      <c r="Z46" s="542">
        <v>0.1</v>
      </c>
      <c r="AA46" s="493">
        <f t="shared" si="42"/>
        <v>0</v>
      </c>
      <c r="AB46" s="542">
        <v>0.1</v>
      </c>
      <c r="AC46" s="493">
        <f t="shared" si="43"/>
        <v>0</v>
      </c>
      <c r="AD46" s="542">
        <v>0.1</v>
      </c>
      <c r="AE46" s="493">
        <f t="shared" si="44"/>
        <v>0</v>
      </c>
      <c r="AF46" s="542">
        <v>0.1</v>
      </c>
      <c r="AG46" s="493"/>
      <c r="AH46" s="600">
        <f t="shared" si="35"/>
        <v>0</v>
      </c>
    </row>
    <row r="47" spans="1:37" s="484" customFormat="1">
      <c r="A47" s="540" t="s">
        <v>1167</v>
      </c>
      <c r="B47" s="493">
        <v>350096958</v>
      </c>
      <c r="C47" s="493"/>
      <c r="D47" s="493">
        <v>2099848596.0527673</v>
      </c>
      <c r="E47" s="493">
        <v>466921521</v>
      </c>
      <c r="F47" s="493">
        <v>746398911</v>
      </c>
      <c r="G47" s="493">
        <f t="shared" si="40"/>
        <v>700382281.5</v>
      </c>
      <c r="H47" s="493">
        <v>689915333.08000004</v>
      </c>
      <c r="I47" s="493">
        <v>59791733.080000006</v>
      </c>
      <c r="J47" s="493">
        <v>124277733.08</v>
      </c>
      <c r="K47" s="493">
        <v>58347733.080000006</v>
      </c>
      <c r="L47" s="493">
        <v>28707733.080000002</v>
      </c>
      <c r="M47" s="493">
        <v>260667333.08000001</v>
      </c>
      <c r="N47" s="493">
        <v>578780533.07999992</v>
      </c>
      <c r="O47" s="493">
        <v>80121733.079999998</v>
      </c>
      <c r="P47" s="493">
        <v>68417733.079999998</v>
      </c>
      <c r="Q47" s="493">
        <v>77575733.079999998</v>
      </c>
      <c r="R47" s="493">
        <v>34977733.079999998</v>
      </c>
      <c r="S47" s="493">
        <v>68379733.079999998</v>
      </c>
      <c r="T47" s="794">
        <f t="shared" si="36"/>
        <v>2129960796.9599998</v>
      </c>
      <c r="U47" s="600">
        <f t="shared" si="34"/>
        <v>0</v>
      </c>
      <c r="V47" s="548">
        <f t="shared" si="37"/>
        <v>2129960796.9599998</v>
      </c>
      <c r="W47" s="542">
        <f t="shared" si="38"/>
        <v>2.0411403218229469</v>
      </c>
      <c r="X47" s="1009">
        <v>7760086390.8800001</v>
      </c>
      <c r="Y47" s="493">
        <f t="shared" si="41"/>
        <v>2342956876.6560001</v>
      </c>
      <c r="Z47" s="542">
        <v>0.1</v>
      </c>
      <c r="AA47" s="493">
        <f t="shared" si="42"/>
        <v>2577252564.3216004</v>
      </c>
      <c r="AB47" s="542">
        <v>0.1</v>
      </c>
      <c r="AC47" s="493">
        <f t="shared" si="43"/>
        <v>2834977820.7537608</v>
      </c>
      <c r="AD47" s="542">
        <v>0.1</v>
      </c>
      <c r="AE47" s="493">
        <f t="shared" si="44"/>
        <v>3118475602.8291373</v>
      </c>
      <c r="AF47" s="542">
        <v>0.1</v>
      </c>
      <c r="AG47" s="493"/>
      <c r="AH47" s="600">
        <f t="shared" si="35"/>
        <v>-5630125593.9200001</v>
      </c>
    </row>
    <row r="48" spans="1:37" s="484" customFormat="1">
      <c r="A48" s="540" t="s">
        <v>1168</v>
      </c>
      <c r="B48" s="493">
        <v>3373378622</v>
      </c>
      <c r="C48" s="493"/>
      <c r="D48" s="493">
        <v>4132859517</v>
      </c>
      <c r="E48" s="493">
        <v>3160565897</v>
      </c>
      <c r="F48" s="493">
        <v>3513664097</v>
      </c>
      <c r="G48" s="493">
        <f t="shared" si="40"/>
        <v>4740848845.5</v>
      </c>
      <c r="H48" s="493">
        <v>470247205.24999994</v>
      </c>
      <c r="I48" s="493">
        <v>484197205.24999994</v>
      </c>
      <c r="J48" s="493">
        <v>499413872.24999994</v>
      </c>
      <c r="K48" s="493">
        <v>499468872.24999994</v>
      </c>
      <c r="L48" s="493">
        <v>499468872.24999994</v>
      </c>
      <c r="M48" s="493">
        <v>499468872.24999994</v>
      </c>
      <c r="N48" s="493">
        <v>499468872.24999994</v>
      </c>
      <c r="O48" s="493">
        <v>499468872.24999994</v>
      </c>
      <c r="P48" s="493">
        <v>499468872.24999994</v>
      </c>
      <c r="Q48" s="493">
        <v>499523872.24999994</v>
      </c>
      <c r="R48" s="493">
        <v>499523872.24999994</v>
      </c>
      <c r="S48" s="493">
        <v>499523872.24999994</v>
      </c>
      <c r="T48" s="794">
        <f t="shared" si="36"/>
        <v>5949243132.999999</v>
      </c>
      <c r="U48" s="600">
        <f t="shared" si="34"/>
        <v>0</v>
      </c>
      <c r="V48" s="548">
        <f t="shared" si="37"/>
        <v>5949243132.999999</v>
      </c>
      <c r="W48" s="542">
        <f t="shared" si="38"/>
        <v>0.25488985767749228</v>
      </c>
      <c r="X48" s="1009">
        <v>17802851064.999996</v>
      </c>
      <c r="Y48" s="493">
        <f t="shared" si="41"/>
        <v>6544167446.2999992</v>
      </c>
      <c r="Z48" s="542">
        <v>0.1</v>
      </c>
      <c r="AA48" s="493">
        <f t="shared" si="42"/>
        <v>7198584190.9299994</v>
      </c>
      <c r="AB48" s="542">
        <v>0.1</v>
      </c>
      <c r="AC48" s="493">
        <f t="shared" si="43"/>
        <v>7918442610.0229998</v>
      </c>
      <c r="AD48" s="542">
        <v>0.1</v>
      </c>
      <c r="AE48" s="493">
        <f t="shared" si="44"/>
        <v>8710286871.025301</v>
      </c>
      <c r="AF48" s="542">
        <v>0.1</v>
      </c>
      <c r="AG48" s="493"/>
      <c r="AH48" s="600">
        <f t="shared" si="35"/>
        <v>-11853607931.999996</v>
      </c>
    </row>
    <row r="49" spans="1:34" s="484" customFormat="1">
      <c r="A49" s="540" t="s">
        <v>1169</v>
      </c>
      <c r="B49" s="493">
        <f>209107484-14324265</f>
        <v>194783219</v>
      </c>
      <c r="C49" s="493"/>
      <c r="D49" s="493">
        <v>802300100.00000012</v>
      </c>
      <c r="E49" s="493">
        <v>876600418</v>
      </c>
      <c r="F49" s="493">
        <v>981550791</v>
      </c>
      <c r="G49" s="493">
        <f>+E49/8*12</f>
        <v>1314900627</v>
      </c>
      <c r="H49" s="493">
        <v>95657400</v>
      </c>
      <c r="I49" s="493">
        <v>94346400</v>
      </c>
      <c r="J49" s="493">
        <v>110795650</v>
      </c>
      <c r="K49" s="493">
        <v>111460650</v>
      </c>
      <c r="L49" s="493">
        <v>126328150</v>
      </c>
      <c r="M49" s="493">
        <v>96783150</v>
      </c>
      <c r="N49" s="493">
        <v>108990650</v>
      </c>
      <c r="O49" s="493">
        <v>92508150</v>
      </c>
      <c r="P49" s="493">
        <v>91995150</v>
      </c>
      <c r="Q49" s="493">
        <v>111223150</v>
      </c>
      <c r="R49" s="493">
        <v>97495650</v>
      </c>
      <c r="S49" s="493">
        <v>93553150</v>
      </c>
      <c r="T49" s="794">
        <f t="shared" si="36"/>
        <v>1231137300</v>
      </c>
      <c r="U49" s="600">
        <f t="shared" si="34"/>
        <v>0</v>
      </c>
      <c r="V49" s="548">
        <f t="shared" si="37"/>
        <v>1231137300</v>
      </c>
      <c r="W49" s="542">
        <f t="shared" si="38"/>
        <v>-6.3703161501344363E-2</v>
      </c>
      <c r="X49" s="1009">
        <v>3741234900</v>
      </c>
      <c r="Y49" s="493">
        <f t="shared" si="41"/>
        <v>1354251030</v>
      </c>
      <c r="Z49" s="542">
        <v>0.1</v>
      </c>
      <c r="AA49" s="493">
        <f t="shared" si="42"/>
        <v>1489676133.0000002</v>
      </c>
      <c r="AB49" s="542">
        <v>0.1</v>
      </c>
      <c r="AC49" s="493">
        <f t="shared" si="43"/>
        <v>1638643746.3000004</v>
      </c>
      <c r="AD49" s="542">
        <v>0.1</v>
      </c>
      <c r="AE49" s="493">
        <f t="shared" si="44"/>
        <v>1802508120.9300005</v>
      </c>
      <c r="AF49" s="542">
        <v>0.1</v>
      </c>
      <c r="AG49" s="493"/>
      <c r="AH49" s="600">
        <f t="shared" si="35"/>
        <v>-2510097600</v>
      </c>
    </row>
    <row r="50" spans="1:34" s="484" customFormat="1">
      <c r="A50" s="540" t="s">
        <v>472</v>
      </c>
      <c r="B50" s="493">
        <v>14324265</v>
      </c>
      <c r="C50" s="493"/>
      <c r="D50" s="493">
        <v>180415000</v>
      </c>
      <c r="E50" s="493">
        <v>20105000</v>
      </c>
      <c r="F50" s="493">
        <v>500000</v>
      </c>
      <c r="G50" s="493">
        <f t="shared" si="40"/>
        <v>30157500</v>
      </c>
      <c r="H50" s="493">
        <v>29025000</v>
      </c>
      <c r="I50" s="493">
        <v>27500000</v>
      </c>
      <c r="J50" s="493">
        <v>0</v>
      </c>
      <c r="K50" s="493">
        <v>10350000</v>
      </c>
      <c r="L50" s="493">
        <v>3500000</v>
      </c>
      <c r="M50" s="493">
        <v>0</v>
      </c>
      <c r="N50" s="493">
        <v>40035000</v>
      </c>
      <c r="O50" s="493">
        <v>12500000</v>
      </c>
      <c r="P50" s="493">
        <v>0</v>
      </c>
      <c r="Q50" s="493">
        <v>35000</v>
      </c>
      <c r="R50" s="493">
        <v>0</v>
      </c>
      <c r="S50" s="493">
        <v>0</v>
      </c>
      <c r="T50" s="794">
        <f t="shared" si="36"/>
        <v>122945000</v>
      </c>
      <c r="U50" s="600">
        <f t="shared" si="34"/>
        <v>0</v>
      </c>
      <c r="V50" s="548">
        <f t="shared" si="37"/>
        <v>122945000</v>
      </c>
      <c r="W50" s="542">
        <f t="shared" si="38"/>
        <v>3.0767636574649755</v>
      </c>
      <c r="X50" s="1009">
        <v>479175000</v>
      </c>
      <c r="Y50" s="493">
        <f t="shared" si="41"/>
        <v>135239500</v>
      </c>
      <c r="Z50" s="542">
        <v>0.1</v>
      </c>
      <c r="AA50" s="493">
        <f t="shared" si="42"/>
        <v>148763450</v>
      </c>
      <c r="AB50" s="542">
        <v>0.1</v>
      </c>
      <c r="AC50" s="493">
        <f t="shared" si="43"/>
        <v>163639795</v>
      </c>
      <c r="AD50" s="542">
        <v>0.1</v>
      </c>
      <c r="AE50" s="493">
        <f t="shared" si="44"/>
        <v>180003774.5</v>
      </c>
      <c r="AF50" s="542">
        <v>0.1</v>
      </c>
      <c r="AG50" s="493"/>
      <c r="AH50" s="600">
        <f t="shared" si="35"/>
        <v>-356230000</v>
      </c>
    </row>
    <row r="51" spans="1:34" s="484" customFormat="1">
      <c r="A51" s="540" t="s">
        <v>1170</v>
      </c>
      <c r="B51" s="493">
        <v>744351324</v>
      </c>
      <c r="C51" s="493"/>
      <c r="D51" s="493">
        <v>741600000</v>
      </c>
      <c r="E51" s="493">
        <v>557456087</v>
      </c>
      <c r="F51" s="493">
        <v>557456087</v>
      </c>
      <c r="G51" s="493">
        <f t="shared" si="40"/>
        <v>836184130.5</v>
      </c>
      <c r="H51" s="493">
        <v>69682010.875</v>
      </c>
      <c r="I51" s="493">
        <v>69682010.875</v>
      </c>
      <c r="J51" s="493">
        <v>69682010.875</v>
      </c>
      <c r="K51" s="493">
        <v>69682010.875</v>
      </c>
      <c r="L51" s="493">
        <v>69682010.875</v>
      </c>
      <c r="M51" s="493">
        <v>69682010.875</v>
      </c>
      <c r="N51" s="493">
        <v>69682010.875</v>
      </c>
      <c r="O51" s="493">
        <v>69682010.875</v>
      </c>
      <c r="P51" s="493">
        <v>69682010.875</v>
      </c>
      <c r="Q51" s="493">
        <v>69682010.875</v>
      </c>
      <c r="R51" s="493">
        <v>69682010.875</v>
      </c>
      <c r="S51" s="493">
        <v>69682010.875</v>
      </c>
      <c r="T51" s="794">
        <f t="shared" si="36"/>
        <v>836184130.5</v>
      </c>
      <c r="U51" s="600">
        <f t="shared" si="34"/>
        <v>0</v>
      </c>
      <c r="V51" s="548">
        <f t="shared" si="37"/>
        <v>836184130.5</v>
      </c>
      <c r="W51" s="542">
        <f t="shared" si="38"/>
        <v>0</v>
      </c>
      <c r="X51" s="1009">
        <v>2508552391.5</v>
      </c>
      <c r="Y51" s="493">
        <f t="shared" si="41"/>
        <v>919802543.55000007</v>
      </c>
      <c r="Z51" s="542">
        <v>0.1</v>
      </c>
      <c r="AA51" s="493">
        <f t="shared" si="42"/>
        <v>1011782797.9050002</v>
      </c>
      <c r="AB51" s="542">
        <v>0.1</v>
      </c>
      <c r="AC51" s="493">
        <f t="shared" si="43"/>
        <v>1112961077.6955004</v>
      </c>
      <c r="AD51" s="542">
        <v>0.1</v>
      </c>
      <c r="AE51" s="493">
        <f t="shared" si="44"/>
        <v>1224257185.4650505</v>
      </c>
      <c r="AF51" s="542">
        <v>0.1</v>
      </c>
      <c r="AG51" s="493"/>
      <c r="AH51" s="600">
        <f t="shared" si="35"/>
        <v>-1672368261</v>
      </c>
    </row>
    <row r="52" spans="1:34" s="484" customFormat="1">
      <c r="A52" s="540" t="s">
        <v>1171</v>
      </c>
      <c r="B52" s="493">
        <v>2046806398</v>
      </c>
      <c r="C52" s="493"/>
      <c r="D52" s="493">
        <v>2363017728</v>
      </c>
      <c r="E52" s="493">
        <v>1426652751</v>
      </c>
      <c r="F52" s="493">
        <v>1613510463</v>
      </c>
      <c r="G52" s="493">
        <f t="shared" si="40"/>
        <v>2139979126.5</v>
      </c>
      <c r="H52" s="493">
        <v>194945068.30833334</v>
      </c>
      <c r="I52" s="493">
        <v>194945068.30833334</v>
      </c>
      <c r="J52" s="493">
        <v>214630555.79166669</v>
      </c>
      <c r="K52" s="493">
        <v>226956326.44166666</v>
      </c>
      <c r="L52" s="493">
        <v>226956326.44166666</v>
      </c>
      <c r="M52" s="493">
        <v>232406326.44166666</v>
      </c>
      <c r="N52" s="493">
        <v>232406326.44166666</v>
      </c>
      <c r="O52" s="493">
        <v>233156326.44166666</v>
      </c>
      <c r="P52" s="493">
        <v>233156326.44166666</v>
      </c>
      <c r="Q52" s="493">
        <v>233156326.44166666</v>
      </c>
      <c r="R52" s="493">
        <v>233156326.44166666</v>
      </c>
      <c r="S52" s="493">
        <v>233156326.44166666</v>
      </c>
      <c r="T52" s="794">
        <f t="shared" si="36"/>
        <v>2689027630.3833327</v>
      </c>
      <c r="U52" s="600">
        <f t="shared" si="34"/>
        <v>0</v>
      </c>
      <c r="V52" s="548">
        <f t="shared" si="37"/>
        <v>2689027630.3833327</v>
      </c>
      <c r="W52" s="542">
        <f t="shared" si="38"/>
        <v>0.25656722399031895</v>
      </c>
      <c r="X52" s="1009">
        <v>7958234604.2333317</v>
      </c>
      <c r="Y52" s="493">
        <f t="shared" si="41"/>
        <v>2957930393.4216661</v>
      </c>
      <c r="Z52" s="542">
        <v>0.1</v>
      </c>
      <c r="AA52" s="493">
        <f t="shared" si="42"/>
        <v>3253723432.763833</v>
      </c>
      <c r="AB52" s="542">
        <v>0.1</v>
      </c>
      <c r="AC52" s="493">
        <f t="shared" si="43"/>
        <v>3579095776.0402164</v>
      </c>
      <c r="AD52" s="542">
        <v>0.1</v>
      </c>
      <c r="AE52" s="493">
        <f t="shared" si="44"/>
        <v>3937005353.6442385</v>
      </c>
      <c r="AF52" s="542">
        <v>0.1</v>
      </c>
      <c r="AG52" s="493"/>
      <c r="AH52" s="600">
        <f t="shared" si="35"/>
        <v>-5269206973.8499985</v>
      </c>
    </row>
    <row r="53" spans="1:34" s="484" customFormat="1">
      <c r="A53" s="540" t="s">
        <v>1172</v>
      </c>
      <c r="B53" s="493">
        <f>151298187+119</f>
        <v>151298306</v>
      </c>
      <c r="C53" s="493"/>
      <c r="D53" s="493">
        <v>364500000</v>
      </c>
      <c r="E53" s="493">
        <v>139472774</v>
      </c>
      <c r="F53" s="493">
        <v>156408399</v>
      </c>
      <c r="G53" s="493">
        <f t="shared" si="40"/>
        <v>209209161</v>
      </c>
      <c r="H53" s="493">
        <v>38955000</v>
      </c>
      <c r="I53" s="493">
        <v>112997000</v>
      </c>
      <c r="J53" s="493">
        <v>22747000</v>
      </c>
      <c r="K53" s="493">
        <v>20722000</v>
      </c>
      <c r="L53" s="493">
        <v>30722000</v>
      </c>
      <c r="M53" s="493">
        <v>145222000</v>
      </c>
      <c r="N53" s="493">
        <v>28347000</v>
      </c>
      <c r="O53" s="493">
        <v>24122000</v>
      </c>
      <c r="P53" s="493">
        <v>22822000</v>
      </c>
      <c r="Q53" s="493">
        <v>32297000</v>
      </c>
      <c r="R53" s="493">
        <v>88522000</v>
      </c>
      <c r="S53" s="493">
        <v>128822000</v>
      </c>
      <c r="T53" s="794">
        <f t="shared" si="36"/>
        <v>696297000</v>
      </c>
      <c r="U53" s="600">
        <f t="shared" si="34"/>
        <v>0</v>
      </c>
      <c r="V53" s="548">
        <f t="shared" si="37"/>
        <v>696297000</v>
      </c>
      <c r="W53" s="542">
        <f t="shared" si="38"/>
        <v>2.3282337956510424</v>
      </c>
      <c r="X53" s="1009">
        <v>1966499000</v>
      </c>
      <c r="Y53" s="493">
        <f t="shared" si="41"/>
        <v>765926700.00000012</v>
      </c>
      <c r="Z53" s="542">
        <v>0.1</v>
      </c>
      <c r="AA53" s="493">
        <f t="shared" si="42"/>
        <v>842519370.00000024</v>
      </c>
      <c r="AB53" s="542">
        <v>0.1</v>
      </c>
      <c r="AC53" s="493">
        <f t="shared" si="43"/>
        <v>926771307.00000036</v>
      </c>
      <c r="AD53" s="542">
        <v>0.1</v>
      </c>
      <c r="AE53" s="493">
        <f t="shared" si="44"/>
        <v>1019448437.7000005</v>
      </c>
      <c r="AF53" s="542">
        <v>0.1</v>
      </c>
      <c r="AG53" s="493"/>
      <c r="AH53" s="600">
        <f t="shared" si="35"/>
        <v>-1270202000</v>
      </c>
    </row>
    <row r="54" spans="1:34" s="484" customFormat="1">
      <c r="A54" s="540" t="s">
        <v>1173</v>
      </c>
      <c r="B54" s="493">
        <v>562735396</v>
      </c>
      <c r="C54" s="493"/>
      <c r="D54" s="493">
        <v>736800000</v>
      </c>
      <c r="E54" s="493">
        <v>437300730</v>
      </c>
      <c r="F54" s="493">
        <v>489800884</v>
      </c>
      <c r="G54" s="493">
        <f t="shared" si="40"/>
        <v>655951095</v>
      </c>
      <c r="H54" s="493">
        <v>86248256.649801597</v>
      </c>
      <c r="I54" s="493">
        <v>86248256.649801597</v>
      </c>
      <c r="J54" s="493">
        <v>86248256.649801597</v>
      </c>
      <c r="K54" s="493">
        <v>86248256.649801597</v>
      </c>
      <c r="L54" s="493">
        <v>86248256.649801597</v>
      </c>
      <c r="M54" s="493">
        <v>86248256.649801597</v>
      </c>
      <c r="N54" s="493">
        <v>86248256.649801597</v>
      </c>
      <c r="O54" s="493">
        <v>86248256.649801597</v>
      </c>
      <c r="P54" s="493">
        <v>86248256.649801597</v>
      </c>
      <c r="Q54" s="493">
        <v>86248256.649801597</v>
      </c>
      <c r="R54" s="493">
        <v>86248256.649801597</v>
      </c>
      <c r="S54" s="493">
        <v>86248256.649801597</v>
      </c>
      <c r="T54" s="794">
        <f t="shared" si="36"/>
        <v>1034979079.7976192</v>
      </c>
      <c r="U54" s="600">
        <f t="shared" si="34"/>
        <v>0</v>
      </c>
      <c r="V54" s="548">
        <f t="shared" si="37"/>
        <v>1034979079.7976192</v>
      </c>
      <c r="W54" s="542">
        <f t="shared" si="38"/>
        <v>0.57782963956728994</v>
      </c>
      <c r="X54" s="1009">
        <v>3104937239.392858</v>
      </c>
      <c r="Y54" s="493">
        <f t="shared" si="41"/>
        <v>1138476987.7773812</v>
      </c>
      <c r="Z54" s="542">
        <v>0.1</v>
      </c>
      <c r="AA54" s="493">
        <f t="shared" si="42"/>
        <v>1252324686.5551195</v>
      </c>
      <c r="AB54" s="542">
        <v>0.1</v>
      </c>
      <c r="AC54" s="493">
        <f t="shared" si="43"/>
        <v>1377557155.2106316</v>
      </c>
      <c r="AD54" s="542">
        <v>0.1</v>
      </c>
      <c r="AE54" s="493">
        <f t="shared" si="44"/>
        <v>1515312870.7316949</v>
      </c>
      <c r="AF54" s="542">
        <v>0.1</v>
      </c>
      <c r="AG54" s="493"/>
      <c r="AH54" s="600">
        <f t="shared" si="35"/>
        <v>-2069958159.5952387</v>
      </c>
    </row>
    <row r="55" spans="1:34" s="484" customFormat="1">
      <c r="A55" s="540" t="s">
        <v>1174</v>
      </c>
      <c r="B55" s="493">
        <v>255861484</v>
      </c>
      <c r="C55" s="493"/>
      <c r="D55" s="493">
        <v>276600000</v>
      </c>
      <c r="E55" s="493">
        <v>484265265</v>
      </c>
      <c r="F55" s="493">
        <v>484265265</v>
      </c>
      <c r="G55" s="493">
        <f t="shared" si="40"/>
        <v>726397897.5</v>
      </c>
      <c r="H55" s="493">
        <v>170666666</v>
      </c>
      <c r="I55" s="493">
        <v>101166667</v>
      </c>
      <c r="J55" s="493">
        <v>41666666</v>
      </c>
      <c r="K55" s="493">
        <v>160666666</v>
      </c>
      <c r="L55" s="493">
        <v>46666666</v>
      </c>
      <c r="M55" s="493">
        <v>41666666</v>
      </c>
      <c r="N55" s="493">
        <v>84666666</v>
      </c>
      <c r="O55" s="493">
        <v>46666666</v>
      </c>
      <c r="P55" s="493">
        <v>41666666</v>
      </c>
      <c r="Q55" s="493">
        <v>84666666</v>
      </c>
      <c r="R55" s="493">
        <v>46666666</v>
      </c>
      <c r="S55" s="493">
        <v>41666666</v>
      </c>
      <c r="T55" s="794">
        <f t="shared" si="36"/>
        <v>908499993</v>
      </c>
      <c r="U55" s="600">
        <f t="shared" si="34"/>
        <v>0</v>
      </c>
      <c r="V55" s="548">
        <f t="shared" si="37"/>
        <v>908499993</v>
      </c>
      <c r="W55" s="542">
        <f t="shared" si="38"/>
        <v>0.25069193637086484</v>
      </c>
      <c r="X55" s="1009">
        <v>2984999980</v>
      </c>
      <c r="Y55" s="493">
        <f t="shared" si="41"/>
        <v>999349992.30000007</v>
      </c>
      <c r="Z55" s="542">
        <v>0.1</v>
      </c>
      <c r="AA55" s="493">
        <f t="shared" si="42"/>
        <v>1099284991.5300002</v>
      </c>
      <c r="AB55" s="542">
        <v>0.1</v>
      </c>
      <c r="AC55" s="493">
        <f t="shared" si="43"/>
        <v>1209213490.6830003</v>
      </c>
      <c r="AD55" s="542">
        <v>0.1</v>
      </c>
      <c r="AE55" s="493">
        <f t="shared" si="44"/>
        <v>1330134839.7513006</v>
      </c>
      <c r="AF55" s="542">
        <v>0.1</v>
      </c>
      <c r="AG55" s="493"/>
      <c r="AH55" s="600">
        <f t="shared" si="35"/>
        <v>-2076499987</v>
      </c>
    </row>
    <row r="56" spans="1:34" s="484" customFormat="1">
      <c r="A56" s="540" t="s">
        <v>1175</v>
      </c>
      <c r="B56" s="493">
        <v>293682697</v>
      </c>
      <c r="C56" s="493"/>
      <c r="D56" s="493">
        <v>310085000</v>
      </c>
      <c r="E56" s="493">
        <v>160688093</v>
      </c>
      <c r="F56" s="493">
        <v>239771504</v>
      </c>
      <c r="G56" s="493">
        <f t="shared" si="40"/>
        <v>241032139.5</v>
      </c>
      <c r="H56" s="493">
        <v>22728000</v>
      </c>
      <c r="I56" s="493">
        <v>22978000</v>
      </c>
      <c r="J56" s="493">
        <v>22978000</v>
      </c>
      <c r="K56" s="493">
        <v>22978000</v>
      </c>
      <c r="L56" s="493">
        <v>22978000</v>
      </c>
      <c r="M56" s="493">
        <v>22978000</v>
      </c>
      <c r="N56" s="493">
        <v>22978000</v>
      </c>
      <c r="O56" s="493">
        <v>22978000</v>
      </c>
      <c r="P56" s="493">
        <v>22978000</v>
      </c>
      <c r="Q56" s="493">
        <v>22978000</v>
      </c>
      <c r="R56" s="493">
        <v>22978000</v>
      </c>
      <c r="S56" s="493">
        <v>22978000</v>
      </c>
      <c r="T56" s="794">
        <f t="shared" si="36"/>
        <v>275486000</v>
      </c>
      <c r="U56" s="600">
        <f t="shared" si="34"/>
        <v>0</v>
      </c>
      <c r="V56" s="548">
        <f t="shared" si="37"/>
        <v>275486000</v>
      </c>
      <c r="W56" s="542">
        <f t="shared" si="38"/>
        <v>0.14294301403734577</v>
      </c>
      <c r="X56" s="1009">
        <v>826208000</v>
      </c>
      <c r="Y56" s="493">
        <f t="shared" si="41"/>
        <v>303034600</v>
      </c>
      <c r="Z56" s="542">
        <v>0.1</v>
      </c>
      <c r="AA56" s="493">
        <f t="shared" si="42"/>
        <v>333338060</v>
      </c>
      <c r="AB56" s="542">
        <v>0.1</v>
      </c>
      <c r="AC56" s="493">
        <f t="shared" si="43"/>
        <v>366671866</v>
      </c>
      <c r="AD56" s="542">
        <v>0.1</v>
      </c>
      <c r="AE56" s="493">
        <f t="shared" si="44"/>
        <v>403339052.60000002</v>
      </c>
      <c r="AF56" s="542">
        <v>0.1</v>
      </c>
      <c r="AG56" s="493"/>
      <c r="AH56" s="600">
        <f t="shared" si="35"/>
        <v>-550722000</v>
      </c>
    </row>
    <row r="57" spans="1:34" s="484" customFormat="1">
      <c r="A57" s="540" t="s">
        <v>1176</v>
      </c>
      <c r="B57" s="493">
        <v>97850004</v>
      </c>
      <c r="C57" s="493"/>
      <c r="D57" s="493">
        <v>322982283.33333331</v>
      </c>
      <c r="E57" s="493">
        <v>86237761</v>
      </c>
      <c r="F57" s="493">
        <v>101393403</v>
      </c>
      <c r="G57" s="493">
        <f t="shared" si="40"/>
        <v>129356641.5</v>
      </c>
      <c r="H57" s="493">
        <v>11777645.125</v>
      </c>
      <c r="I57" s="493">
        <v>13477645.125</v>
      </c>
      <c r="J57" s="493">
        <v>13277645.125</v>
      </c>
      <c r="K57" s="493">
        <v>13277645.125</v>
      </c>
      <c r="L57" s="493">
        <v>18727645.125</v>
      </c>
      <c r="M57" s="493">
        <v>18527645.125</v>
      </c>
      <c r="N57" s="493">
        <v>18527645.125</v>
      </c>
      <c r="O57" s="493">
        <v>19277645.125</v>
      </c>
      <c r="P57" s="493">
        <v>19277645.125</v>
      </c>
      <c r="Q57" s="493">
        <v>19277645.125</v>
      </c>
      <c r="R57" s="493">
        <v>19277645.125</v>
      </c>
      <c r="S57" s="493">
        <v>19277645.125</v>
      </c>
      <c r="T57" s="794">
        <f t="shared" si="36"/>
        <v>203981741.5</v>
      </c>
      <c r="U57" s="600">
        <f t="shared" si="34"/>
        <v>0</v>
      </c>
      <c r="V57" s="548">
        <f t="shared" si="37"/>
        <v>203981741.5</v>
      </c>
      <c r="W57" s="542">
        <f t="shared" si="38"/>
        <v>0.57689422927697143</v>
      </c>
      <c r="X57" s="1009">
        <v>584595224.5</v>
      </c>
      <c r="Y57" s="493">
        <f t="shared" si="41"/>
        <v>224379915.65000001</v>
      </c>
      <c r="Z57" s="542">
        <v>0.1</v>
      </c>
      <c r="AA57" s="493">
        <f t="shared" si="42"/>
        <v>246817907.21500003</v>
      </c>
      <c r="AB57" s="542">
        <v>0.1</v>
      </c>
      <c r="AC57" s="493">
        <f t="shared" si="43"/>
        <v>271499697.93650007</v>
      </c>
      <c r="AD57" s="542">
        <v>0.1</v>
      </c>
      <c r="AE57" s="493">
        <f t="shared" si="44"/>
        <v>298649667.7301501</v>
      </c>
      <c r="AF57" s="542">
        <v>0.1</v>
      </c>
      <c r="AG57" s="493"/>
      <c r="AH57" s="600">
        <f t="shared" si="35"/>
        <v>-380613483</v>
      </c>
    </row>
    <row r="58" spans="1:34" s="484" customFormat="1">
      <c r="A58" s="540" t="s">
        <v>1177</v>
      </c>
      <c r="B58" s="493">
        <v>206370219</v>
      </c>
      <c r="C58" s="493"/>
      <c r="D58" s="493">
        <v>1180310327.0802732</v>
      </c>
      <c r="E58" s="493">
        <v>657237881</v>
      </c>
      <c r="F58" s="493">
        <v>793054779</v>
      </c>
      <c r="G58" s="493">
        <f>(G20+G22+G24+G25)*40%</f>
        <v>158658716.86235863</v>
      </c>
      <c r="H58" s="493">
        <f t="shared" ref="H58:Q58" si="45">((H20+H22+H24+H25)*50%+(H27*2/3)-100000000)*0.94</f>
        <v>296161153.16545153</v>
      </c>
      <c r="I58" s="493">
        <f t="shared" si="45"/>
        <v>304072819.83211821</v>
      </c>
      <c r="J58" s="493">
        <f t="shared" si="45"/>
        <v>313286778.16545153</v>
      </c>
      <c r="K58" s="493">
        <f t="shared" si="45"/>
        <v>325154278.16545153</v>
      </c>
      <c r="L58" s="493">
        <f t="shared" si="45"/>
        <v>340371507.33211821</v>
      </c>
      <c r="M58" s="493">
        <f t="shared" si="45"/>
        <v>358008257.33211821</v>
      </c>
      <c r="N58" s="493">
        <f t="shared" si="45"/>
        <v>383997298.99878484</v>
      </c>
      <c r="O58" s="493">
        <f t="shared" si="45"/>
        <v>410119507.33211815</v>
      </c>
      <c r="P58" s="493">
        <f t="shared" si="45"/>
        <v>429031132.33211821</v>
      </c>
      <c r="Q58" s="493">
        <f t="shared" si="45"/>
        <v>447942757.33211821</v>
      </c>
      <c r="R58" s="493">
        <f>((R20+R22+R24+R25)*50%+(R27*2/3))*0.94</f>
        <v>560854382.33211815</v>
      </c>
      <c r="S58" s="493">
        <f>(((S20+S22+S24+S25)*50%+(S27*2/3)))*0.94</f>
        <v>579766007.33211815</v>
      </c>
      <c r="T58" s="794">
        <f t="shared" si="36"/>
        <v>4748765879.6520844</v>
      </c>
      <c r="U58" s="600">
        <f t="shared" si="34"/>
        <v>0</v>
      </c>
      <c r="V58" s="548">
        <f t="shared" si="37"/>
        <v>4748765879.6520844</v>
      </c>
      <c r="W58" s="542">
        <f t="shared" si="38"/>
        <v>28.930696362380054</v>
      </c>
      <c r="X58" s="1009">
        <v>12961192305.622925</v>
      </c>
      <c r="Y58" s="493">
        <f t="shared" si="41"/>
        <v>5223642467.6172934</v>
      </c>
      <c r="Z58" s="542">
        <v>0.1</v>
      </c>
      <c r="AA58" s="493">
        <f t="shared" si="42"/>
        <v>5746006714.3790236</v>
      </c>
      <c r="AB58" s="542">
        <v>0.1</v>
      </c>
      <c r="AC58" s="493">
        <f t="shared" si="43"/>
        <v>6320607385.816926</v>
      </c>
      <c r="AD58" s="542">
        <v>0.1</v>
      </c>
      <c r="AE58" s="493">
        <f t="shared" si="44"/>
        <v>6952668124.3986187</v>
      </c>
      <c r="AF58" s="542">
        <v>0.1</v>
      </c>
      <c r="AG58" s="493"/>
      <c r="AH58" s="600">
        <f t="shared" si="35"/>
        <v>-8212426425.9708405</v>
      </c>
    </row>
    <row r="59" spans="1:34" s="484" customFormat="1">
      <c r="A59" s="540" t="s">
        <v>1178</v>
      </c>
      <c r="B59" s="493">
        <v>50396823</v>
      </c>
      <c r="C59" s="493"/>
      <c r="D59" s="493">
        <v>71650402.650000006</v>
      </c>
      <c r="E59" s="493">
        <v>625641004</v>
      </c>
      <c r="F59" s="493">
        <v>814816506</v>
      </c>
      <c r="G59" s="493">
        <f t="shared" si="40"/>
        <v>938461506</v>
      </c>
      <c r="H59" s="493">
        <v>103819000</v>
      </c>
      <c r="I59" s="493">
        <v>100250000</v>
      </c>
      <c r="J59" s="493">
        <v>100000000</v>
      </c>
      <c r="K59" s="493">
        <v>100000000</v>
      </c>
      <c r="L59" s="493">
        <v>103926000</v>
      </c>
      <c r="M59" s="493">
        <v>100000000</v>
      </c>
      <c r="N59" s="493">
        <v>113571000</v>
      </c>
      <c r="O59" s="493">
        <v>100000000</v>
      </c>
      <c r="P59" s="493">
        <v>109243000</v>
      </c>
      <c r="Q59" s="493">
        <v>100000000</v>
      </c>
      <c r="R59" s="493">
        <v>100000000</v>
      </c>
      <c r="S59" s="493">
        <v>117500000</v>
      </c>
      <c r="T59" s="794">
        <f t="shared" si="36"/>
        <v>1248309000</v>
      </c>
      <c r="U59" s="600">
        <f t="shared" si="34"/>
        <v>0</v>
      </c>
      <c r="V59" s="548">
        <f t="shared" si="37"/>
        <v>1248309000</v>
      </c>
      <c r="W59" s="542">
        <f t="shared" si="38"/>
        <v>0.33016537387949074</v>
      </c>
      <c r="X59" s="1009">
        <v>3722250000</v>
      </c>
      <c r="Y59" s="493">
        <f t="shared" si="41"/>
        <v>1373139900</v>
      </c>
      <c r="Z59" s="542">
        <v>0.1</v>
      </c>
      <c r="AA59" s="493">
        <f t="shared" si="42"/>
        <v>1510453890.0000002</v>
      </c>
      <c r="AB59" s="542">
        <v>0.1</v>
      </c>
      <c r="AC59" s="493">
        <f t="shared" si="43"/>
        <v>1661499279.0000005</v>
      </c>
      <c r="AD59" s="542">
        <v>0.1</v>
      </c>
      <c r="AE59" s="493">
        <f t="shared" si="44"/>
        <v>1827649206.9000006</v>
      </c>
      <c r="AF59" s="542">
        <v>0.1</v>
      </c>
      <c r="AG59" s="493"/>
      <c r="AH59" s="600">
        <f t="shared" si="35"/>
        <v>-2473941000</v>
      </c>
    </row>
    <row r="60" spans="1:34" s="484" customFormat="1">
      <c r="A60" s="540" t="s">
        <v>1179</v>
      </c>
      <c r="B60" s="493">
        <v>128391480.13</v>
      </c>
      <c r="C60" s="493"/>
      <c r="D60" s="493">
        <v>340777216.66666669</v>
      </c>
      <c r="E60" s="493">
        <v>86356080</v>
      </c>
      <c r="F60" s="493">
        <v>100770541</v>
      </c>
      <c r="G60" s="493">
        <f t="shared" si="40"/>
        <v>129534120</v>
      </c>
      <c r="H60" s="493">
        <v>18602873.999999996</v>
      </c>
      <c r="I60" s="493">
        <v>25183873.999999996</v>
      </c>
      <c r="J60" s="493">
        <v>30382873.999999996</v>
      </c>
      <c r="K60" s="493">
        <v>41971383.100000009</v>
      </c>
      <c r="L60" s="493">
        <v>24852873.999999996</v>
      </c>
      <c r="M60" s="493">
        <v>25083873.999999996</v>
      </c>
      <c r="N60" s="493">
        <v>24852873.999999996</v>
      </c>
      <c r="O60" s="493">
        <v>80541134</v>
      </c>
      <c r="P60" s="493">
        <v>24852873.999999996</v>
      </c>
      <c r="Q60" s="493">
        <v>25392873.999999996</v>
      </c>
      <c r="R60" s="493">
        <v>24852873.999999996</v>
      </c>
      <c r="S60" s="493">
        <v>25083873.999999996</v>
      </c>
      <c r="T60" s="794">
        <f t="shared" si="36"/>
        <v>371654257.10000002</v>
      </c>
      <c r="U60" s="600">
        <f t="shared" si="34"/>
        <v>0</v>
      </c>
      <c r="V60" s="548">
        <f t="shared" si="37"/>
        <v>371654257.10000002</v>
      </c>
      <c r="W60" s="542">
        <f t="shared" si="38"/>
        <v>1.8691610913016588</v>
      </c>
      <c r="X60" s="1009">
        <v>1130381280.3999999</v>
      </c>
      <c r="Y60" s="493">
        <f t="shared" si="41"/>
        <v>408819682.81000006</v>
      </c>
      <c r="Z60" s="542">
        <v>0.1</v>
      </c>
      <c r="AA60" s="493">
        <f t="shared" si="42"/>
        <v>449701651.09100008</v>
      </c>
      <c r="AB60" s="542">
        <v>0.1</v>
      </c>
      <c r="AC60" s="493">
        <f t="shared" si="43"/>
        <v>494671816.20010012</v>
      </c>
      <c r="AD60" s="542">
        <v>0.1</v>
      </c>
      <c r="AE60" s="493">
        <f t="shared" si="44"/>
        <v>544138997.8201102</v>
      </c>
      <c r="AF60" s="542">
        <v>0.1</v>
      </c>
      <c r="AG60" s="493"/>
      <c r="AH60" s="600">
        <f t="shared" si="35"/>
        <v>-758727023.29999983</v>
      </c>
    </row>
    <row r="61" spans="1:34" s="484" customFormat="1">
      <c r="A61" s="540" t="s">
        <v>1180</v>
      </c>
      <c r="B61" s="493">
        <v>806888781</v>
      </c>
      <c r="C61" s="493"/>
      <c r="D61" s="493">
        <v>620400000</v>
      </c>
      <c r="E61" s="493">
        <v>611375784</v>
      </c>
      <c r="F61" s="493">
        <v>686947757</v>
      </c>
      <c r="G61" s="493">
        <f t="shared" si="40"/>
        <v>917063676</v>
      </c>
      <c r="H61" s="493">
        <v>80000000</v>
      </c>
      <c r="I61" s="493">
        <v>80000000</v>
      </c>
      <c r="J61" s="493">
        <v>80000000</v>
      </c>
      <c r="K61" s="493">
        <v>80000000</v>
      </c>
      <c r="L61" s="493">
        <v>80000000</v>
      </c>
      <c r="M61" s="493">
        <v>80000000</v>
      </c>
      <c r="N61" s="493">
        <v>80000000</v>
      </c>
      <c r="O61" s="493">
        <v>80000000</v>
      </c>
      <c r="P61" s="493">
        <v>80000000</v>
      </c>
      <c r="Q61" s="493">
        <v>80000000</v>
      </c>
      <c r="R61" s="493">
        <v>80000000</v>
      </c>
      <c r="S61" s="493">
        <v>80000000</v>
      </c>
      <c r="T61" s="794">
        <f t="shared" si="36"/>
        <v>960000000</v>
      </c>
      <c r="U61" s="600">
        <f t="shared" si="34"/>
        <v>0</v>
      </c>
      <c r="V61" s="548">
        <f t="shared" si="37"/>
        <v>960000000</v>
      </c>
      <c r="W61" s="542">
        <f t="shared" si="38"/>
        <v>4.6819348670833261E-2</v>
      </c>
      <c r="X61" s="1009">
        <v>2880000000</v>
      </c>
      <c r="Y61" s="493">
        <f t="shared" si="41"/>
        <v>1056000000.0000001</v>
      </c>
      <c r="Z61" s="542">
        <v>0.1</v>
      </c>
      <c r="AA61" s="493">
        <f t="shared" si="42"/>
        <v>1161600000.0000002</v>
      </c>
      <c r="AB61" s="542">
        <v>0.1</v>
      </c>
      <c r="AC61" s="493">
        <f t="shared" si="43"/>
        <v>1277760000.0000005</v>
      </c>
      <c r="AD61" s="542">
        <v>0.1</v>
      </c>
      <c r="AE61" s="493">
        <f t="shared" si="44"/>
        <v>1405536000.0000007</v>
      </c>
      <c r="AF61" s="542">
        <v>0.1</v>
      </c>
      <c r="AG61" s="493"/>
      <c r="AH61" s="600">
        <f t="shared" si="35"/>
        <v>-1920000000</v>
      </c>
    </row>
    <row r="62" spans="1:34" s="484" customFormat="1">
      <c r="A62" s="540" t="s">
        <v>1181</v>
      </c>
      <c r="B62" s="493">
        <f>329840307-128391480-50396823</f>
        <v>151052004</v>
      </c>
      <c r="C62" s="493"/>
      <c r="D62" s="493">
        <v>81000000</v>
      </c>
      <c r="E62" s="493">
        <v>56613406</v>
      </c>
      <c r="F62" s="493">
        <v>62798974</v>
      </c>
      <c r="G62" s="493">
        <f t="shared" si="40"/>
        <v>84920109</v>
      </c>
      <c r="H62" s="493">
        <v>13000000</v>
      </c>
      <c r="I62" s="493">
        <v>13000000</v>
      </c>
      <c r="J62" s="493">
        <v>13000000</v>
      </c>
      <c r="K62" s="493">
        <v>13000000</v>
      </c>
      <c r="L62" s="493">
        <v>13000000</v>
      </c>
      <c r="M62" s="493">
        <v>13000000</v>
      </c>
      <c r="N62" s="493">
        <v>13000000</v>
      </c>
      <c r="O62" s="493">
        <v>13000000</v>
      </c>
      <c r="P62" s="493">
        <v>0</v>
      </c>
      <c r="Q62" s="493">
        <v>0</v>
      </c>
      <c r="R62" s="493">
        <v>13000000</v>
      </c>
      <c r="S62" s="493">
        <v>13000000</v>
      </c>
      <c r="T62" s="794">
        <f t="shared" si="36"/>
        <v>130000000</v>
      </c>
      <c r="U62" s="600">
        <f t="shared" si="34"/>
        <v>0</v>
      </c>
      <c r="V62" s="548">
        <f t="shared" si="37"/>
        <v>130000000</v>
      </c>
      <c r="W62" s="542">
        <f t="shared" si="38"/>
        <v>0.53085060218186952</v>
      </c>
      <c r="X62" s="1009">
        <v>429000000</v>
      </c>
      <c r="Y62" s="493">
        <f t="shared" si="41"/>
        <v>143000000</v>
      </c>
      <c r="Z62" s="542">
        <v>0.1</v>
      </c>
      <c r="AA62" s="493">
        <f t="shared" si="42"/>
        <v>157300000</v>
      </c>
      <c r="AB62" s="542">
        <v>0.1</v>
      </c>
      <c r="AC62" s="493">
        <f t="shared" si="43"/>
        <v>173030000</v>
      </c>
      <c r="AD62" s="542">
        <v>0.1</v>
      </c>
      <c r="AE62" s="493">
        <f t="shared" si="44"/>
        <v>190333000.00000003</v>
      </c>
      <c r="AF62" s="542">
        <v>0.1</v>
      </c>
      <c r="AG62" s="493"/>
      <c r="AH62" s="600">
        <f t="shared" si="35"/>
        <v>-299000000</v>
      </c>
    </row>
    <row r="63" spans="1:34" s="484" customFormat="1">
      <c r="A63" s="540" t="s">
        <v>1182</v>
      </c>
      <c r="B63" s="493"/>
      <c r="C63" s="493"/>
      <c r="D63" s="493">
        <v>696516077.872347</v>
      </c>
      <c r="E63" s="493"/>
      <c r="F63" s="551"/>
      <c r="G63" s="493"/>
      <c r="H63" s="493">
        <v>0</v>
      </c>
      <c r="I63" s="493">
        <v>0</v>
      </c>
      <c r="J63" s="493">
        <v>0</v>
      </c>
      <c r="K63" s="493">
        <v>0</v>
      </c>
      <c r="L63" s="493">
        <v>0</v>
      </c>
      <c r="M63" s="493">
        <v>0</v>
      </c>
      <c r="N63" s="493">
        <v>0</v>
      </c>
      <c r="O63" s="493">
        <v>0</v>
      </c>
      <c r="P63" s="493">
        <v>0</v>
      </c>
      <c r="Q63" s="493">
        <v>0</v>
      </c>
      <c r="R63" s="493">
        <v>0</v>
      </c>
      <c r="S63" s="493">
        <v>0</v>
      </c>
      <c r="T63" s="794">
        <f t="shared" si="36"/>
        <v>0</v>
      </c>
      <c r="U63" s="600">
        <f t="shared" si="34"/>
        <v>0</v>
      </c>
      <c r="V63" s="537">
        <f>SUM(H63:U63)</f>
        <v>0</v>
      </c>
      <c r="W63" s="542"/>
      <c r="X63" s="1009">
        <v>0</v>
      </c>
      <c r="Y63" s="493"/>
      <c r="Z63" s="542"/>
      <c r="AA63" s="493"/>
      <c r="AB63" s="542"/>
      <c r="AC63" s="493"/>
      <c r="AD63" s="542"/>
      <c r="AE63" s="493"/>
      <c r="AF63" s="542"/>
      <c r="AG63" s="493"/>
      <c r="AH63" s="600">
        <f t="shared" si="35"/>
        <v>0</v>
      </c>
    </row>
    <row r="64" spans="1:34" s="484" customFormat="1">
      <c r="A64" s="544" t="s">
        <v>1183</v>
      </c>
      <c r="B64" s="552">
        <f>SUM(B43:B63)</f>
        <v>23261158336.130001</v>
      </c>
      <c r="C64" s="552"/>
      <c r="D64" s="552">
        <f>SUM(D43:D63)</f>
        <v>39055770611.090767</v>
      </c>
      <c r="E64" s="552">
        <f t="shared" ref="E64:G64" si="46">SUM(E43:E62)</f>
        <v>21288955048.330002</v>
      </c>
      <c r="F64" s="552">
        <f t="shared" si="46"/>
        <v>24029800329.34</v>
      </c>
      <c r="G64" s="552">
        <f t="shared" si="46"/>
        <v>31146109724.114265</v>
      </c>
      <c r="H64" s="552">
        <f>SUM(H43:H63)</f>
        <v>3893939548.3966994</v>
      </c>
      <c r="I64" s="552">
        <f t="shared" ref="I64:T64" si="47">SUM(I43:I63)</f>
        <v>3358324048.5966992</v>
      </c>
      <c r="J64" s="552">
        <f t="shared" si="47"/>
        <v>3585048642.9466991</v>
      </c>
      <c r="K64" s="552">
        <f t="shared" si="47"/>
        <v>3728666246.2596993</v>
      </c>
      <c r="L64" s="552">
        <f t="shared" si="47"/>
        <v>5400116404.8035316</v>
      </c>
      <c r="M64" s="552">
        <f t="shared" si="47"/>
        <v>5365808839.3376989</v>
      </c>
      <c r="N64" s="552">
        <f t="shared" si="47"/>
        <v>4296563497.0891991</v>
      </c>
      <c r="O64" s="552">
        <f t="shared" si="47"/>
        <v>3775867801.9076991</v>
      </c>
      <c r="P64" s="552">
        <f t="shared" si="47"/>
        <v>3706983696.8948655</v>
      </c>
      <c r="Q64" s="552">
        <f t="shared" si="47"/>
        <v>3807371527.833199</v>
      </c>
      <c r="R64" s="552">
        <f>SUM(R43:R63)</f>
        <v>3938841069.0998654</v>
      </c>
      <c r="S64" s="552">
        <f>SUM(S43:S63)</f>
        <v>4005350110.3665323</v>
      </c>
      <c r="T64" s="552">
        <f t="shared" si="47"/>
        <v>48862881433.532387</v>
      </c>
      <c r="U64" s="600">
        <f t="shared" si="34"/>
        <v>0</v>
      </c>
      <c r="V64" s="552">
        <f>SUM(V43:V63)</f>
        <v>48862881433.532387</v>
      </c>
      <c r="W64" s="542">
        <f>V64/G64-1</f>
        <v>0.56882775622219217</v>
      </c>
      <c r="X64" s="1008">
        <v>149007002416.53336</v>
      </c>
      <c r="Y64" s="545">
        <f>SUM(Y43:Y62)</f>
        <v>26339028036.082344</v>
      </c>
      <c r="Z64" s="546">
        <f>+Y64/V64-1</f>
        <v>-0.46096040054635301</v>
      </c>
      <c r="AA64" s="545">
        <f>SUM(AA43:AA62)</f>
        <v>28972930839.690575</v>
      </c>
      <c r="AB64" s="546">
        <f>+AA64/Y64-1</f>
        <v>9.9999999999999867E-2</v>
      </c>
      <c r="AC64" s="545">
        <f>SUM(AC43:AC62)</f>
        <v>31870223923.659634</v>
      </c>
      <c r="AD64" s="546">
        <f>+AC64/AA64-1</f>
        <v>0.10000000000000009</v>
      </c>
      <c r="AE64" s="545">
        <f>SUM(AE43:AE62)</f>
        <v>35057246316.025604</v>
      </c>
      <c r="AF64" s="546">
        <f>+AE64/AC64-1</f>
        <v>0.10000000000000031</v>
      </c>
      <c r="AG64" s="545"/>
      <c r="AH64" s="600">
        <f t="shared" si="35"/>
        <v>-100144120983.00098</v>
      </c>
    </row>
    <row r="65" spans="1:34" s="484" customFormat="1">
      <c r="A65" s="540"/>
      <c r="B65" s="493"/>
      <c r="C65" s="493"/>
      <c r="D65" s="493"/>
      <c r="E65" s="493"/>
      <c r="F65" s="551"/>
      <c r="G65" s="493"/>
      <c r="H65" s="542">
        <v>0.95</v>
      </c>
      <c r="I65" s="493"/>
      <c r="J65" s="493"/>
      <c r="K65" s="493"/>
      <c r="L65" s="493"/>
      <c r="M65" s="493"/>
      <c r="N65" s="493"/>
      <c r="O65" s="493"/>
      <c r="P65" s="493"/>
      <c r="Q65" s="493"/>
      <c r="R65" s="493"/>
      <c r="S65" s="493"/>
      <c r="T65" s="794"/>
      <c r="U65" s="600">
        <f t="shared" si="34"/>
        <v>0.95</v>
      </c>
      <c r="V65" s="493"/>
      <c r="W65" s="538"/>
      <c r="X65" s="1008"/>
      <c r="Y65" s="537"/>
      <c r="Z65" s="537"/>
      <c r="AA65" s="537"/>
      <c r="AB65" s="537"/>
      <c r="AC65" s="537"/>
      <c r="AD65" s="537"/>
      <c r="AE65" s="537"/>
      <c r="AF65" s="537"/>
      <c r="AG65" s="537"/>
      <c r="AH65" s="600">
        <f t="shared" si="35"/>
        <v>0</v>
      </c>
    </row>
    <row r="66" spans="1:34" s="484" customFormat="1">
      <c r="A66" s="519" t="s">
        <v>1184</v>
      </c>
      <c r="B66" s="537">
        <f>B40-B64</f>
        <v>4990823133.8699989</v>
      </c>
      <c r="C66" s="537"/>
      <c r="D66" s="537">
        <f>D40-D64</f>
        <v>3832027853.8022614</v>
      </c>
      <c r="E66" s="537">
        <f>E40-E64</f>
        <v>-7383860997.3300018</v>
      </c>
      <c r="F66" s="537">
        <f>F40-F64</f>
        <v>-8286510695.3400002</v>
      </c>
      <c r="G66" s="537">
        <f>+G40-G64</f>
        <v>-9291541292.286705</v>
      </c>
      <c r="H66" s="537">
        <f t="shared" ref="H66:T66" si="48">H40-H64</f>
        <v>-1439419338.8138814</v>
      </c>
      <c r="I66" s="537">
        <f t="shared" si="48"/>
        <v>-412945719.8882947</v>
      </c>
      <c r="J66" s="537">
        <f t="shared" si="48"/>
        <v>-345101772.57162857</v>
      </c>
      <c r="K66" s="537">
        <f t="shared" si="48"/>
        <v>-197515417.55129576</v>
      </c>
      <c r="L66" s="537">
        <f t="shared" si="48"/>
        <v>-1579144951.0951276</v>
      </c>
      <c r="M66" s="537">
        <f t="shared" si="48"/>
        <v>-1244462593.9626284</v>
      </c>
      <c r="N66" s="537">
        <f t="shared" si="48"/>
        <v>136130473.28587151</v>
      </c>
      <c r="O66" s="537">
        <f t="shared" si="48"/>
        <v>947168235.13403749</v>
      </c>
      <c r="P66" s="537">
        <f t="shared" si="48"/>
        <v>1273568365.146872</v>
      </c>
      <c r="Q66" s="537">
        <f t="shared" si="48"/>
        <v>1398236175.8752036</v>
      </c>
      <c r="R66" s="537">
        <f>R40-R64</f>
        <v>1449855176.2752042</v>
      </c>
      <c r="S66" s="537">
        <f>S40-S64</f>
        <v>1553934676.6752043</v>
      </c>
      <c r="T66" s="537">
        <f t="shared" si="48"/>
        <v>1540303308.5095444</v>
      </c>
      <c r="U66" s="600">
        <f t="shared" si="34"/>
        <v>-7.62939453125E-6</v>
      </c>
      <c r="V66" s="537">
        <f>V40-V64</f>
        <v>1540303308.5095444</v>
      </c>
      <c r="W66" s="542"/>
      <c r="X66" s="1008">
        <v>-98603817674.491425</v>
      </c>
      <c r="Y66" s="537" t="e">
        <f>Y40-Y64</f>
        <v>#REF!</v>
      </c>
      <c r="Z66" s="537"/>
      <c r="AA66" s="537" t="e">
        <f>AA40-AA64</f>
        <v>#REF!</v>
      </c>
      <c r="AB66" s="537"/>
      <c r="AC66" s="537" t="e">
        <f>AC40-AC64</f>
        <v>#REF!</v>
      </c>
      <c r="AD66" s="537"/>
      <c r="AE66" s="537" t="e">
        <f>AE40-AE64</f>
        <v>#REF!</v>
      </c>
      <c r="AF66" s="537"/>
      <c r="AG66" s="537"/>
      <c r="AH66" s="600">
        <f t="shared" si="35"/>
        <v>100144120983.00098</v>
      </c>
    </row>
    <row r="67" spans="1:34" s="484" customFormat="1">
      <c r="A67" s="519"/>
      <c r="B67" s="519"/>
      <c r="C67" s="543"/>
      <c r="D67" s="543"/>
      <c r="E67" s="543"/>
      <c r="F67" s="553"/>
      <c r="G67" s="554"/>
      <c r="H67" s="554"/>
      <c r="I67" s="554"/>
      <c r="J67" s="554"/>
      <c r="K67" s="554"/>
      <c r="L67" s="554"/>
      <c r="M67" s="554"/>
      <c r="N67" s="554"/>
      <c r="O67" s="554"/>
      <c r="P67" s="554"/>
      <c r="Q67" s="554"/>
      <c r="R67" s="554"/>
      <c r="S67" s="554"/>
      <c r="T67" s="796"/>
      <c r="U67" s="600">
        <f t="shared" si="34"/>
        <v>0</v>
      </c>
      <c r="V67" s="554"/>
      <c r="W67" s="542"/>
      <c r="X67" s="1009"/>
      <c r="Y67" s="493"/>
      <c r="Z67" s="493"/>
      <c r="AA67" s="493"/>
      <c r="AB67" s="493"/>
      <c r="AC67" s="493"/>
      <c r="AD67" s="493"/>
      <c r="AE67" s="493"/>
      <c r="AF67" s="493"/>
      <c r="AG67" s="493"/>
      <c r="AH67" s="600">
        <f t="shared" si="35"/>
        <v>0</v>
      </c>
    </row>
    <row r="68" spans="1:34" s="484" customFormat="1">
      <c r="A68" s="519" t="s">
        <v>1185</v>
      </c>
      <c r="B68" s="519"/>
      <c r="C68" s="537"/>
      <c r="D68" s="537"/>
      <c r="E68" s="537"/>
      <c r="F68" s="555"/>
      <c r="G68" s="537"/>
      <c r="H68" s="537"/>
      <c r="I68" s="537"/>
      <c r="J68" s="537"/>
      <c r="K68" s="537"/>
      <c r="L68" s="537"/>
      <c r="M68" s="537"/>
      <c r="N68" s="537"/>
      <c r="O68" s="537"/>
      <c r="P68" s="537"/>
      <c r="Q68" s="537"/>
      <c r="R68" s="537"/>
      <c r="S68" s="537"/>
      <c r="T68" s="793"/>
      <c r="U68" s="600">
        <f t="shared" si="34"/>
        <v>0</v>
      </c>
      <c r="V68" s="537"/>
      <c r="W68" s="537"/>
      <c r="X68" s="1008"/>
      <c r="Y68" s="493"/>
      <c r="Z68" s="493"/>
      <c r="AA68" s="493"/>
      <c r="AB68" s="493"/>
      <c r="AC68" s="493"/>
      <c r="AD68" s="493"/>
      <c r="AE68" s="493"/>
      <c r="AF68" s="493"/>
      <c r="AG68" s="493"/>
      <c r="AH68" s="600">
        <f t="shared" si="35"/>
        <v>0</v>
      </c>
    </row>
    <row r="69" spans="1:34" s="484" customFormat="1">
      <c r="A69" s="540" t="s">
        <v>1186</v>
      </c>
      <c r="B69" s="541">
        <v>135298027</v>
      </c>
      <c r="C69" s="493"/>
      <c r="D69" s="493">
        <v>206137219.91247419</v>
      </c>
      <c r="E69" s="493">
        <v>124750317</v>
      </c>
      <c r="F69" s="493">
        <v>142501051.80000001</v>
      </c>
      <c r="G69" s="493">
        <f>+E69/8*12</f>
        <v>187125475.5</v>
      </c>
      <c r="H69" s="493">
        <f>+(G151*90%*H195/12)</f>
        <v>2955906.4875113457</v>
      </c>
      <c r="I69" s="493">
        <f t="shared" ref="I69:Q69" si="49">+(H151*90%*I195/12)</f>
        <v>11012756.653646093</v>
      </c>
      <c r="J69" s="493">
        <f t="shared" si="49"/>
        <v>9391644.6581878662</v>
      </c>
      <c r="K69" s="493">
        <f t="shared" si="49"/>
        <v>9636089.3706273939</v>
      </c>
      <c r="L69" s="493">
        <f t="shared" si="49"/>
        <v>13702477.281105688</v>
      </c>
      <c r="M69" s="493">
        <f t="shared" si="49"/>
        <v>12923905.084428186</v>
      </c>
      <c r="N69" s="493">
        <f>+(M151*90%*N195/12)</f>
        <v>14944895.610701347</v>
      </c>
      <c r="O69" s="493">
        <f>+(N151*90%*O195/12)</f>
        <v>20474473.327375364</v>
      </c>
      <c r="P69" s="493">
        <f>+(O151*90%*P195/12)</f>
        <v>21503161.109893244</v>
      </c>
      <c r="Q69" s="493">
        <f t="shared" si="49"/>
        <v>24113272.548792038</v>
      </c>
      <c r="R69" s="493">
        <f>+(Q151*90%*R195/12)</f>
        <v>27466839.492921013</v>
      </c>
      <c r="S69" s="493">
        <f>+(R151*90%*S195/12)</f>
        <v>31294100.809375092</v>
      </c>
      <c r="T69" s="794">
        <f t="shared" ref="T69:T74" si="50">SUM(H69:S69)</f>
        <v>199419522.43456471</v>
      </c>
      <c r="U69" s="600">
        <f t="shared" si="34"/>
        <v>0</v>
      </c>
      <c r="V69" s="537">
        <f t="shared" ref="V69:V74" si="51">SUM(H69:U69)-T69</f>
        <v>199419522.43456471</v>
      </c>
      <c r="W69" s="542">
        <f>V69/G69-1</f>
        <v>6.5699482669128617E-2</v>
      </c>
      <c r="X69" s="1009">
        <v>485574655.63783246</v>
      </c>
      <c r="Y69" s="493">
        <f>+(V151*50%*Y195)</f>
        <v>263368540.41322064</v>
      </c>
      <c r="Z69" s="493"/>
      <c r="AA69" s="493" t="e">
        <f>+(Y151*50%*AA195)</f>
        <v>#REF!</v>
      </c>
      <c r="AB69" s="493"/>
      <c r="AC69" s="493" t="e">
        <f>+(AA151*50%*AC195)</f>
        <v>#REF!</v>
      </c>
      <c r="AD69" s="493"/>
      <c r="AE69" s="493" t="e">
        <f>+(AC151*50%*AE195)</f>
        <v>#REF!</v>
      </c>
      <c r="AF69" s="493"/>
      <c r="AG69" s="493"/>
      <c r="AH69" s="600">
        <f t="shared" si="35"/>
        <v>-286155133.20326775</v>
      </c>
    </row>
    <row r="70" spans="1:34" s="484" customFormat="1">
      <c r="A70" s="556" t="s">
        <v>1187</v>
      </c>
      <c r="B70" s="541">
        <v>-19433833</v>
      </c>
      <c r="C70" s="493"/>
      <c r="D70" s="493">
        <v>-65951415.581982553</v>
      </c>
      <c r="E70" s="493">
        <v>-57758079</v>
      </c>
      <c r="F70" s="493">
        <v>-70142841</v>
      </c>
      <c r="G70" s="493">
        <f t="shared" ref="G70:G75" si="52">+E70/8*12</f>
        <v>-86637118.5</v>
      </c>
      <c r="H70" s="493">
        <v>-13687212.121995233</v>
      </c>
      <c r="I70" s="493">
        <v>-13385226.54075624</v>
      </c>
      <c r="J70" s="493">
        <v>-13080815.079349659</v>
      </c>
      <c r="K70" s="493">
        <v>-12773957.094942316</v>
      </c>
      <c r="L70" s="493">
        <v>-12464631.758653911</v>
      </c>
      <c r="M70" s="493">
        <v>-12152818.053792063</v>
      </c>
      <c r="N70" s="493">
        <v>-11838494.774069913</v>
      </c>
      <c r="O70" s="493">
        <v>-11521640.521806095</v>
      </c>
      <c r="P70" s="493">
        <v>-11202233.706106883</v>
      </c>
      <c r="Q70" s="493">
        <v>-10880252.541030377</v>
      </c>
      <c r="R70" s="493">
        <v>-10555675.043732502</v>
      </c>
      <c r="S70" s="493">
        <v>-10228479.032594632</v>
      </c>
      <c r="T70" s="794">
        <f t="shared" si="50"/>
        <v>-143771436.26882982</v>
      </c>
      <c r="U70" s="600">
        <f t="shared" si="34"/>
        <v>0</v>
      </c>
      <c r="V70" s="537">
        <f t="shared" si="51"/>
        <v>-143771436.26882982</v>
      </c>
      <c r="W70" s="542">
        <f>V70/G70-1</f>
        <v>0.65946696702326069</v>
      </c>
      <c r="X70" s="1009">
        <v>-446166417.28922695</v>
      </c>
      <c r="Y70" s="557">
        <f>Y128</f>
        <v>-10368011</v>
      </c>
      <c r="Z70" s="557"/>
      <c r="AA70" s="493">
        <v>0</v>
      </c>
      <c r="AB70" s="493"/>
      <c r="AC70" s="493">
        <v>0</v>
      </c>
      <c r="AD70" s="493"/>
      <c r="AE70" s="493">
        <v>0</v>
      </c>
      <c r="AF70" s="493"/>
      <c r="AG70" s="493"/>
      <c r="AH70" s="600">
        <f t="shared" si="35"/>
        <v>302394981.02039713</v>
      </c>
    </row>
    <row r="71" spans="1:34" s="484" customFormat="1">
      <c r="A71" s="540" t="s">
        <v>1188</v>
      </c>
      <c r="B71" s="541">
        <f>104112983+53900000+352102116</f>
        <v>510115099</v>
      </c>
      <c r="C71" s="493"/>
      <c r="D71" s="493">
        <v>0</v>
      </c>
      <c r="E71" s="493">
        <v>413824222</v>
      </c>
      <c r="F71" s="493">
        <v>420824222</v>
      </c>
      <c r="G71" s="493">
        <f t="shared" si="52"/>
        <v>620736333</v>
      </c>
      <c r="H71" s="493">
        <v>0</v>
      </c>
      <c r="I71" s="493">
        <v>0</v>
      </c>
      <c r="J71" s="493">
        <v>0</v>
      </c>
      <c r="K71" s="493">
        <v>0</v>
      </c>
      <c r="L71" s="493">
        <v>0</v>
      </c>
      <c r="M71" s="493">
        <v>0</v>
      </c>
      <c r="N71" s="493">
        <v>0</v>
      </c>
      <c r="O71" s="493">
        <v>0</v>
      </c>
      <c r="P71" s="493">
        <v>0</v>
      </c>
      <c r="Q71" s="493">
        <v>0</v>
      </c>
      <c r="R71" s="493">
        <v>0</v>
      </c>
      <c r="S71" s="493">
        <v>0</v>
      </c>
      <c r="T71" s="794">
        <f t="shared" si="50"/>
        <v>0</v>
      </c>
      <c r="U71" s="600">
        <f t="shared" si="34"/>
        <v>0</v>
      </c>
      <c r="V71" s="537">
        <f t="shared" si="51"/>
        <v>0</v>
      </c>
      <c r="W71" s="542"/>
      <c r="X71" s="1009">
        <v>0</v>
      </c>
      <c r="Y71" s="493">
        <f>V71+(V71*$Y$83)</f>
        <v>0</v>
      </c>
      <c r="Z71" s="493"/>
      <c r="AA71" s="493">
        <v>0</v>
      </c>
      <c r="AB71" s="493"/>
      <c r="AC71" s="493">
        <v>0</v>
      </c>
      <c r="AD71" s="493"/>
      <c r="AE71" s="493">
        <v>0</v>
      </c>
      <c r="AF71" s="493"/>
      <c r="AG71" s="493"/>
      <c r="AH71" s="600">
        <f t="shared" si="35"/>
        <v>0</v>
      </c>
    </row>
    <row r="72" spans="1:34" s="484" customFormat="1">
      <c r="A72" s="540" t="s">
        <v>1189</v>
      </c>
      <c r="B72" s="541">
        <v>3040040947</v>
      </c>
      <c r="C72" s="493"/>
      <c r="D72" s="493">
        <v>3414000000</v>
      </c>
      <c r="E72" s="493">
        <v>4844230043</v>
      </c>
      <c r="F72" s="493">
        <v>4844230043</v>
      </c>
      <c r="G72" s="493">
        <f>E72+1500000000</f>
        <v>6344230043</v>
      </c>
      <c r="H72" s="493">
        <v>400000000</v>
      </c>
      <c r="I72" s="493">
        <f>H72</f>
        <v>400000000</v>
      </c>
      <c r="J72" s="493">
        <f t="shared" ref="J72:Q72" si="53">I72</f>
        <v>400000000</v>
      </c>
      <c r="K72" s="493">
        <f t="shared" si="53"/>
        <v>400000000</v>
      </c>
      <c r="L72" s="493">
        <f t="shared" si="53"/>
        <v>400000000</v>
      </c>
      <c r="M72" s="493">
        <f t="shared" si="53"/>
        <v>400000000</v>
      </c>
      <c r="N72" s="493">
        <f>M72</f>
        <v>400000000</v>
      </c>
      <c r="O72" s="493">
        <f>N72</f>
        <v>400000000</v>
      </c>
      <c r="P72" s="493">
        <f>O72</f>
        <v>400000000</v>
      </c>
      <c r="Q72" s="493">
        <f t="shared" si="53"/>
        <v>400000000</v>
      </c>
      <c r="R72" s="493">
        <f>Q72</f>
        <v>400000000</v>
      </c>
      <c r="S72" s="493">
        <f>R72</f>
        <v>400000000</v>
      </c>
      <c r="T72" s="794">
        <f t="shared" si="50"/>
        <v>4800000000</v>
      </c>
      <c r="U72" s="600">
        <f t="shared" si="34"/>
        <v>0</v>
      </c>
      <c r="V72" s="537">
        <f t="shared" si="51"/>
        <v>4800000000</v>
      </c>
      <c r="W72" s="542"/>
      <c r="X72" s="1009">
        <v>14400000000</v>
      </c>
      <c r="Y72" s="493"/>
      <c r="Z72" s="493"/>
      <c r="AA72" s="493"/>
      <c r="AB72" s="493"/>
      <c r="AC72" s="493"/>
      <c r="AD72" s="493"/>
      <c r="AE72" s="493"/>
      <c r="AF72" s="493"/>
      <c r="AG72" s="493"/>
      <c r="AH72" s="600">
        <f t="shared" si="35"/>
        <v>-9600000000</v>
      </c>
    </row>
    <row r="73" spans="1:34" s="484" customFormat="1">
      <c r="A73" s="540" t="s">
        <v>1190</v>
      </c>
      <c r="B73" s="541">
        <v>-3616146041</v>
      </c>
      <c r="C73" s="493"/>
      <c r="D73" s="493">
        <v>4056490500</v>
      </c>
      <c r="E73" s="493">
        <v>-1643826205</v>
      </c>
      <c r="F73" s="493">
        <v>-1687943838</v>
      </c>
      <c r="G73" s="493">
        <f>F73</f>
        <v>-1687943838</v>
      </c>
      <c r="H73" s="493"/>
      <c r="I73" s="493"/>
      <c r="J73" s="493"/>
      <c r="K73" s="493"/>
      <c r="L73" s="493"/>
      <c r="M73" s="493"/>
      <c r="N73" s="493"/>
      <c r="O73" s="493"/>
      <c r="P73" s="493"/>
      <c r="Q73" s="493"/>
      <c r="R73" s="493"/>
      <c r="S73" s="493"/>
      <c r="T73" s="794">
        <f t="shared" si="50"/>
        <v>0</v>
      </c>
      <c r="U73" s="600">
        <f t="shared" si="34"/>
        <v>0</v>
      </c>
      <c r="V73" s="493">
        <f t="shared" si="51"/>
        <v>0</v>
      </c>
      <c r="W73" s="542"/>
      <c r="X73" s="1009">
        <v>0</v>
      </c>
      <c r="Y73" s="493"/>
      <c r="Z73" s="493"/>
      <c r="AA73" s="493"/>
      <c r="AB73" s="493"/>
      <c r="AC73" s="493"/>
      <c r="AD73" s="493"/>
      <c r="AE73" s="493"/>
      <c r="AF73" s="493"/>
      <c r="AG73" s="493"/>
      <c r="AH73" s="600">
        <f t="shared" si="35"/>
        <v>0</v>
      </c>
    </row>
    <row r="74" spans="1:34" s="484" customFormat="1">
      <c r="A74" s="558" t="s">
        <v>1191</v>
      </c>
      <c r="B74" s="559">
        <v>0</v>
      </c>
      <c r="C74" s="493"/>
      <c r="D74" s="493">
        <v>0</v>
      </c>
      <c r="E74" s="493">
        <v>-54915002</v>
      </c>
      <c r="F74" s="560">
        <v>-96081264</v>
      </c>
      <c r="G74" s="493">
        <f>E74</f>
        <v>-54915002</v>
      </c>
      <c r="H74" s="493">
        <v>0</v>
      </c>
      <c r="I74" s="493">
        <v>0</v>
      </c>
      <c r="J74" s="493">
        <v>0</v>
      </c>
      <c r="K74" s="493">
        <v>0</v>
      </c>
      <c r="L74" s="493">
        <v>0</v>
      </c>
      <c r="M74" s="493">
        <v>0</v>
      </c>
      <c r="N74" s="493">
        <v>0</v>
      </c>
      <c r="O74" s="493">
        <v>0</v>
      </c>
      <c r="P74" s="493">
        <v>0</v>
      </c>
      <c r="Q74" s="493">
        <v>0</v>
      </c>
      <c r="R74" s="493">
        <v>0</v>
      </c>
      <c r="S74" s="493">
        <v>0</v>
      </c>
      <c r="T74" s="794">
        <f t="shared" si="50"/>
        <v>0</v>
      </c>
      <c r="U74" s="600">
        <f t="shared" si="34"/>
        <v>0</v>
      </c>
      <c r="V74" s="537">
        <f t="shared" si="51"/>
        <v>0</v>
      </c>
      <c r="W74" s="542"/>
      <c r="X74" s="1009">
        <v>0</v>
      </c>
      <c r="Y74" s="493">
        <f>V74+(V74*$Y$83)</f>
        <v>0</v>
      </c>
      <c r="Z74" s="493"/>
      <c r="AA74" s="493">
        <v>0</v>
      </c>
      <c r="AB74" s="493"/>
      <c r="AC74" s="493">
        <v>0</v>
      </c>
      <c r="AD74" s="493"/>
      <c r="AE74" s="493">
        <v>0</v>
      </c>
      <c r="AF74" s="493"/>
      <c r="AG74" s="493"/>
      <c r="AH74" s="600">
        <f t="shared" si="35"/>
        <v>0</v>
      </c>
    </row>
    <row r="75" spans="1:34" s="484" customFormat="1">
      <c r="A75" s="540"/>
      <c r="B75" s="540"/>
      <c r="C75" s="493"/>
      <c r="D75" s="493"/>
      <c r="E75" s="493"/>
      <c r="F75" s="493"/>
      <c r="G75" s="493">
        <f t="shared" si="52"/>
        <v>0</v>
      </c>
      <c r="H75" s="493"/>
      <c r="I75" s="493"/>
      <c r="J75" s="493"/>
      <c r="K75" s="493"/>
      <c r="L75" s="493"/>
      <c r="M75" s="493"/>
      <c r="N75" s="493"/>
      <c r="O75" s="493"/>
      <c r="P75" s="493"/>
      <c r="Q75" s="493"/>
      <c r="R75" s="493"/>
      <c r="S75" s="493"/>
      <c r="T75" s="794"/>
      <c r="U75" s="600">
        <f t="shared" si="34"/>
        <v>0</v>
      </c>
      <c r="V75" s="493"/>
      <c r="W75" s="542"/>
      <c r="X75" s="1009"/>
      <c r="Y75" s="493"/>
      <c r="Z75" s="493"/>
      <c r="AA75" s="493"/>
      <c r="AB75" s="493"/>
      <c r="AC75" s="493"/>
      <c r="AD75" s="493"/>
      <c r="AE75" s="493"/>
      <c r="AF75" s="493"/>
      <c r="AG75" s="493"/>
      <c r="AH75" s="600">
        <f t="shared" si="35"/>
        <v>0</v>
      </c>
    </row>
    <row r="76" spans="1:34" s="484" customFormat="1">
      <c r="A76" s="544" t="s">
        <v>1192</v>
      </c>
      <c r="B76" s="545">
        <f>SUM(B67:B75)</f>
        <v>49874199</v>
      </c>
      <c r="C76" s="545"/>
      <c r="D76" s="545">
        <f>SUM(D67:D75)</f>
        <v>7610676304.330492</v>
      </c>
      <c r="E76" s="545">
        <f>SUM(E69:E75)</f>
        <v>3626305296</v>
      </c>
      <c r="F76" s="545">
        <f t="shared" ref="F76:T76" si="54">SUM(F69:F75)</f>
        <v>3553387373.8000002</v>
      </c>
      <c r="G76" s="545">
        <f t="shared" si="54"/>
        <v>5322595893</v>
      </c>
      <c r="H76" s="545">
        <f t="shared" si="54"/>
        <v>389268694.36551613</v>
      </c>
      <c r="I76" s="545">
        <f t="shared" si="54"/>
        <v>397627530.11288983</v>
      </c>
      <c r="J76" s="545">
        <f t="shared" si="54"/>
        <v>396310829.57883823</v>
      </c>
      <c r="K76" s="545">
        <f t="shared" si="54"/>
        <v>396862132.27568507</v>
      </c>
      <c r="L76" s="545">
        <f t="shared" si="54"/>
        <v>401237845.52245176</v>
      </c>
      <c r="M76" s="545">
        <f t="shared" si="54"/>
        <v>400771087.03063613</v>
      </c>
      <c r="N76" s="545">
        <f t="shared" si="54"/>
        <v>403106400.83663142</v>
      </c>
      <c r="O76" s="545">
        <f t="shared" si="54"/>
        <v>408952832.80556929</v>
      </c>
      <c r="P76" s="545">
        <f t="shared" si="54"/>
        <v>410300927.40378636</v>
      </c>
      <c r="Q76" s="545">
        <f t="shared" si="54"/>
        <v>413233020.00776166</v>
      </c>
      <c r="R76" s="545">
        <f>SUM(R69:R75)</f>
        <v>416911164.44918853</v>
      </c>
      <c r="S76" s="545">
        <f>SUM(S69:S75)</f>
        <v>421065621.77678049</v>
      </c>
      <c r="T76" s="545">
        <f t="shared" si="54"/>
        <v>4855648086.1657352</v>
      </c>
      <c r="U76" s="600">
        <f t="shared" si="34"/>
        <v>0</v>
      </c>
      <c r="V76" s="545">
        <f>SUM(V69:V75)</f>
        <v>4855648086.1657352</v>
      </c>
      <c r="W76" s="538"/>
      <c r="X76" s="1008">
        <v>14439408238.348606</v>
      </c>
      <c r="Y76" s="552">
        <f>SUM(Y69:Y75)</f>
        <v>253000529.41322064</v>
      </c>
      <c r="Z76" s="546">
        <f>+Y76/V76-1</f>
        <v>-0.94789562074441791</v>
      </c>
      <c r="AA76" s="552" t="e">
        <f>SUM(AA69:AA75)</f>
        <v>#REF!</v>
      </c>
      <c r="AB76" s="546" t="e">
        <f>+AA76/Y76-1</f>
        <v>#REF!</v>
      </c>
      <c r="AC76" s="552" t="e">
        <f>SUM(AC69:AC75)</f>
        <v>#REF!</v>
      </c>
      <c r="AD76" s="546" t="e">
        <f>+AC76/AA76-1</f>
        <v>#REF!</v>
      </c>
      <c r="AE76" s="552" t="e">
        <f>SUM(AE69:AE75)</f>
        <v>#REF!</v>
      </c>
      <c r="AF76" s="546" t="e">
        <f>+AE76/AC76-1</f>
        <v>#REF!</v>
      </c>
      <c r="AG76" s="552"/>
      <c r="AH76" s="600">
        <f t="shared" si="35"/>
        <v>-9583760152.1828709</v>
      </c>
    </row>
    <row r="77" spans="1:34" s="484" customFormat="1">
      <c r="A77" s="540"/>
      <c r="B77" s="493"/>
      <c r="C77" s="493"/>
      <c r="D77" s="493"/>
      <c r="E77" s="493"/>
      <c r="F77" s="551"/>
      <c r="G77" s="493"/>
      <c r="H77" s="493"/>
      <c r="I77" s="493"/>
      <c r="J77" s="493"/>
      <c r="K77" s="493"/>
      <c r="L77" s="493"/>
      <c r="M77" s="493"/>
      <c r="N77" s="493"/>
      <c r="O77" s="493"/>
      <c r="P77" s="493"/>
      <c r="Q77" s="493"/>
      <c r="R77" s="493"/>
      <c r="S77" s="493"/>
      <c r="T77" s="794"/>
      <c r="U77" s="600">
        <f t="shared" si="34"/>
        <v>0</v>
      </c>
      <c r="V77" s="493"/>
      <c r="W77" s="538"/>
      <c r="X77" s="1008"/>
      <c r="Y77" s="539"/>
      <c r="Z77" s="539"/>
      <c r="AA77" s="539"/>
      <c r="AB77" s="539"/>
      <c r="AC77" s="539"/>
      <c r="AD77" s="539"/>
      <c r="AE77" s="539"/>
      <c r="AF77" s="539"/>
      <c r="AG77" s="539"/>
      <c r="AH77" s="600">
        <f t="shared" si="35"/>
        <v>0</v>
      </c>
    </row>
    <row r="78" spans="1:34" s="484" customFormat="1">
      <c r="A78" s="519" t="s">
        <v>1193</v>
      </c>
      <c r="B78" s="537">
        <f>+B66+B76</f>
        <v>5040697332.8699989</v>
      </c>
      <c r="C78" s="537"/>
      <c r="D78" s="537">
        <f>+D66+D76</f>
        <v>11442704158.132753</v>
      </c>
      <c r="E78" s="537">
        <f>+E66+E76</f>
        <v>-3757555701.3300018</v>
      </c>
      <c r="F78" s="537">
        <f t="shared" ref="F78:T78" si="55">+F66+F76</f>
        <v>-4733123321.54</v>
      </c>
      <c r="G78" s="537">
        <f t="shared" si="55"/>
        <v>-3968945399.286705</v>
      </c>
      <c r="H78" s="537">
        <f t="shared" si="55"/>
        <v>-1050150644.4483652</v>
      </c>
      <c r="I78" s="537">
        <f t="shared" si="55"/>
        <v>-15318189.775404871</v>
      </c>
      <c r="J78" s="537">
        <f t="shared" si="55"/>
        <v>51209057.007209659</v>
      </c>
      <c r="K78" s="537">
        <f t="shared" si="55"/>
        <v>199346714.72438931</v>
      </c>
      <c r="L78" s="537">
        <f t="shared" si="55"/>
        <v>-1177907105.5726757</v>
      </c>
      <c r="M78" s="537">
        <f t="shared" si="55"/>
        <v>-843691506.93199229</v>
      </c>
      <c r="N78" s="537">
        <f t="shared" si="55"/>
        <v>539236874.12250292</v>
      </c>
      <c r="O78" s="537">
        <f t="shared" si="55"/>
        <v>1356121067.9396067</v>
      </c>
      <c r="P78" s="537">
        <f t="shared" si="55"/>
        <v>1683869292.5506585</v>
      </c>
      <c r="Q78" s="537">
        <f t="shared" si="55"/>
        <v>1811469195.8829653</v>
      </c>
      <c r="R78" s="537">
        <f>+R66+R76</f>
        <v>1866766340.7243927</v>
      </c>
      <c r="S78" s="537">
        <f>+S66+S76</f>
        <v>1975000298.4519849</v>
      </c>
      <c r="T78" s="537">
        <f t="shared" si="55"/>
        <v>6395951394.6752796</v>
      </c>
      <c r="U78" s="600">
        <f t="shared" si="34"/>
        <v>-7.62939453125E-6</v>
      </c>
      <c r="V78" s="537">
        <f>+V66+V76</f>
        <v>6395951394.6752796</v>
      </c>
      <c r="W78" s="538"/>
      <c r="X78" s="1008">
        <v>-84164409436.142822</v>
      </c>
      <c r="Y78" s="537" t="e">
        <f>+Y66+Y76</f>
        <v>#REF!</v>
      </c>
      <c r="Z78" s="537"/>
      <c r="AA78" s="537" t="e">
        <f>+AA66+AA76</f>
        <v>#REF!</v>
      </c>
      <c r="AB78" s="537"/>
      <c r="AC78" s="537" t="e">
        <f>+AC66+AC76</f>
        <v>#REF!</v>
      </c>
      <c r="AD78" s="537"/>
      <c r="AE78" s="537" t="e">
        <f>+AE66+AE76</f>
        <v>#REF!</v>
      </c>
      <c r="AF78" s="537"/>
      <c r="AG78" s="537"/>
      <c r="AH78" s="600">
        <f t="shared" si="35"/>
        <v>90560360830.8181</v>
      </c>
    </row>
    <row r="79" spans="1:34" s="484" customFormat="1">
      <c r="A79" s="519"/>
      <c r="B79" s="519"/>
      <c r="C79" s="537"/>
      <c r="D79" s="537"/>
      <c r="E79" s="537"/>
      <c r="F79" s="555"/>
      <c r="G79" s="537"/>
      <c r="H79" s="537"/>
      <c r="I79" s="537"/>
      <c r="J79" s="537"/>
      <c r="K79" s="537"/>
      <c r="L79" s="537"/>
      <c r="M79" s="537"/>
      <c r="N79" s="537"/>
      <c r="O79" s="537"/>
      <c r="P79" s="537"/>
      <c r="Q79" s="537"/>
      <c r="R79" s="537"/>
      <c r="S79" s="537"/>
      <c r="T79" s="793"/>
      <c r="U79" s="600">
        <f t="shared" si="34"/>
        <v>0</v>
      </c>
      <c r="V79" s="537"/>
      <c r="W79" s="542"/>
      <c r="X79" s="1008"/>
      <c r="Y79" s="543"/>
      <c r="Z79" s="543"/>
      <c r="AA79" s="543"/>
      <c r="AB79" s="543"/>
      <c r="AC79" s="543"/>
      <c r="AD79" s="543"/>
      <c r="AE79" s="543"/>
      <c r="AF79" s="543"/>
      <c r="AG79" s="543"/>
      <c r="AH79" s="600">
        <f t="shared" si="35"/>
        <v>0</v>
      </c>
    </row>
    <row r="80" spans="1:34" s="484" customFormat="1">
      <c r="A80" s="561" t="s">
        <v>1194</v>
      </c>
      <c r="B80" s="537">
        <v>-1199665425</v>
      </c>
      <c r="C80" s="493"/>
      <c r="D80" s="493">
        <v>-958006963.45056558</v>
      </c>
      <c r="E80" s="493">
        <v>1601594437.4579105</v>
      </c>
      <c r="F80" s="493">
        <v>1660396789.7079105</v>
      </c>
      <c r="G80" s="493">
        <f t="shared" ref="G80:V80" si="56">-(G38-G64+G71+G74)*25%</f>
        <v>2181429990.3216763</v>
      </c>
      <c r="H80" s="493">
        <f t="shared" si="56"/>
        <v>359854834.70347035</v>
      </c>
      <c r="I80" s="493">
        <f t="shared" si="56"/>
        <v>103236429.97207367</v>
      </c>
      <c r="J80" s="493">
        <f t="shared" si="56"/>
        <v>86275443.142907143</v>
      </c>
      <c r="K80" s="493">
        <f t="shared" si="56"/>
        <v>49378854.387823939</v>
      </c>
      <c r="L80" s="493">
        <f t="shared" si="56"/>
        <v>394786237.7737819</v>
      </c>
      <c r="M80" s="493">
        <f t="shared" si="56"/>
        <v>311115648.49065709</v>
      </c>
      <c r="N80" s="493">
        <f t="shared" si="56"/>
        <v>-34032618.321467876</v>
      </c>
      <c r="O80" s="493">
        <f t="shared" si="56"/>
        <v>-236792058.78350937</v>
      </c>
      <c r="P80" s="493">
        <f t="shared" si="56"/>
        <v>-318392091.28671801</v>
      </c>
      <c r="Q80" s="493">
        <f t="shared" si="56"/>
        <v>-349559043.9688009</v>
      </c>
      <c r="R80" s="493">
        <f>-(R38-R64+R71+R74)*25%</f>
        <v>-362463794.06880105</v>
      </c>
      <c r="S80" s="493">
        <f>-(S38-S64+S71+S74)*25%</f>
        <v>-388483669.16880107</v>
      </c>
      <c r="T80" s="493">
        <f t="shared" si="56"/>
        <v>-385075827.12738609</v>
      </c>
      <c r="U80" s="600">
        <f t="shared" si="34"/>
        <v>1.9073486328125E-6</v>
      </c>
      <c r="V80" s="493">
        <f t="shared" si="56"/>
        <v>-385075827.12738609</v>
      </c>
      <c r="W80" s="538"/>
      <c r="X80" s="1009">
        <v>24650954418.622856</v>
      </c>
      <c r="Y80" s="537" t="e">
        <f>-(+Y78-Y73)*25%</f>
        <v>#REF!</v>
      </c>
      <c r="Z80" s="537"/>
      <c r="AA80" s="537" t="e">
        <f>-(+AA78-AA73)*25%</f>
        <v>#REF!</v>
      </c>
      <c r="AB80" s="537"/>
      <c r="AC80" s="537" t="e">
        <f>-(+AC78-AC73)*25%</f>
        <v>#REF!</v>
      </c>
      <c r="AD80" s="537"/>
      <c r="AE80" s="537" t="e">
        <f>-(+AE78-AE73)*25%</f>
        <v>#REF!</v>
      </c>
      <c r="AF80" s="537"/>
      <c r="AG80" s="537"/>
      <c r="AH80" s="600">
        <f t="shared" si="35"/>
        <v>-25036030245.750244</v>
      </c>
    </row>
    <row r="81" spans="1:34" s="484" customFormat="1">
      <c r="A81" s="561"/>
      <c r="B81" s="519"/>
      <c r="C81" s="537"/>
      <c r="D81" s="537"/>
      <c r="E81" s="537"/>
      <c r="F81" s="555"/>
      <c r="G81" s="537"/>
      <c r="H81" s="537"/>
      <c r="I81" s="537"/>
      <c r="J81" s="537"/>
      <c r="K81" s="537"/>
      <c r="L81" s="537"/>
      <c r="M81" s="537"/>
      <c r="N81" s="537"/>
      <c r="O81" s="537"/>
      <c r="P81" s="537"/>
      <c r="Q81" s="537"/>
      <c r="R81" s="537"/>
      <c r="S81" s="537"/>
      <c r="T81" s="793"/>
      <c r="U81" s="600">
        <f t="shared" si="34"/>
        <v>0</v>
      </c>
      <c r="V81" s="537"/>
      <c r="W81" s="542"/>
      <c r="X81" s="1008"/>
      <c r="Y81" s="493"/>
      <c r="Z81" s="493"/>
      <c r="AA81" s="493"/>
      <c r="AB81" s="493"/>
      <c r="AC81" s="493"/>
      <c r="AD81" s="493"/>
      <c r="AE81" s="493"/>
      <c r="AF81" s="493"/>
      <c r="AG81" s="493"/>
      <c r="AH81" s="600">
        <f t="shared" si="35"/>
        <v>0</v>
      </c>
    </row>
    <row r="82" spans="1:34" s="484" customFormat="1">
      <c r="A82" s="544" t="s">
        <v>1195</v>
      </c>
      <c r="B82" s="545">
        <f>+B78+B80</f>
        <v>3841031907.8699989</v>
      </c>
      <c r="C82" s="545"/>
      <c r="D82" s="545">
        <f>+D78+D80</f>
        <v>10484697194.682188</v>
      </c>
      <c r="E82" s="545">
        <f>+E78+E80</f>
        <v>-2155961263.8720913</v>
      </c>
      <c r="F82" s="545">
        <f>+F78+F80</f>
        <v>-3072726531.8320894</v>
      </c>
      <c r="G82" s="545">
        <f>+G78+G80</f>
        <v>-1787515408.9650288</v>
      </c>
      <c r="H82" s="545">
        <f>+H78+H80</f>
        <v>-690295809.74489486</v>
      </c>
      <c r="I82" s="545">
        <f t="shared" ref="I82:T82" si="57">+I78+I80</f>
        <v>87918240.196668804</v>
      </c>
      <c r="J82" s="545">
        <f t="shared" si="57"/>
        <v>137484500.1501168</v>
      </c>
      <c r="K82" s="545">
        <f t="shared" si="57"/>
        <v>248725569.11221325</v>
      </c>
      <c r="L82" s="545">
        <f t="shared" si="57"/>
        <v>-783120867.79889381</v>
      </c>
      <c r="M82" s="545">
        <f t="shared" si="57"/>
        <v>-532575858.4413352</v>
      </c>
      <c r="N82" s="545">
        <f t="shared" si="57"/>
        <v>505204255.80103505</v>
      </c>
      <c r="O82" s="545">
        <f t="shared" si="57"/>
        <v>1119329009.1560974</v>
      </c>
      <c r="P82" s="545">
        <f t="shared" si="57"/>
        <v>1365477201.2639403</v>
      </c>
      <c r="Q82" s="545">
        <f t="shared" si="57"/>
        <v>1461910151.9141645</v>
      </c>
      <c r="R82" s="545">
        <f>+R78+R80</f>
        <v>1504302546.6555915</v>
      </c>
      <c r="S82" s="545">
        <f>+S78+S80</f>
        <v>1586516629.2831838</v>
      </c>
      <c r="T82" s="545">
        <f t="shared" si="57"/>
        <v>6010875567.5478935</v>
      </c>
      <c r="U82" s="600">
        <f t="shared" si="34"/>
        <v>0</v>
      </c>
      <c r="V82" s="545">
        <f>+V78+V80</f>
        <v>6010875567.5478935</v>
      </c>
      <c r="W82" s="538">
        <f>-V82/G82-1</f>
        <v>2.3626986024294974</v>
      </c>
      <c r="X82" s="1008">
        <v>-59513455017.519966</v>
      </c>
      <c r="Y82" s="545" t="e">
        <f>+Y78+Y80</f>
        <v>#REF!</v>
      </c>
      <c r="Z82" s="546" t="e">
        <f>+Y82/V82-1</f>
        <v>#REF!</v>
      </c>
      <c r="AA82" s="545" t="e">
        <f>+AA78+AA80</f>
        <v>#REF!</v>
      </c>
      <c r="AB82" s="546" t="e">
        <f>+AA82/Y82-1</f>
        <v>#REF!</v>
      </c>
      <c r="AC82" s="545" t="e">
        <f>+AC78+AC80</f>
        <v>#REF!</v>
      </c>
      <c r="AD82" s="546" t="e">
        <f>+AC82/AA82-1</f>
        <v>#REF!</v>
      </c>
      <c r="AE82" s="545" t="e">
        <f>+AE78+AE80</f>
        <v>#REF!</v>
      </c>
      <c r="AF82" s="546" t="e">
        <f>+AE82/AC82-1</f>
        <v>#REF!</v>
      </c>
      <c r="AG82" s="545"/>
      <c r="AH82" s="600">
        <f t="shared" si="35"/>
        <v>65524330585.067856</v>
      </c>
    </row>
    <row r="83" spans="1:34" s="484" customFormat="1">
      <c r="A83" s="562" t="s">
        <v>1098</v>
      </c>
      <c r="B83" s="493">
        <v>14850721031</v>
      </c>
      <c r="C83" s="493"/>
      <c r="D83" s="493">
        <f>D66+D52+D57</f>
        <v>6518027865.1355944</v>
      </c>
      <c r="E83" s="493">
        <f>E66+E52+E57</f>
        <v>-5870970485.3300018</v>
      </c>
      <c r="F83" s="493">
        <f t="shared" ref="F83:V83" si="58">F66+F52+F57</f>
        <v>-6571606829.3400002</v>
      </c>
      <c r="G83" s="493">
        <f t="shared" si="58"/>
        <v>-7022205524.286705</v>
      </c>
      <c r="H83" s="493">
        <f t="shared" si="58"/>
        <v>-1232696625.380548</v>
      </c>
      <c r="I83" s="493">
        <f t="shared" si="58"/>
        <v>-204523006.45496136</v>
      </c>
      <c r="J83" s="493">
        <f t="shared" si="58"/>
        <v>-117193571.65496188</v>
      </c>
      <c r="K83" s="493">
        <f t="shared" si="58"/>
        <v>42718554.015370905</v>
      </c>
      <c r="L83" s="493">
        <f t="shared" si="58"/>
        <v>-1333460979.528461</v>
      </c>
      <c r="M83" s="493">
        <f t="shared" si="58"/>
        <v>-993528622.39596176</v>
      </c>
      <c r="N83" s="493">
        <f>N66+N52+N57</f>
        <v>387064444.85253817</v>
      </c>
      <c r="O83" s="493">
        <f t="shared" si="58"/>
        <v>1199602206.7007041</v>
      </c>
      <c r="P83" s="493">
        <f t="shared" si="58"/>
        <v>1526002336.7135386</v>
      </c>
      <c r="Q83" s="493">
        <f t="shared" si="58"/>
        <v>1650670147.4418702</v>
      </c>
      <c r="R83" s="493">
        <f>R66+R52+R57</f>
        <v>1702289147.8418708</v>
      </c>
      <c r="S83" s="493">
        <f>S66+S52+S57</f>
        <v>1806368648.2418709</v>
      </c>
      <c r="T83" s="493">
        <f t="shared" si="58"/>
        <v>4433312680.3928776</v>
      </c>
      <c r="U83" s="600">
        <f t="shared" si="34"/>
        <v>-7.62939453125E-6</v>
      </c>
      <c r="V83" s="493">
        <f t="shared" si="58"/>
        <v>4433312680.3928776</v>
      </c>
      <c r="W83" s="542"/>
      <c r="X83" s="1009">
        <v>-90060987845.758087</v>
      </c>
      <c r="Y83" s="542">
        <v>0</v>
      </c>
      <c r="Z83" s="542"/>
      <c r="AA83" s="542">
        <v>0</v>
      </c>
      <c r="AB83" s="542"/>
      <c r="AC83" s="542">
        <v>0</v>
      </c>
      <c r="AD83" s="542"/>
      <c r="AE83" s="542">
        <v>0</v>
      </c>
      <c r="AF83" s="542"/>
      <c r="AG83" s="542"/>
      <c r="AH83" s="600">
        <f t="shared" si="35"/>
        <v>94494300526.15097</v>
      </c>
    </row>
    <row r="84" spans="1:34" s="484" customFormat="1">
      <c r="A84" s="534" t="s">
        <v>1196</v>
      </c>
      <c r="B84" s="534"/>
      <c r="C84" s="530"/>
      <c r="D84" s="563"/>
      <c r="E84" s="563"/>
      <c r="F84" s="564"/>
      <c r="G84" s="563"/>
      <c r="H84" s="563">
        <v>-6224605113.4380484</v>
      </c>
      <c r="I84" s="563">
        <v>-3712592745.933846</v>
      </c>
      <c r="J84" s="563">
        <v>493866945.77995074</v>
      </c>
      <c r="K84" s="563">
        <v>1499600891.3246284</v>
      </c>
      <c r="L84" s="563">
        <v>624312564.20612836</v>
      </c>
      <c r="M84" s="563">
        <v>-1895365452.71891</v>
      </c>
      <c r="N84" s="563">
        <v>423427413.59443986</v>
      </c>
      <c r="O84" s="563">
        <v>1496438711.6432524</v>
      </c>
      <c r="P84" s="563"/>
      <c r="Q84" s="563"/>
      <c r="R84" s="563"/>
      <c r="S84" s="563"/>
      <c r="T84" s="797"/>
      <c r="U84" s="600"/>
      <c r="V84" s="563"/>
      <c r="W84" s="542"/>
      <c r="X84" s="1007"/>
      <c r="Y84" s="493"/>
      <c r="Z84" s="493"/>
      <c r="AA84" s="493"/>
      <c r="AB84" s="493"/>
      <c r="AC84" s="493"/>
      <c r="AD84" s="493"/>
      <c r="AE84" s="493"/>
      <c r="AF84" s="493"/>
      <c r="AG84" s="493"/>
      <c r="AH84" s="600">
        <f t="shared" si="35"/>
        <v>0</v>
      </c>
    </row>
    <row r="85" spans="1:34" s="484" customFormat="1">
      <c r="A85" s="534"/>
      <c r="B85" s="534"/>
      <c r="C85" s="530"/>
      <c r="D85" s="530"/>
      <c r="E85" s="530"/>
      <c r="F85" s="564"/>
      <c r="G85" s="530"/>
      <c r="H85" s="530"/>
      <c r="I85" s="530"/>
      <c r="J85" s="530"/>
      <c r="K85" s="530"/>
      <c r="L85" s="530"/>
      <c r="M85" s="530"/>
      <c r="N85" s="530"/>
      <c r="O85" s="530"/>
      <c r="P85" s="530"/>
      <c r="Q85" s="530"/>
      <c r="R85" s="530"/>
      <c r="S85" s="530"/>
      <c r="T85" s="792"/>
      <c r="U85" s="600"/>
      <c r="V85" s="530"/>
      <c r="W85" s="542"/>
      <c r="X85" s="1007"/>
      <c r="Y85" s="493"/>
      <c r="Z85" s="493"/>
      <c r="AA85" s="493"/>
      <c r="AB85" s="493"/>
      <c r="AC85" s="493"/>
      <c r="AD85" s="493"/>
      <c r="AE85" s="493"/>
      <c r="AF85" s="493"/>
      <c r="AG85" s="493"/>
      <c r="AH85" s="600">
        <f t="shared" si="35"/>
        <v>0</v>
      </c>
    </row>
    <row r="86" spans="1:34" s="484" customFormat="1">
      <c r="A86" s="565" t="s">
        <v>1197</v>
      </c>
      <c r="B86" s="565"/>
      <c r="C86" s="537"/>
      <c r="D86" s="537"/>
      <c r="E86" s="537"/>
      <c r="F86" s="566"/>
      <c r="G86" s="537"/>
      <c r="H86" s="537"/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793"/>
      <c r="U86" s="600"/>
      <c r="V86" s="537"/>
      <c r="W86" s="538"/>
      <c r="X86" s="1008"/>
      <c r="Y86" s="537"/>
      <c r="Z86" s="537"/>
      <c r="AA86" s="537"/>
      <c r="AB86" s="537"/>
      <c r="AC86" s="537"/>
      <c r="AD86" s="537"/>
      <c r="AE86" s="537"/>
      <c r="AF86" s="537"/>
      <c r="AG86" s="537"/>
      <c r="AH86" s="600">
        <f t="shared" si="35"/>
        <v>0</v>
      </c>
    </row>
    <row r="87" spans="1:34" s="484" customFormat="1">
      <c r="A87" s="567" t="s">
        <v>1198</v>
      </c>
      <c r="B87" s="493">
        <v>7464511711</v>
      </c>
      <c r="C87" s="493"/>
      <c r="D87" s="493">
        <v>10882688741.528889</v>
      </c>
      <c r="E87" s="493">
        <v>4777125467.4400005</v>
      </c>
      <c r="F87" s="568"/>
      <c r="G87" s="493">
        <f>G151</f>
        <v>716583390.91184139</v>
      </c>
      <c r="H87" s="493">
        <f>H151</f>
        <v>2669759188.7626891</v>
      </c>
      <c r="I87" s="493">
        <f t="shared" ref="I87:Q87" si="59">I151</f>
        <v>2276762341.3788767</v>
      </c>
      <c r="J87" s="493">
        <f t="shared" si="59"/>
        <v>2336021665.6066408</v>
      </c>
      <c r="K87" s="493">
        <f t="shared" si="59"/>
        <v>3321812674.2074394</v>
      </c>
      <c r="L87" s="493">
        <f t="shared" si="59"/>
        <v>3133067899.2553182</v>
      </c>
      <c r="M87" s="493">
        <f t="shared" si="59"/>
        <v>3623004996.5336599</v>
      </c>
      <c r="N87" s="493">
        <f t="shared" si="59"/>
        <v>4963508685.4243298</v>
      </c>
      <c r="O87" s="493">
        <f t="shared" si="59"/>
        <v>5212887541.7923012</v>
      </c>
      <c r="P87" s="493">
        <f t="shared" si="59"/>
        <v>5845641830.010191</v>
      </c>
      <c r="Q87" s="493">
        <f t="shared" si="59"/>
        <v>6658627755.8596401</v>
      </c>
      <c r="R87" s="493">
        <f>R151</f>
        <v>7586448681.0606289</v>
      </c>
      <c r="S87" s="493">
        <f>S151</f>
        <v>8649213149.8594532</v>
      </c>
      <c r="T87" s="794"/>
      <c r="U87" s="600"/>
      <c r="V87" s="493">
        <f t="shared" ref="V87:V93" si="60">+S87</f>
        <v>8649213149.8594532</v>
      </c>
      <c r="W87" s="542"/>
      <c r="X87" s="1009">
        <v>8649213149.8594532</v>
      </c>
      <c r="Y87" s="493" t="e">
        <f>+Y151</f>
        <v>#REF!</v>
      </c>
      <c r="Z87" s="493"/>
      <c r="AA87" s="493" t="e">
        <f>+AA151</f>
        <v>#REF!</v>
      </c>
      <c r="AB87" s="493"/>
      <c r="AC87" s="493" t="e">
        <f>+AC151</f>
        <v>#REF!</v>
      </c>
      <c r="AD87" s="493"/>
      <c r="AE87" s="493" t="e">
        <f>+AE151</f>
        <v>#REF!</v>
      </c>
      <c r="AF87" s="493"/>
      <c r="AG87" s="493"/>
      <c r="AH87" s="600">
        <f t="shared" si="35"/>
        <v>0</v>
      </c>
    </row>
    <row r="88" spans="1:34" s="484" customFormat="1">
      <c r="A88" s="567" t="s">
        <v>1199</v>
      </c>
      <c r="B88" s="493">
        <v>2690397244</v>
      </c>
      <c r="C88" s="493"/>
      <c r="D88" s="493">
        <v>4555266198.6077728</v>
      </c>
      <c r="E88" s="493">
        <v>2067877232.0900002</v>
      </c>
      <c r="F88" s="568"/>
      <c r="G88" s="493">
        <f>F38/3</f>
        <v>5247763211.333333</v>
      </c>
      <c r="H88" s="493">
        <f>H38</f>
        <v>2454520209.582818</v>
      </c>
      <c r="I88" s="493">
        <f>I38</f>
        <v>2945378328.7084045</v>
      </c>
      <c r="J88" s="493">
        <f t="shared" ref="J88:P88" si="61">J38</f>
        <v>3239946870.3750706</v>
      </c>
      <c r="K88" s="493">
        <f t="shared" si="61"/>
        <v>3531150828.7084036</v>
      </c>
      <c r="L88" s="493">
        <f t="shared" si="61"/>
        <v>3820971453.7084041</v>
      </c>
      <c r="M88" s="493">
        <f t="shared" si="61"/>
        <v>4121346245.3750706</v>
      </c>
      <c r="N88" s="493">
        <f t="shared" si="61"/>
        <v>4432693970.3750706</v>
      </c>
      <c r="O88" s="493">
        <f t="shared" si="61"/>
        <v>4723036037.0417366</v>
      </c>
      <c r="P88" s="493">
        <f t="shared" si="61"/>
        <v>4980552062.0417376</v>
      </c>
      <c r="Q88" s="493">
        <f>Q38</f>
        <v>5205607703.7084026</v>
      </c>
      <c r="R88" s="493">
        <f>R38</f>
        <v>5388696245.3750696</v>
      </c>
      <c r="S88" s="493">
        <f>S38</f>
        <v>5559284787.0417366</v>
      </c>
      <c r="T88" s="794"/>
      <c r="U88" s="600"/>
      <c r="V88" s="493">
        <f t="shared" si="60"/>
        <v>5559284787.0417366</v>
      </c>
      <c r="W88" s="542"/>
      <c r="X88" s="1009">
        <v>5559284787.0417366</v>
      </c>
      <c r="Y88" s="493">
        <f>V88+(V88*Y83)</f>
        <v>5559284787.0417366</v>
      </c>
      <c r="Z88" s="493"/>
      <c r="AA88" s="493">
        <f>Y88+(Y88*AA83)</f>
        <v>5559284787.0417366</v>
      </c>
      <c r="AB88" s="493"/>
      <c r="AC88" s="493">
        <f>AA88+(AA88*AC83)</f>
        <v>5559284787.0417366</v>
      </c>
      <c r="AD88" s="493"/>
      <c r="AE88" s="493">
        <f>AC88+(AC88*AE83)</f>
        <v>5559284787.0417366</v>
      </c>
      <c r="AF88" s="493"/>
      <c r="AG88" s="493"/>
      <c r="AH88" s="600">
        <f t="shared" si="35"/>
        <v>0</v>
      </c>
    </row>
    <row r="89" spans="1:34" s="484" customFormat="1">
      <c r="A89" s="567" t="s">
        <v>1200</v>
      </c>
      <c r="B89" s="493">
        <v>110402625</v>
      </c>
      <c r="C89" s="493"/>
      <c r="D89" s="493">
        <v>0</v>
      </c>
      <c r="E89" s="493">
        <v>1148460002</v>
      </c>
      <c r="F89" s="568"/>
      <c r="G89" s="493">
        <v>0</v>
      </c>
      <c r="H89" s="493">
        <v>0</v>
      </c>
      <c r="I89" s="493">
        <v>0</v>
      </c>
      <c r="J89" s="493">
        <v>0</v>
      </c>
      <c r="K89" s="493">
        <v>0</v>
      </c>
      <c r="L89" s="493">
        <v>0</v>
      </c>
      <c r="M89" s="493">
        <v>0</v>
      </c>
      <c r="N89" s="493">
        <v>0</v>
      </c>
      <c r="O89" s="493">
        <v>0</v>
      </c>
      <c r="P89" s="493">
        <v>0</v>
      </c>
      <c r="Q89" s="493">
        <v>0</v>
      </c>
      <c r="R89" s="493">
        <v>0</v>
      </c>
      <c r="S89" s="493">
        <v>0</v>
      </c>
      <c r="T89" s="794"/>
      <c r="U89" s="600"/>
      <c r="V89" s="493">
        <f t="shared" si="60"/>
        <v>0</v>
      </c>
      <c r="W89" s="542"/>
      <c r="X89" s="1009">
        <v>0</v>
      </c>
      <c r="Y89" s="493"/>
      <c r="Z89" s="493"/>
      <c r="AA89" s="493"/>
      <c r="AB89" s="493"/>
      <c r="AC89" s="493"/>
      <c r="AD89" s="493"/>
      <c r="AE89" s="493"/>
      <c r="AF89" s="493"/>
      <c r="AG89" s="493"/>
      <c r="AH89" s="600">
        <f t="shared" si="35"/>
        <v>0</v>
      </c>
    </row>
    <row r="90" spans="1:34" s="484" customFormat="1">
      <c r="A90" s="567" t="s">
        <v>1201</v>
      </c>
      <c r="B90" s="493">
        <v>21312761031</v>
      </c>
      <c r="C90" s="493"/>
      <c r="D90" s="493">
        <v>27871822415</v>
      </c>
      <c r="E90" s="493">
        <v>20782655452</v>
      </c>
      <c r="F90" s="568"/>
      <c r="G90" s="493">
        <v>21738472819</v>
      </c>
      <c r="H90" s="493">
        <f>G90+H41</f>
        <v>21738472819</v>
      </c>
      <c r="I90" s="493">
        <f>H90+I41</f>
        <v>21738472819</v>
      </c>
      <c r="J90" s="493">
        <f>I90+J73</f>
        <v>21738472819</v>
      </c>
      <c r="K90" s="493">
        <f>J90+K73</f>
        <v>21738472819</v>
      </c>
      <c r="L90" s="493">
        <f>K90+L73</f>
        <v>21738472819</v>
      </c>
      <c r="M90" s="493">
        <f t="shared" ref="M90:Q90" si="62">L90+M73</f>
        <v>21738472819</v>
      </c>
      <c r="N90" s="493">
        <f>M90+N73</f>
        <v>21738472819</v>
      </c>
      <c r="O90" s="493">
        <f>N90+O73</f>
        <v>21738472819</v>
      </c>
      <c r="P90" s="493">
        <f>O90+P73</f>
        <v>21738472819</v>
      </c>
      <c r="Q90" s="493">
        <f t="shared" si="62"/>
        <v>21738472819</v>
      </c>
      <c r="R90" s="493">
        <f>Q90+R73</f>
        <v>21738472819</v>
      </c>
      <c r="S90" s="493">
        <f>R90+S73</f>
        <v>21738472819</v>
      </c>
      <c r="T90" s="794"/>
      <c r="U90" s="600"/>
      <c r="V90" s="493">
        <f t="shared" si="60"/>
        <v>21738472819</v>
      </c>
      <c r="W90" s="542"/>
      <c r="X90" s="1009">
        <v>21738472819</v>
      </c>
      <c r="Y90" s="493">
        <f>+V90+Y72</f>
        <v>21738472819</v>
      </c>
      <c r="Z90" s="493"/>
      <c r="AA90" s="493">
        <f>+Y90+AA72</f>
        <v>21738472819</v>
      </c>
      <c r="AB90" s="493"/>
      <c r="AC90" s="493">
        <f>+AA90+AC72</f>
        <v>21738472819</v>
      </c>
      <c r="AD90" s="493"/>
      <c r="AE90" s="493">
        <f>+AC90+AE72</f>
        <v>21738472819</v>
      </c>
      <c r="AF90" s="493"/>
      <c r="AG90" s="493"/>
      <c r="AH90" s="600">
        <f t="shared" si="35"/>
        <v>0</v>
      </c>
    </row>
    <row r="91" spans="1:34" s="484" customFormat="1">
      <c r="A91" s="567" t="s">
        <v>1202</v>
      </c>
      <c r="B91" s="493">
        <v>0</v>
      </c>
      <c r="C91" s="493"/>
      <c r="D91" s="493">
        <v>0</v>
      </c>
      <c r="E91" s="493">
        <v>0</v>
      </c>
      <c r="F91" s="568"/>
      <c r="G91" s="493">
        <v>0</v>
      </c>
      <c r="H91" s="493">
        <f t="shared" ref="H91:I91" si="63">+G91</f>
        <v>0</v>
      </c>
      <c r="I91" s="493">
        <f t="shared" si="63"/>
        <v>0</v>
      </c>
      <c r="J91" s="493">
        <f>+I91</f>
        <v>0</v>
      </c>
      <c r="K91" s="493">
        <f t="shared" ref="K91:Q91" si="64">+J91</f>
        <v>0</v>
      </c>
      <c r="L91" s="493">
        <f t="shared" si="64"/>
        <v>0</v>
      </c>
      <c r="M91" s="493">
        <f t="shared" si="64"/>
        <v>0</v>
      </c>
      <c r="N91" s="493">
        <f>+M91</f>
        <v>0</v>
      </c>
      <c r="O91" s="493">
        <f>+N91</f>
        <v>0</v>
      </c>
      <c r="P91" s="493">
        <f>+O91</f>
        <v>0</v>
      </c>
      <c r="Q91" s="493">
        <f t="shared" si="64"/>
        <v>0</v>
      </c>
      <c r="R91" s="493">
        <f>+Q91</f>
        <v>0</v>
      </c>
      <c r="S91" s="493">
        <f>+R91</f>
        <v>0</v>
      </c>
      <c r="T91" s="794"/>
      <c r="U91" s="600"/>
      <c r="V91" s="493">
        <f t="shared" si="60"/>
        <v>0</v>
      </c>
      <c r="W91" s="542"/>
      <c r="X91" s="1009">
        <v>0</v>
      </c>
      <c r="Y91" s="493"/>
      <c r="Z91" s="493"/>
      <c r="AA91" s="493"/>
      <c r="AB91" s="493"/>
      <c r="AC91" s="493"/>
      <c r="AD91" s="493"/>
      <c r="AE91" s="493"/>
      <c r="AF91" s="493"/>
      <c r="AG91" s="493"/>
      <c r="AH91" s="600">
        <f t="shared" si="35"/>
        <v>0</v>
      </c>
    </row>
    <row r="92" spans="1:34" s="484" customFormat="1">
      <c r="A92" s="567" t="s">
        <v>1203</v>
      </c>
      <c r="B92" s="493">
        <v>2708764035</v>
      </c>
      <c r="C92" s="493"/>
      <c r="D92" s="493">
        <v>4180736741.7300005</v>
      </c>
      <c r="E92" s="493">
        <v>5243369266.96</v>
      </c>
      <c r="F92" s="568"/>
      <c r="G92" s="493">
        <f>+E92+G136+3802141469</f>
        <v>9045510735.9599991</v>
      </c>
      <c r="H92" s="493">
        <f>G92+H136-359551141</f>
        <v>8473639594.9599991</v>
      </c>
      <c r="I92" s="493">
        <f>H92+I136+1097328897</f>
        <v>8389839242.9599991</v>
      </c>
      <c r="J92" s="493">
        <f>I92+J136-636405445</f>
        <v>7013887558.9599991</v>
      </c>
      <c r="K92" s="493">
        <f>J92+K136-1771340341</f>
        <v>5242547217.9599991</v>
      </c>
      <c r="L92" s="493">
        <f>K92+L136-968163989</f>
        <v>3947383228.9599991</v>
      </c>
      <c r="M92" s="493">
        <f>L92+M136-703455551</f>
        <v>3243927677.9599991</v>
      </c>
      <c r="N92" s="493">
        <f>M92+N136-623353517</f>
        <v>2575574160.9599991</v>
      </c>
      <c r="O92" s="493">
        <f>N92+O136+656777591</f>
        <v>3232351751.9599991</v>
      </c>
      <c r="P92" s="493">
        <f>O92+P136+467452786</f>
        <v>3699804537.9599991</v>
      </c>
      <c r="Q92" s="493">
        <f>P92+Q136+357140527</f>
        <v>4056945064.9599991</v>
      </c>
      <c r="R92" s="493">
        <f>Q92+R136+420010648</f>
        <v>4476955712.9599991</v>
      </c>
      <c r="S92" s="493">
        <f>R92+S136+1492244307</f>
        <v>5969200019.9599991</v>
      </c>
      <c r="T92" s="794"/>
      <c r="U92" s="600"/>
      <c r="V92" s="493">
        <f t="shared" si="60"/>
        <v>5969200019.9599991</v>
      </c>
      <c r="W92" s="542"/>
      <c r="X92" s="1009">
        <v>5969200019.9599991</v>
      </c>
      <c r="Y92" s="493">
        <v>0</v>
      </c>
      <c r="Z92" s="493"/>
      <c r="AA92" s="493">
        <v>0</v>
      </c>
      <c r="AB92" s="493"/>
      <c r="AC92" s="493">
        <v>0</v>
      </c>
      <c r="AD92" s="493"/>
      <c r="AE92" s="493">
        <v>0</v>
      </c>
      <c r="AF92" s="493"/>
      <c r="AG92" s="493"/>
      <c r="AH92" s="600">
        <f t="shared" si="35"/>
        <v>0</v>
      </c>
    </row>
    <row r="93" spans="1:34" s="484" customFormat="1">
      <c r="A93" s="567" t="s">
        <v>752</v>
      </c>
      <c r="B93" s="493">
        <v>3935621274</v>
      </c>
      <c r="C93" s="493"/>
      <c r="D93" s="493">
        <v>4863307190.3427296</v>
      </c>
      <c r="E93" s="493">
        <v>2216348133.4400001</v>
      </c>
      <c r="F93" s="568"/>
      <c r="G93" s="493">
        <f>E93</f>
        <v>2216348133.4400001</v>
      </c>
      <c r="H93" s="493">
        <f t="shared" ref="H93" si="65">(G88*2%)+G93</f>
        <v>2321303397.6666665</v>
      </c>
      <c r="I93" s="493">
        <f>(H88*2%)+H93</f>
        <v>2370393801.8583231</v>
      </c>
      <c r="J93" s="493">
        <f>(I88*2%)+I93</f>
        <v>2429301368.4324913</v>
      </c>
      <c r="K93" s="493">
        <f t="shared" ref="K93:Q93" si="66">(J88*2%)+J93</f>
        <v>2494100305.8399925</v>
      </c>
      <c r="L93" s="493">
        <f t="shared" si="66"/>
        <v>2564723322.4141607</v>
      </c>
      <c r="M93" s="493">
        <f t="shared" si="66"/>
        <v>2641142751.4883289</v>
      </c>
      <c r="N93" s="493">
        <f>(M88*2%)+M93</f>
        <v>2723569676.3958302</v>
      </c>
      <c r="O93" s="493">
        <f>(N88*2%)+N93</f>
        <v>2812223555.8033314</v>
      </c>
      <c r="P93" s="493">
        <f>(O88*2%)+O93</f>
        <v>2906684276.5441661</v>
      </c>
      <c r="Q93" s="493">
        <f t="shared" si="66"/>
        <v>3006295317.7850008</v>
      </c>
      <c r="R93" s="493">
        <f>(Q88*2%)+Q93</f>
        <v>3110407471.859169</v>
      </c>
      <c r="S93" s="493">
        <f>(R88*2%)+R93</f>
        <v>3218181396.7666702</v>
      </c>
      <c r="T93" s="794"/>
      <c r="U93" s="600"/>
      <c r="V93" s="493">
        <f t="shared" si="60"/>
        <v>3218181396.7666702</v>
      </c>
      <c r="W93" s="542"/>
      <c r="X93" s="1009">
        <v>3218181396.7666702</v>
      </c>
      <c r="Y93" s="493" t="e">
        <f>((V88+Y38-Y88)*2%)</f>
        <v>#REF!</v>
      </c>
      <c r="Z93" s="493"/>
      <c r="AA93" s="493" t="e">
        <f>((Y88+AA38-AA88)*2%)</f>
        <v>#REF!</v>
      </c>
      <c r="AB93" s="493"/>
      <c r="AC93" s="493" t="e">
        <f>((AA88+AC38-AC88)*2%)</f>
        <v>#REF!</v>
      </c>
      <c r="AD93" s="493"/>
      <c r="AE93" s="493" t="e">
        <f>((AC88+AE38-AE88)*2%)</f>
        <v>#REF!</v>
      </c>
      <c r="AF93" s="493"/>
      <c r="AG93" s="493"/>
      <c r="AH93" s="600">
        <f t="shared" si="35"/>
        <v>0</v>
      </c>
    </row>
    <row r="94" spans="1:34" s="484" customFormat="1">
      <c r="A94" s="567" t="s">
        <v>1204</v>
      </c>
      <c r="B94" s="493">
        <v>7049051</v>
      </c>
      <c r="C94" s="493"/>
      <c r="D94" s="493">
        <v>0</v>
      </c>
      <c r="E94" s="493">
        <v>1501871002.5029106</v>
      </c>
      <c r="F94" s="568"/>
      <c r="G94" s="493">
        <v>0</v>
      </c>
      <c r="H94" s="493"/>
      <c r="I94" s="493"/>
      <c r="J94" s="493"/>
      <c r="K94" s="493"/>
      <c r="L94" s="493"/>
      <c r="M94" s="493"/>
      <c r="N94" s="493"/>
      <c r="O94" s="493"/>
      <c r="P94" s="493"/>
      <c r="Q94" s="493"/>
      <c r="R94" s="493"/>
      <c r="S94" s="493"/>
      <c r="T94" s="794"/>
      <c r="U94" s="600"/>
      <c r="V94" s="493"/>
      <c r="W94" s="542"/>
      <c r="X94" s="1009"/>
      <c r="Y94" s="493">
        <v>0</v>
      </c>
      <c r="Z94" s="493"/>
      <c r="AA94" s="493">
        <v>0</v>
      </c>
      <c r="AB94" s="493"/>
      <c r="AC94" s="493">
        <v>0</v>
      </c>
      <c r="AD94" s="493"/>
      <c r="AE94" s="493">
        <v>0</v>
      </c>
      <c r="AF94" s="493"/>
      <c r="AG94" s="493"/>
      <c r="AH94" s="600">
        <f t="shared" si="35"/>
        <v>0</v>
      </c>
    </row>
    <row r="95" spans="1:34" s="484" customFormat="1">
      <c r="A95" s="567" t="s">
        <v>1205</v>
      </c>
      <c r="B95" s="493">
        <v>7429175065</v>
      </c>
      <c r="C95" s="493"/>
      <c r="D95" s="493">
        <v>5250265190.6666632</v>
      </c>
      <c r="E95" s="493">
        <v>6248448482.4300003</v>
      </c>
      <c r="F95" s="568"/>
      <c r="G95" s="493">
        <f>E95-F52</f>
        <v>4634938019.4300003</v>
      </c>
      <c r="H95" s="493">
        <f>H162</f>
        <v>4648774284.5249996</v>
      </c>
      <c r="I95" s="493">
        <f t="shared" ref="I95:Q95" si="67">I162</f>
        <v>4652312951.1916666</v>
      </c>
      <c r="J95" s="493">
        <f t="shared" si="67"/>
        <v>5813756712.708333</v>
      </c>
      <c r="K95" s="493">
        <f t="shared" si="67"/>
        <v>6540977181.0583334</v>
      </c>
      <c r="L95" s="493">
        <f t="shared" si="67"/>
        <v>6540977181.0583334</v>
      </c>
      <c r="M95" s="493">
        <f t="shared" si="67"/>
        <v>6862527181.0583334</v>
      </c>
      <c r="N95" s="493">
        <f t="shared" si="67"/>
        <v>6862527181.0583334</v>
      </c>
      <c r="O95" s="493">
        <f t="shared" si="67"/>
        <v>6906777181.0583334</v>
      </c>
      <c r="P95" s="493">
        <f t="shared" si="67"/>
        <v>6906777181.0583334</v>
      </c>
      <c r="Q95" s="493">
        <f t="shared" si="67"/>
        <v>6906777181.0583334</v>
      </c>
      <c r="R95" s="493">
        <f>R162</f>
        <v>6906777181.0583334</v>
      </c>
      <c r="S95" s="493">
        <f>S162</f>
        <v>6673620854.6166668</v>
      </c>
      <c r="T95" s="794"/>
      <c r="U95" s="600"/>
      <c r="V95" s="493">
        <f>+S95</f>
        <v>6673620854.6166668</v>
      </c>
      <c r="W95" s="542"/>
      <c r="X95" s="1009">
        <v>6673620854.6166668</v>
      </c>
      <c r="Y95" s="493">
        <f>+Y162</f>
        <v>6172621757.0166664</v>
      </c>
      <c r="Z95" s="493"/>
      <c r="AA95" s="493">
        <f>+AA162</f>
        <v>5671622659.416666</v>
      </c>
      <c r="AB95" s="493"/>
      <c r="AC95" s="493">
        <f>+AC162</f>
        <v>5170623561.8166656</v>
      </c>
      <c r="AD95" s="493"/>
      <c r="AE95" s="493">
        <f>+AE162</f>
        <v>4669624464.2166653</v>
      </c>
      <c r="AF95" s="493"/>
      <c r="AG95" s="493"/>
      <c r="AH95" s="600">
        <f t="shared" si="35"/>
        <v>0</v>
      </c>
    </row>
    <row r="96" spans="1:34" s="484" customFormat="1">
      <c r="A96" s="567" t="s">
        <v>1206</v>
      </c>
      <c r="B96" s="493">
        <v>252779163</v>
      </c>
      <c r="C96" s="493"/>
      <c r="D96" s="493">
        <v>1301545166.3333335</v>
      </c>
      <c r="E96" s="493">
        <v>488779898</v>
      </c>
      <c r="F96" s="568"/>
      <c r="G96" s="493">
        <v>1301545166.3333335</v>
      </c>
      <c r="H96" s="493">
        <f>G96-59429453</f>
        <v>1242115713.3333335</v>
      </c>
      <c r="I96" s="493">
        <f>H96-1477645</f>
        <v>1240638068.3333335</v>
      </c>
      <c r="J96" s="493">
        <f>I96-13277645</f>
        <v>1227360423.3333335</v>
      </c>
      <c r="K96" s="493">
        <f>J96-1277645</f>
        <v>1226082778.3333335</v>
      </c>
      <c r="L96" s="493">
        <f>K96+5272355</f>
        <v>1231355133.3333335</v>
      </c>
      <c r="M96" s="493">
        <f>L96-6527646</f>
        <v>1224827487.3333335</v>
      </c>
      <c r="N96" s="493">
        <f>M96+5472355</f>
        <v>1230299842.3333335</v>
      </c>
      <c r="O96" s="493">
        <f>N96+4722355</f>
        <v>1235022197.3333335</v>
      </c>
      <c r="P96" s="493">
        <f>O96+4722355</f>
        <v>1239744552.3333335</v>
      </c>
      <c r="Q96" s="493">
        <f>P96+4722355</f>
        <v>1244466907.3333335</v>
      </c>
      <c r="R96" s="493">
        <f>Q96+4722355</f>
        <v>1249189262.3333335</v>
      </c>
      <c r="S96" s="493">
        <f>R96-19277645</f>
        <v>1229911617.3333335</v>
      </c>
      <c r="T96" s="794"/>
      <c r="U96" s="600"/>
      <c r="V96" s="493">
        <f>+S96</f>
        <v>1229911617.3333335</v>
      </c>
      <c r="W96" s="542"/>
      <c r="X96" s="1009">
        <v>1229911617.3333335</v>
      </c>
      <c r="Y96" s="493">
        <f>Y181</f>
        <v>1225111617</v>
      </c>
      <c r="Z96" s="493"/>
      <c r="AA96" s="493">
        <f>AA181</f>
        <v>1220311617</v>
      </c>
      <c r="AB96" s="493"/>
      <c r="AC96" s="493">
        <f>AC181</f>
        <v>1215511617</v>
      </c>
      <c r="AD96" s="493"/>
      <c r="AE96" s="493">
        <f>AE181</f>
        <v>1210711617</v>
      </c>
      <c r="AF96" s="493"/>
      <c r="AG96" s="493"/>
      <c r="AH96" s="600">
        <f t="shared" si="35"/>
        <v>0</v>
      </c>
    </row>
    <row r="97" spans="1:34" s="484" customFormat="1">
      <c r="A97" s="567" t="s">
        <v>1207</v>
      </c>
      <c r="B97" s="493">
        <v>2643234460</v>
      </c>
      <c r="C97" s="493"/>
      <c r="D97" s="493">
        <v>2643234449</v>
      </c>
      <c r="E97" s="493">
        <v>2199808773</v>
      </c>
      <c r="F97" s="568"/>
      <c r="G97" s="493">
        <v>2643234449</v>
      </c>
      <c r="H97" s="493">
        <f t="shared" ref="H97:I97" si="68">+G97</f>
        <v>2643234449</v>
      </c>
      <c r="I97" s="493">
        <f t="shared" si="68"/>
        <v>2643234449</v>
      </c>
      <c r="J97" s="493">
        <f>+I97</f>
        <v>2643234449</v>
      </c>
      <c r="K97" s="493">
        <f t="shared" ref="K97:Q97" si="69">+J97</f>
        <v>2643234449</v>
      </c>
      <c r="L97" s="493">
        <f t="shared" si="69"/>
        <v>2643234449</v>
      </c>
      <c r="M97" s="493">
        <f t="shared" si="69"/>
        <v>2643234449</v>
      </c>
      <c r="N97" s="493">
        <f>+M97</f>
        <v>2643234449</v>
      </c>
      <c r="O97" s="493">
        <f>+N97</f>
        <v>2643234449</v>
      </c>
      <c r="P97" s="493">
        <f>+O97</f>
        <v>2643234449</v>
      </c>
      <c r="Q97" s="493">
        <f t="shared" si="69"/>
        <v>2643234449</v>
      </c>
      <c r="R97" s="493">
        <f>+Q97</f>
        <v>2643234449</v>
      </c>
      <c r="S97" s="493">
        <f>+R97</f>
        <v>2643234449</v>
      </c>
      <c r="T97" s="794"/>
      <c r="U97" s="600"/>
      <c r="V97" s="493">
        <f>+S97</f>
        <v>2643234449</v>
      </c>
      <c r="W97" s="533"/>
      <c r="X97" s="1009">
        <v>2643234449</v>
      </c>
      <c r="Y97" s="493">
        <f>+V97</f>
        <v>2643234449</v>
      </c>
      <c r="Z97" s="493"/>
      <c r="AA97" s="493">
        <f>+Y97</f>
        <v>2643234449</v>
      </c>
      <c r="AB97" s="493"/>
      <c r="AC97" s="493">
        <f>+AA97</f>
        <v>2643234449</v>
      </c>
      <c r="AD97" s="493"/>
      <c r="AE97" s="493">
        <f>+AC97</f>
        <v>2643234449</v>
      </c>
      <c r="AF97" s="493"/>
      <c r="AG97" s="493"/>
      <c r="AH97" s="600">
        <f t="shared" si="35"/>
        <v>0</v>
      </c>
    </row>
    <row r="98" spans="1:34" s="484" customFormat="1">
      <c r="A98" s="569" t="s">
        <v>1100</v>
      </c>
      <c r="B98" s="537">
        <v>48554695659</v>
      </c>
      <c r="C98" s="537"/>
      <c r="D98" s="537">
        <f>SUM(D87:D97)</f>
        <v>61548866093.209389</v>
      </c>
      <c r="E98" s="537">
        <f>SUM(E87:E97)</f>
        <v>46674743709.862907</v>
      </c>
      <c r="F98" s="570"/>
      <c r="G98" s="537">
        <f>SUM(G87:G97)</f>
        <v>47544395925.408508</v>
      </c>
      <c r="H98" s="537">
        <f>SUM(H87:H97)</f>
        <v>46191819656.830505</v>
      </c>
      <c r="I98" s="537">
        <f t="shared" ref="I98:V98" si="70">SUM(I87:I97)</f>
        <v>46257032002.430603</v>
      </c>
      <c r="J98" s="537">
        <f t="shared" si="70"/>
        <v>46441981867.415878</v>
      </c>
      <c r="K98" s="537">
        <f t="shared" si="70"/>
        <v>46738378254.107506</v>
      </c>
      <c r="L98" s="537">
        <f t="shared" si="70"/>
        <v>45620185486.729553</v>
      </c>
      <c r="M98" s="537">
        <f t="shared" si="70"/>
        <v>46098483607.748726</v>
      </c>
      <c r="N98" s="537">
        <f t="shared" si="70"/>
        <v>47169880784.546898</v>
      </c>
      <c r="O98" s="537">
        <f t="shared" si="70"/>
        <v>48504005532.989037</v>
      </c>
      <c r="P98" s="537">
        <f t="shared" si="70"/>
        <v>49960911707.947769</v>
      </c>
      <c r="Q98" s="537">
        <f t="shared" si="70"/>
        <v>51460427198.70472</v>
      </c>
      <c r="R98" s="537">
        <f>SUM(R87:R97)</f>
        <v>53100181822.646538</v>
      </c>
      <c r="S98" s="537">
        <f>SUM(S87:S97)</f>
        <v>55681119093.577866</v>
      </c>
      <c r="T98" s="793"/>
      <c r="U98" s="600"/>
      <c r="V98" s="537">
        <f t="shared" si="70"/>
        <v>55681119093.577866</v>
      </c>
      <c r="W98" s="526"/>
      <c r="X98" s="1008">
        <v>55681119093.577866</v>
      </c>
      <c r="Y98" s="537" t="e">
        <f t="shared" ref="Y98:AE98" si="71">SUM(Y87:Y97)</f>
        <v>#REF!</v>
      </c>
      <c r="Z98" s="537"/>
      <c r="AA98" s="537" t="e">
        <f t="shared" si="71"/>
        <v>#REF!</v>
      </c>
      <c r="AB98" s="537"/>
      <c r="AC98" s="537" t="e">
        <f t="shared" si="71"/>
        <v>#REF!</v>
      </c>
      <c r="AD98" s="537"/>
      <c r="AE98" s="537" t="e">
        <f t="shared" si="71"/>
        <v>#REF!</v>
      </c>
      <c r="AF98" s="537"/>
      <c r="AG98" s="537"/>
      <c r="AH98" s="600">
        <f t="shared" si="35"/>
        <v>0</v>
      </c>
    </row>
    <row r="99" spans="1:34" s="484" customFormat="1">
      <c r="A99" s="567"/>
      <c r="B99" s="493"/>
      <c r="C99" s="493"/>
      <c r="D99" s="493"/>
      <c r="E99" s="493"/>
      <c r="F99" s="568"/>
      <c r="G99" s="493"/>
      <c r="H99" s="493"/>
      <c r="I99" s="493"/>
      <c r="J99" s="493"/>
      <c r="K99" s="493"/>
      <c r="L99" s="493"/>
      <c r="M99" s="493"/>
      <c r="N99" s="493"/>
      <c r="O99" s="493">
        <f>O98-SUM(O93:O97)</f>
        <v>34906748149.794037</v>
      </c>
      <c r="P99" s="493"/>
      <c r="Q99" s="493"/>
      <c r="R99" s="493"/>
      <c r="S99" s="493"/>
      <c r="T99" s="794"/>
      <c r="U99" s="600"/>
      <c r="V99" s="493"/>
      <c r="W99" s="542"/>
      <c r="X99" s="1009"/>
      <c r="Y99" s="493"/>
      <c r="Z99" s="493"/>
      <c r="AA99" s="493"/>
      <c r="AB99" s="493"/>
      <c r="AC99" s="493"/>
      <c r="AD99" s="493"/>
      <c r="AE99" s="493"/>
      <c r="AF99" s="493"/>
      <c r="AG99" s="493"/>
      <c r="AH99" s="600">
        <f t="shared" si="35"/>
        <v>0</v>
      </c>
    </row>
    <row r="100" spans="1:34" s="484" customFormat="1">
      <c r="A100" s="565" t="s">
        <v>1208</v>
      </c>
      <c r="B100" s="571"/>
      <c r="C100" s="572"/>
      <c r="D100" s="572"/>
      <c r="E100" s="572"/>
      <c r="F100" s="573"/>
      <c r="G100" s="572"/>
      <c r="H100" s="572"/>
      <c r="I100" s="572"/>
      <c r="J100" s="572"/>
      <c r="K100" s="572"/>
      <c r="L100" s="572"/>
      <c r="M100" s="572"/>
      <c r="N100" s="572"/>
      <c r="O100" s="572"/>
      <c r="P100" s="572"/>
      <c r="Q100" s="572"/>
      <c r="R100" s="572"/>
      <c r="S100" s="572"/>
      <c r="T100" s="798"/>
      <c r="U100" s="600"/>
      <c r="V100" s="572"/>
      <c r="W100" s="542"/>
      <c r="X100" s="1008"/>
      <c r="Y100" s="572"/>
      <c r="Z100" s="572"/>
      <c r="AA100" s="572"/>
      <c r="AB100" s="572"/>
      <c r="AC100" s="572"/>
      <c r="AD100" s="572"/>
      <c r="AE100" s="572"/>
      <c r="AF100" s="572"/>
      <c r="AG100" s="572"/>
      <c r="AH100" s="600">
        <f t="shared" si="35"/>
        <v>0</v>
      </c>
    </row>
    <row r="101" spans="1:34" s="484" customFormat="1">
      <c r="A101" s="565"/>
      <c r="B101" s="565"/>
      <c r="C101" s="537"/>
      <c r="D101" s="537"/>
      <c r="E101" s="537"/>
      <c r="F101" s="566"/>
      <c r="G101" s="537"/>
      <c r="H101" s="537"/>
      <c r="I101" s="537"/>
      <c r="J101" s="537"/>
      <c r="K101" s="537"/>
      <c r="L101" s="537"/>
      <c r="M101" s="537"/>
      <c r="N101" s="537"/>
      <c r="O101" s="537"/>
      <c r="P101" s="537"/>
      <c r="Q101" s="537"/>
      <c r="R101" s="537"/>
      <c r="S101" s="537"/>
      <c r="T101" s="793"/>
      <c r="U101" s="600"/>
      <c r="V101" s="537"/>
      <c r="W101" s="542"/>
      <c r="X101" s="1008"/>
      <c r="Y101" s="537"/>
      <c r="Z101" s="537"/>
      <c r="AA101" s="537"/>
      <c r="AB101" s="537"/>
      <c r="AC101" s="537"/>
      <c r="AD101" s="537"/>
      <c r="AE101" s="537"/>
      <c r="AF101" s="537"/>
      <c r="AG101" s="537"/>
      <c r="AH101" s="600">
        <f t="shared" si="35"/>
        <v>0</v>
      </c>
    </row>
    <row r="102" spans="1:34" s="484" customFormat="1">
      <c r="A102" s="565" t="s">
        <v>1209</v>
      </c>
      <c r="B102" s="565"/>
      <c r="C102" s="537"/>
      <c r="D102" s="537"/>
      <c r="E102" s="537"/>
      <c r="F102" s="566"/>
      <c r="G102" s="537"/>
      <c r="H102" s="537"/>
      <c r="I102" s="537"/>
      <c r="J102" s="537"/>
      <c r="K102" s="537"/>
      <c r="L102" s="537"/>
      <c r="M102" s="537"/>
      <c r="N102" s="537"/>
      <c r="O102" s="537"/>
      <c r="P102" s="537"/>
      <c r="Q102" s="537"/>
      <c r="R102" s="537"/>
      <c r="S102" s="537"/>
      <c r="T102" s="793"/>
      <c r="U102" s="600"/>
      <c r="V102" s="537"/>
      <c r="W102" s="542"/>
      <c r="X102" s="1008"/>
      <c r="Y102" s="537"/>
      <c r="Z102" s="537"/>
      <c r="AA102" s="537"/>
      <c r="AB102" s="537"/>
      <c r="AC102" s="537"/>
      <c r="AD102" s="537"/>
      <c r="AE102" s="537"/>
      <c r="AF102" s="537"/>
      <c r="AG102" s="537"/>
      <c r="AH102" s="600">
        <f t="shared" si="35"/>
        <v>0</v>
      </c>
    </row>
    <row r="103" spans="1:34" s="484" customFormat="1">
      <c r="A103" s="567" t="s">
        <v>1210</v>
      </c>
      <c r="B103" s="541">
        <v>0</v>
      </c>
      <c r="C103" s="493"/>
      <c r="D103" s="493">
        <v>0</v>
      </c>
      <c r="E103" s="493">
        <v>0</v>
      </c>
      <c r="F103" s="568"/>
      <c r="G103" s="493">
        <v>0</v>
      </c>
      <c r="H103" s="493">
        <f t="shared" ref="H103:Q104" si="72">+G103</f>
        <v>0</v>
      </c>
      <c r="I103" s="493">
        <f t="shared" si="72"/>
        <v>0</v>
      </c>
      <c r="J103" s="493">
        <f>+I103</f>
        <v>0</v>
      </c>
      <c r="K103" s="493">
        <f t="shared" si="72"/>
        <v>0</v>
      </c>
      <c r="L103" s="493">
        <f t="shared" si="72"/>
        <v>0</v>
      </c>
      <c r="M103" s="493">
        <f t="shared" si="72"/>
        <v>0</v>
      </c>
      <c r="N103" s="493">
        <f t="shared" ref="N103:P104" si="73">+M103</f>
        <v>0</v>
      </c>
      <c r="O103" s="493">
        <f t="shared" si="73"/>
        <v>0</v>
      </c>
      <c r="P103" s="493">
        <f t="shared" si="73"/>
        <v>0</v>
      </c>
      <c r="Q103" s="493">
        <f t="shared" si="72"/>
        <v>0</v>
      </c>
      <c r="R103" s="493">
        <f>+Q103</f>
        <v>0</v>
      </c>
      <c r="S103" s="493">
        <f>+R103</f>
        <v>0</v>
      </c>
      <c r="T103" s="794"/>
      <c r="U103" s="600"/>
      <c r="V103" s="493">
        <f t="shared" ref="V103:V109" si="74">+S103</f>
        <v>0</v>
      </c>
      <c r="W103" s="542"/>
      <c r="X103" s="1009">
        <v>0</v>
      </c>
      <c r="Y103" s="493">
        <v>0</v>
      </c>
      <c r="Z103" s="493"/>
      <c r="AA103" s="493">
        <v>0</v>
      </c>
      <c r="AB103" s="493"/>
      <c r="AC103" s="493">
        <v>0</v>
      </c>
      <c r="AD103" s="493"/>
      <c r="AE103" s="493">
        <v>0</v>
      </c>
      <c r="AF103" s="493"/>
      <c r="AG103" s="493"/>
      <c r="AH103" s="600">
        <f t="shared" si="35"/>
        <v>0</v>
      </c>
    </row>
    <row r="104" spans="1:34" s="484" customFormat="1">
      <c r="A104" s="567" t="s">
        <v>1211</v>
      </c>
      <c r="B104" s="541">
        <v>4364166565</v>
      </c>
      <c r="C104" s="493"/>
      <c r="D104" s="493">
        <v>272174899</v>
      </c>
      <c r="E104" s="493">
        <v>1320106381</v>
      </c>
      <c r="F104" s="568"/>
      <c r="G104" s="493">
        <f>+E104</f>
        <v>1320106381</v>
      </c>
      <c r="H104" s="493">
        <f t="shared" si="72"/>
        <v>1320106381</v>
      </c>
      <c r="I104" s="493">
        <f t="shared" si="72"/>
        <v>1320106381</v>
      </c>
      <c r="J104" s="493">
        <f>+I104</f>
        <v>1320106381</v>
      </c>
      <c r="K104" s="493">
        <f t="shared" si="72"/>
        <v>1320106381</v>
      </c>
      <c r="L104" s="493">
        <f t="shared" si="72"/>
        <v>1320106381</v>
      </c>
      <c r="M104" s="493">
        <f t="shared" si="72"/>
        <v>1320106381</v>
      </c>
      <c r="N104" s="493">
        <f t="shared" si="73"/>
        <v>1320106381</v>
      </c>
      <c r="O104" s="493">
        <f t="shared" si="73"/>
        <v>1320106381</v>
      </c>
      <c r="P104" s="493">
        <f t="shared" si="73"/>
        <v>1320106381</v>
      </c>
      <c r="Q104" s="493">
        <f t="shared" si="72"/>
        <v>1320106381</v>
      </c>
      <c r="R104" s="493">
        <f>+Q104+119464099</f>
        <v>1439570480</v>
      </c>
      <c r="S104" s="493">
        <f>+R104+969624549</f>
        <v>2409195029</v>
      </c>
      <c r="T104" s="794"/>
      <c r="U104" s="600"/>
      <c r="V104" s="493">
        <f t="shared" si="74"/>
        <v>2409195029</v>
      </c>
      <c r="W104" s="542"/>
      <c r="X104" s="1009">
        <v>2409195029</v>
      </c>
      <c r="Y104" s="493">
        <v>0</v>
      </c>
      <c r="Z104" s="493"/>
      <c r="AA104" s="493">
        <v>0</v>
      </c>
      <c r="AB104" s="493"/>
      <c r="AC104" s="493">
        <v>0</v>
      </c>
      <c r="AD104" s="493"/>
      <c r="AE104" s="493">
        <v>0</v>
      </c>
      <c r="AF104" s="493"/>
      <c r="AG104" s="493"/>
      <c r="AH104" s="600">
        <f t="shared" ref="AH104:AH167" si="75">V104-X104</f>
        <v>0</v>
      </c>
    </row>
    <row r="105" spans="1:34" s="484" customFormat="1">
      <c r="A105" s="567" t="s">
        <v>1212</v>
      </c>
      <c r="B105" s="541">
        <v>535472381</v>
      </c>
      <c r="C105" s="493"/>
      <c r="D105" s="493">
        <v>827201944.95107388</v>
      </c>
      <c r="E105" s="493">
        <v>325995585.18000001</v>
      </c>
      <c r="F105" s="568"/>
      <c r="G105" s="554">
        <v>827201944.95107388</v>
      </c>
      <c r="H105" s="554">
        <f>+(G88*10%)-H80</f>
        <v>164921486.42986298</v>
      </c>
      <c r="I105" s="554">
        <f t="shared" ref="I105:Q105" si="76">+(H88*10%)-I80</f>
        <v>142215590.98620814</v>
      </c>
      <c r="J105" s="554">
        <f t="shared" si="76"/>
        <v>208262389.72793335</v>
      </c>
      <c r="K105" s="554">
        <f t="shared" si="76"/>
        <v>274615832.64968312</v>
      </c>
      <c r="L105" s="554">
        <f t="shared" si="76"/>
        <v>-41671154.902941525</v>
      </c>
      <c r="M105" s="554">
        <f t="shared" si="76"/>
        <v>70981496.880183339</v>
      </c>
      <c r="N105" s="554">
        <f>+(M88*10%)-N80</f>
        <v>446167242.85897493</v>
      </c>
      <c r="O105" s="554">
        <f>+(N88*10%)-O80</f>
        <v>680061455.82101643</v>
      </c>
      <c r="P105" s="554">
        <f>+(O88*10%)-P80</f>
        <v>790695694.9908917</v>
      </c>
      <c r="Q105" s="554">
        <f t="shared" si="76"/>
        <v>847614250.17297471</v>
      </c>
      <c r="R105" s="554">
        <f>+(Q88*10%)-R80</f>
        <v>883024564.43964136</v>
      </c>
      <c r="S105" s="554">
        <f>+(R88*10%)-S80</f>
        <v>927353293.70630801</v>
      </c>
      <c r="T105" s="796"/>
      <c r="U105" s="600"/>
      <c r="V105" s="493">
        <f t="shared" si="74"/>
        <v>927353293.70630801</v>
      </c>
      <c r="W105" s="542"/>
      <c r="X105" s="1009">
        <v>927353293.70630801</v>
      </c>
      <c r="Y105" s="493" t="e">
        <f>-Y80</f>
        <v>#REF!</v>
      </c>
      <c r="Z105" s="493"/>
      <c r="AA105" s="493" t="e">
        <f>-AA80</f>
        <v>#REF!</v>
      </c>
      <c r="AB105" s="493"/>
      <c r="AC105" s="493" t="e">
        <f>-AC80</f>
        <v>#REF!</v>
      </c>
      <c r="AD105" s="493"/>
      <c r="AE105" s="493" t="e">
        <f>-AE80</f>
        <v>#REF!</v>
      </c>
      <c r="AF105" s="493"/>
      <c r="AG105" s="493"/>
      <c r="AH105" s="600">
        <f t="shared" si="75"/>
        <v>0</v>
      </c>
    </row>
    <row r="106" spans="1:34" s="484" customFormat="1">
      <c r="A106" s="567" t="s">
        <v>1213</v>
      </c>
      <c r="B106" s="541">
        <v>2014427017</v>
      </c>
      <c r="C106" s="493"/>
      <c r="D106" s="493">
        <v>0</v>
      </c>
      <c r="E106" s="493">
        <v>0</v>
      </c>
      <c r="F106" s="568"/>
      <c r="G106" s="493">
        <v>0</v>
      </c>
      <c r="H106" s="493"/>
      <c r="I106" s="493"/>
      <c r="J106" s="493"/>
      <c r="K106" s="493"/>
      <c r="L106" s="493"/>
      <c r="M106" s="493"/>
      <c r="N106" s="493"/>
      <c r="O106" s="493"/>
      <c r="P106" s="493"/>
      <c r="Q106" s="493"/>
      <c r="R106" s="493"/>
      <c r="S106" s="493"/>
      <c r="T106" s="794"/>
      <c r="U106" s="600"/>
      <c r="V106" s="493">
        <f t="shared" si="74"/>
        <v>0</v>
      </c>
      <c r="W106" s="542"/>
      <c r="X106" s="1009">
        <v>0</v>
      </c>
      <c r="Y106" s="493">
        <v>0</v>
      </c>
      <c r="Z106" s="493"/>
      <c r="AA106" s="493">
        <v>0</v>
      </c>
      <c r="AB106" s="493"/>
      <c r="AC106" s="493">
        <v>0</v>
      </c>
      <c r="AD106" s="493"/>
      <c r="AE106" s="493">
        <v>0</v>
      </c>
      <c r="AF106" s="493"/>
      <c r="AG106" s="493"/>
      <c r="AH106" s="600">
        <f t="shared" si="75"/>
        <v>0</v>
      </c>
    </row>
    <row r="107" spans="1:34" s="484" customFormat="1">
      <c r="A107" s="567" t="s">
        <v>1214</v>
      </c>
      <c r="B107" s="541">
        <v>1827758429</v>
      </c>
      <c r="C107" s="493"/>
      <c r="D107" s="493">
        <v>1828568429</v>
      </c>
      <c r="E107" s="493">
        <v>680811316</v>
      </c>
      <c r="F107" s="568"/>
      <c r="G107" s="493">
        <f>E107</f>
        <v>680811316</v>
      </c>
      <c r="H107" s="493">
        <f>G107</f>
        <v>680811316</v>
      </c>
      <c r="I107" s="493">
        <f t="shared" ref="I107:Q107" si="77">H107</f>
        <v>680811316</v>
      </c>
      <c r="J107" s="493">
        <f t="shared" si="77"/>
        <v>680811316</v>
      </c>
      <c r="K107" s="493">
        <f t="shared" si="77"/>
        <v>680811316</v>
      </c>
      <c r="L107" s="493">
        <f t="shared" si="77"/>
        <v>680811316</v>
      </c>
      <c r="M107" s="493">
        <f t="shared" si="77"/>
        <v>680811316</v>
      </c>
      <c r="N107" s="493">
        <f>M107</f>
        <v>680811316</v>
      </c>
      <c r="O107" s="493">
        <f>N107</f>
        <v>680811316</v>
      </c>
      <c r="P107" s="493">
        <f>O107</f>
        <v>680811316</v>
      </c>
      <c r="Q107" s="493">
        <f t="shared" si="77"/>
        <v>680811316</v>
      </c>
      <c r="R107" s="493">
        <f>Q107</f>
        <v>680811316</v>
      </c>
      <c r="S107" s="493">
        <f>R107</f>
        <v>680811316</v>
      </c>
      <c r="T107" s="794"/>
      <c r="U107" s="600"/>
      <c r="V107" s="493">
        <f t="shared" si="74"/>
        <v>680811316</v>
      </c>
      <c r="W107" s="542"/>
      <c r="X107" s="1009">
        <v>680811316</v>
      </c>
      <c r="Y107" s="493">
        <f>+V107</f>
        <v>680811316</v>
      </c>
      <c r="Z107" s="493"/>
      <c r="AA107" s="493">
        <f>+Y107</f>
        <v>680811316</v>
      </c>
      <c r="AB107" s="493"/>
      <c r="AC107" s="493">
        <f>+AA107</f>
        <v>680811316</v>
      </c>
      <c r="AD107" s="493"/>
      <c r="AE107" s="493">
        <f>+AC107</f>
        <v>680811316</v>
      </c>
      <c r="AF107" s="493"/>
      <c r="AG107" s="493"/>
      <c r="AH107" s="600">
        <f t="shared" si="75"/>
        <v>0</v>
      </c>
    </row>
    <row r="108" spans="1:34" s="484" customFormat="1">
      <c r="A108" s="567" t="s">
        <v>1215</v>
      </c>
      <c r="B108" s="541">
        <v>96784216</v>
      </c>
      <c r="C108" s="493"/>
      <c r="D108" s="493">
        <v>1041015206.4235803</v>
      </c>
      <c r="E108" s="493">
        <v>858905570</v>
      </c>
      <c r="F108" s="568"/>
      <c r="G108" s="493">
        <f>E108</f>
        <v>858905570</v>
      </c>
      <c r="H108" s="493">
        <f>G108+H142</f>
        <v>858905570</v>
      </c>
      <c r="I108" s="493">
        <f>H108+I142</f>
        <v>858905570</v>
      </c>
      <c r="J108" s="493">
        <f>I108+J143</f>
        <v>840324136.92283344</v>
      </c>
      <c r="K108" s="493">
        <f>J108+K143</f>
        <v>821641512.16926336</v>
      </c>
      <c r="L108" s="493">
        <f>K108+L143</f>
        <v>802856599.4961288</v>
      </c>
      <c r="M108" s="493">
        <v>1701077927.2078815</v>
      </c>
      <c r="N108" s="493">
        <v>1892085102.3336082</v>
      </c>
      <c r="O108" s="493">
        <f>N108+O143</f>
        <v>1872986629.0384629</v>
      </c>
      <c r="P108" s="493">
        <f>O108+P143</f>
        <v>1853781362.7978859</v>
      </c>
      <c r="Q108" s="493">
        <f>P108+Q143</f>
        <v>1834468146.6883018</v>
      </c>
      <c r="R108" s="493">
        <f>Q108+R143</f>
        <v>1815045811.2527964</v>
      </c>
      <c r="S108" s="493">
        <f>R108+S143</f>
        <v>1795513174.365339</v>
      </c>
      <c r="T108" s="794"/>
      <c r="U108" s="600"/>
      <c r="V108" s="493">
        <f t="shared" si="74"/>
        <v>1795513174.365339</v>
      </c>
      <c r="W108" s="538"/>
      <c r="X108" s="1009">
        <v>1795513174.365339</v>
      </c>
      <c r="Y108" s="493">
        <v>0</v>
      </c>
      <c r="Z108" s="493"/>
      <c r="AA108" s="493">
        <v>0</v>
      </c>
      <c r="AB108" s="493"/>
      <c r="AC108" s="493">
        <v>0</v>
      </c>
      <c r="AD108" s="493"/>
      <c r="AE108" s="493">
        <v>0</v>
      </c>
      <c r="AF108" s="493"/>
      <c r="AG108" s="493"/>
      <c r="AH108" s="600">
        <f t="shared" si="75"/>
        <v>0</v>
      </c>
    </row>
    <row r="109" spans="1:34" s="484" customFormat="1">
      <c r="A109" s="567" t="s">
        <v>1216</v>
      </c>
      <c r="B109" s="541">
        <v>0</v>
      </c>
      <c r="C109" s="493"/>
      <c r="D109" s="493">
        <v>0</v>
      </c>
      <c r="E109" s="493"/>
      <c r="F109" s="568"/>
      <c r="G109" s="493">
        <v>0</v>
      </c>
      <c r="H109" s="493"/>
      <c r="I109" s="493"/>
      <c r="J109" s="493"/>
      <c r="K109" s="493"/>
      <c r="L109" s="493"/>
      <c r="M109" s="493"/>
      <c r="N109" s="493"/>
      <c r="O109" s="493"/>
      <c r="P109" s="493"/>
      <c r="Q109" s="493"/>
      <c r="R109" s="493"/>
      <c r="S109" s="493"/>
      <c r="T109" s="794"/>
      <c r="U109" s="600"/>
      <c r="V109" s="493">
        <f t="shared" si="74"/>
        <v>0</v>
      </c>
      <c r="W109" s="538"/>
      <c r="X109" s="1009">
        <v>0</v>
      </c>
      <c r="Y109" s="493">
        <v>0</v>
      </c>
      <c r="Z109" s="493"/>
      <c r="AA109" s="493">
        <v>0</v>
      </c>
      <c r="AB109" s="493"/>
      <c r="AC109" s="493">
        <v>0</v>
      </c>
      <c r="AD109" s="493"/>
      <c r="AE109" s="493">
        <v>0</v>
      </c>
      <c r="AF109" s="493"/>
      <c r="AG109" s="493"/>
      <c r="AH109" s="600">
        <f t="shared" si="75"/>
        <v>0</v>
      </c>
    </row>
    <row r="110" spans="1:34" s="484" customFormat="1">
      <c r="A110" s="569" t="s">
        <v>1101</v>
      </c>
      <c r="B110" s="537">
        <v>8838608608</v>
      </c>
      <c r="C110" s="537"/>
      <c r="D110" s="537">
        <f>SUM(D103:D109)</f>
        <v>3968960479.3746538</v>
      </c>
      <c r="E110" s="537">
        <f>SUM(E103:E109)</f>
        <v>3185818852.1800003</v>
      </c>
      <c r="F110" s="566"/>
      <c r="G110" s="537">
        <f>SUM(G103:G109)</f>
        <v>3687025211.9510736</v>
      </c>
      <c r="H110" s="537">
        <f t="shared" ref="H110:V110" si="78">SUM(H103:H109)</f>
        <v>3024744753.429863</v>
      </c>
      <c r="I110" s="537">
        <f t="shared" si="78"/>
        <v>3002038857.986208</v>
      </c>
      <c r="J110" s="537">
        <f t="shared" si="78"/>
        <v>3049504223.6507668</v>
      </c>
      <c r="K110" s="537">
        <f t="shared" si="78"/>
        <v>3097175041.8189464</v>
      </c>
      <c r="L110" s="537">
        <f t="shared" si="78"/>
        <v>2762103141.5931873</v>
      </c>
      <c r="M110" s="537">
        <f t="shared" si="78"/>
        <v>3772977121.0880647</v>
      </c>
      <c r="N110" s="537">
        <f t="shared" si="78"/>
        <v>4339170042.1925831</v>
      </c>
      <c r="O110" s="537">
        <f t="shared" si="78"/>
        <v>4553965781.859479</v>
      </c>
      <c r="P110" s="537">
        <f t="shared" si="78"/>
        <v>4645394754.7887774</v>
      </c>
      <c r="Q110" s="537">
        <f t="shared" si="78"/>
        <v>4683000093.8612766</v>
      </c>
      <c r="R110" s="537">
        <f>SUM(R103:R109)</f>
        <v>4818452171.6924381</v>
      </c>
      <c r="S110" s="537">
        <f>SUM(S103:S109)</f>
        <v>5812872813.0716467</v>
      </c>
      <c r="T110" s="793"/>
      <c r="U110" s="600"/>
      <c r="V110" s="537">
        <f t="shared" si="78"/>
        <v>5812872813.0716467</v>
      </c>
      <c r="W110" s="538"/>
      <c r="X110" s="1008">
        <v>5812872813.0716467</v>
      </c>
      <c r="Y110" s="537" t="e">
        <f t="shared" ref="Y110:AE110" si="79">SUM(Y103:Y109)</f>
        <v>#REF!</v>
      </c>
      <c r="Z110" s="537"/>
      <c r="AA110" s="537" t="e">
        <f t="shared" si="79"/>
        <v>#REF!</v>
      </c>
      <c r="AB110" s="537"/>
      <c r="AC110" s="537" t="e">
        <f t="shared" si="79"/>
        <v>#REF!</v>
      </c>
      <c r="AD110" s="537"/>
      <c r="AE110" s="537" t="e">
        <f t="shared" si="79"/>
        <v>#REF!</v>
      </c>
      <c r="AF110" s="537"/>
      <c r="AG110" s="537"/>
      <c r="AH110" s="600">
        <f t="shared" si="75"/>
        <v>0</v>
      </c>
    </row>
    <row r="111" spans="1:34" s="484" customFormat="1">
      <c r="A111" s="565"/>
      <c r="B111" s="565"/>
      <c r="C111" s="537"/>
      <c r="D111" s="537"/>
      <c r="E111" s="537"/>
      <c r="F111" s="566"/>
      <c r="G111" s="537"/>
      <c r="H111" s="537"/>
      <c r="I111" s="537"/>
      <c r="J111" s="537"/>
      <c r="K111" s="537"/>
      <c r="L111" s="537"/>
      <c r="M111" s="537"/>
      <c r="N111" s="537"/>
      <c r="O111" s="537">
        <f>O110-O107</f>
        <v>3873154465.859479</v>
      </c>
      <c r="P111" s="537"/>
      <c r="Q111" s="537"/>
      <c r="R111" s="537"/>
      <c r="S111" s="537"/>
      <c r="T111" s="793"/>
      <c r="U111" s="600"/>
      <c r="V111" s="537"/>
      <c r="W111" s="538"/>
      <c r="X111" s="1008"/>
      <c r="Y111" s="537"/>
      <c r="Z111" s="537"/>
      <c r="AA111" s="537"/>
      <c r="AB111" s="537"/>
      <c r="AC111" s="537"/>
      <c r="AD111" s="537"/>
      <c r="AE111" s="537"/>
      <c r="AF111" s="537"/>
      <c r="AG111" s="537"/>
      <c r="AH111" s="600">
        <f t="shared" si="75"/>
        <v>0</v>
      </c>
    </row>
    <row r="112" spans="1:34" s="484" customFormat="1">
      <c r="A112" s="565" t="s">
        <v>1217</v>
      </c>
      <c r="B112" s="565"/>
      <c r="C112" s="537"/>
      <c r="D112" s="537"/>
      <c r="E112" s="537"/>
      <c r="F112" s="566"/>
      <c r="G112" s="537"/>
      <c r="H112" s="537"/>
      <c r="I112" s="537"/>
      <c r="J112" s="537"/>
      <c r="K112" s="537"/>
      <c r="L112" s="537"/>
      <c r="M112" s="537"/>
      <c r="N112" s="537"/>
      <c r="O112" s="537"/>
      <c r="P112" s="537"/>
      <c r="Q112" s="537"/>
      <c r="R112" s="537"/>
      <c r="S112" s="537"/>
      <c r="T112" s="793"/>
      <c r="U112" s="600"/>
      <c r="V112" s="537"/>
      <c r="W112" s="538"/>
      <c r="X112" s="1008"/>
      <c r="Y112" s="537"/>
      <c r="Z112" s="537"/>
      <c r="AA112" s="537"/>
      <c r="AB112" s="537"/>
      <c r="AC112" s="537"/>
      <c r="AD112" s="537"/>
      <c r="AE112" s="537"/>
      <c r="AF112" s="537"/>
      <c r="AG112" s="537"/>
      <c r="AH112" s="600">
        <f t="shared" si="75"/>
        <v>0</v>
      </c>
    </row>
    <row r="113" spans="1:34" s="484" customFormat="1">
      <c r="A113" s="567" t="s">
        <v>1218</v>
      </c>
      <c r="B113" s="541">
        <v>25000000000</v>
      </c>
      <c r="C113" s="493"/>
      <c r="D113" s="493">
        <v>26260000000</v>
      </c>
      <c r="E113" s="493">
        <v>26260000000</v>
      </c>
      <c r="F113" s="568"/>
      <c r="G113" s="493">
        <v>26260000000</v>
      </c>
      <c r="H113" s="493">
        <f>+G113</f>
        <v>26260000000</v>
      </c>
      <c r="I113" s="493">
        <f>+H113</f>
        <v>26260000000</v>
      </c>
      <c r="J113" s="493">
        <f>+I113</f>
        <v>26260000000</v>
      </c>
      <c r="K113" s="493">
        <f t="shared" ref="K113:Q113" si="80">+J113</f>
        <v>26260000000</v>
      </c>
      <c r="L113" s="493">
        <f t="shared" si="80"/>
        <v>26260000000</v>
      </c>
      <c r="M113" s="493">
        <f t="shared" si="80"/>
        <v>26260000000</v>
      </c>
      <c r="N113" s="493">
        <f>+M113</f>
        <v>26260000000</v>
      </c>
      <c r="O113" s="493">
        <f>+N113</f>
        <v>26260000000</v>
      </c>
      <c r="P113" s="493">
        <f>+O113</f>
        <v>26260000000</v>
      </c>
      <c r="Q113" s="493">
        <f t="shared" si="80"/>
        <v>26260000000</v>
      </c>
      <c r="R113" s="493">
        <f>+Q113</f>
        <v>26260000000</v>
      </c>
      <c r="S113" s="493">
        <f>+R113</f>
        <v>26260000000</v>
      </c>
      <c r="T113" s="794"/>
      <c r="U113" s="600"/>
      <c r="V113" s="493">
        <f>+S113</f>
        <v>26260000000</v>
      </c>
      <c r="X113" s="1009">
        <v>26260000000</v>
      </c>
      <c r="Y113" s="493">
        <f>+V113</f>
        <v>26260000000</v>
      </c>
      <c r="Z113" s="493"/>
      <c r="AA113" s="493">
        <f>+Y113</f>
        <v>26260000000</v>
      </c>
      <c r="AB113" s="493"/>
      <c r="AC113" s="493">
        <f>+AA113</f>
        <v>26260000000</v>
      </c>
      <c r="AD113" s="493"/>
      <c r="AE113" s="493">
        <f>+AC113</f>
        <v>26260000000</v>
      </c>
      <c r="AF113" s="493"/>
      <c r="AG113" s="493"/>
      <c r="AH113" s="600">
        <f t="shared" si="75"/>
        <v>0</v>
      </c>
    </row>
    <row r="114" spans="1:34" s="484" customFormat="1">
      <c r="A114" s="567" t="s">
        <v>1219</v>
      </c>
      <c r="B114" s="541">
        <v>0</v>
      </c>
      <c r="C114" s="493"/>
      <c r="D114" s="493">
        <v>0</v>
      </c>
      <c r="E114" s="493"/>
      <c r="F114" s="568"/>
      <c r="G114" s="493">
        <v>0</v>
      </c>
      <c r="H114" s="493"/>
      <c r="I114" s="493"/>
      <c r="J114" s="493"/>
      <c r="K114" s="493"/>
      <c r="L114" s="493"/>
      <c r="M114" s="493"/>
      <c r="N114" s="493"/>
      <c r="O114" s="493"/>
      <c r="P114" s="493"/>
      <c r="Q114" s="493"/>
      <c r="R114" s="493"/>
      <c r="S114" s="493"/>
      <c r="T114" s="794"/>
      <c r="U114" s="600"/>
      <c r="V114" s="493">
        <f>+S114</f>
        <v>0</v>
      </c>
      <c r="W114" s="542"/>
      <c r="X114" s="1009">
        <v>0</v>
      </c>
      <c r="Y114" s="493"/>
      <c r="Z114" s="493"/>
      <c r="AA114" s="493"/>
      <c r="AB114" s="493"/>
      <c r="AC114" s="493"/>
      <c r="AD114" s="493"/>
      <c r="AE114" s="493"/>
      <c r="AF114" s="493"/>
      <c r="AG114" s="493"/>
      <c r="AH114" s="600">
        <f t="shared" si="75"/>
        <v>0</v>
      </c>
    </row>
    <row r="115" spans="1:34" s="484" customFormat="1">
      <c r="A115" s="567" t="s">
        <v>1220</v>
      </c>
      <c r="B115" s="541">
        <v>0</v>
      </c>
      <c r="C115" s="493"/>
      <c r="D115" s="493">
        <v>14716087040.860001</v>
      </c>
      <c r="E115" s="493">
        <v>19384886122</v>
      </c>
      <c r="F115" s="568"/>
      <c r="G115" s="493">
        <f>+E115</f>
        <v>19384886122</v>
      </c>
      <c r="H115" s="493">
        <f>+G116+G115</f>
        <v>17597370713.034973</v>
      </c>
      <c r="I115" s="493">
        <f>+H115+I141</f>
        <v>17597370713.034973</v>
      </c>
      <c r="J115" s="493">
        <f>+I115+J142</f>
        <v>17597370713.034973</v>
      </c>
      <c r="K115" s="493">
        <f>+J115+K142</f>
        <v>17597370713.034973</v>
      </c>
      <c r="L115" s="493">
        <f t="shared" ref="L115:Q115" si="81">+K115+L142</f>
        <v>17597370713.034973</v>
      </c>
      <c r="M115" s="493">
        <f t="shared" si="81"/>
        <v>17597370713.034973</v>
      </c>
      <c r="N115" s="493">
        <f>+M115+N142</f>
        <v>17597370713.034973</v>
      </c>
      <c r="O115" s="493">
        <f>+N115+O142</f>
        <v>17597370713.034973</v>
      </c>
      <c r="P115" s="493">
        <f>+O115+P142</f>
        <v>17597370713.034973</v>
      </c>
      <c r="Q115" s="493">
        <f t="shared" si="81"/>
        <v>17597370713.034973</v>
      </c>
      <c r="R115" s="493">
        <f>+Q115+R142</f>
        <v>17597370713.034973</v>
      </c>
      <c r="S115" s="493">
        <f>+R115+S142</f>
        <v>17597370713.034973</v>
      </c>
      <c r="T115" s="794"/>
      <c r="U115" s="600"/>
      <c r="V115" s="493">
        <f>+S115</f>
        <v>17597370713.034973</v>
      </c>
      <c r="W115" s="542"/>
      <c r="X115" s="1009">
        <v>17597370713.034973</v>
      </c>
      <c r="Y115" s="493" t="e">
        <f>SUM(V115:V116)+Y142</f>
        <v>#REF!</v>
      </c>
      <c r="Z115" s="493"/>
      <c r="AA115" s="493" t="e">
        <f>SUM(Y115:Y116)+AA142</f>
        <v>#REF!</v>
      </c>
      <c r="AB115" s="493"/>
      <c r="AC115" s="493" t="e">
        <f>SUM(AA115:AA116)+AC142</f>
        <v>#REF!</v>
      </c>
      <c r="AD115" s="493"/>
      <c r="AE115" s="493" t="e">
        <f>SUM(AC115:AC116)+AE142</f>
        <v>#REF!</v>
      </c>
      <c r="AF115" s="493"/>
      <c r="AG115" s="493"/>
      <c r="AH115" s="600">
        <f t="shared" si="75"/>
        <v>0</v>
      </c>
    </row>
    <row r="116" spans="1:34" s="484" customFormat="1">
      <c r="A116" s="567" t="s">
        <v>1221</v>
      </c>
      <c r="B116" s="541">
        <v>14716087051</v>
      </c>
      <c r="C116" s="493"/>
      <c r="D116" s="493">
        <v>16603818573.225052</v>
      </c>
      <c r="E116" s="493">
        <v>-2155961263.8720913</v>
      </c>
      <c r="F116" s="568"/>
      <c r="G116" s="493">
        <f>G82</f>
        <v>-1787515408.9650288</v>
      </c>
      <c r="H116" s="493">
        <f>H82</f>
        <v>-690295809.74489486</v>
      </c>
      <c r="I116" s="493">
        <f>H116+I82</f>
        <v>-602377569.54822612</v>
      </c>
      <c r="J116" s="493">
        <f>I116+J82</f>
        <v>-464893069.39810932</v>
      </c>
      <c r="K116" s="493">
        <f t="shared" ref="K116:Q116" si="82">J116+K82</f>
        <v>-216167500.28589606</v>
      </c>
      <c r="L116" s="493">
        <f t="shared" si="82"/>
        <v>-999288368.08478987</v>
      </c>
      <c r="M116" s="493">
        <f t="shared" si="82"/>
        <v>-1531864226.526125</v>
      </c>
      <c r="N116" s="493">
        <f>M116+N82</f>
        <v>-1026659970.7250899</v>
      </c>
      <c r="O116" s="493">
        <f>N116+O82</f>
        <v>92669038.431007504</v>
      </c>
      <c r="P116" s="493">
        <f>O116+P82</f>
        <v>1458146239.6949477</v>
      </c>
      <c r="Q116" s="493">
        <f t="shared" si="82"/>
        <v>2920056391.6091123</v>
      </c>
      <c r="R116" s="493">
        <f>Q116+R82</f>
        <v>4424358938.2647038</v>
      </c>
      <c r="S116" s="493">
        <f>R116+S82</f>
        <v>6010875567.5478878</v>
      </c>
      <c r="T116" s="794"/>
      <c r="U116" s="600"/>
      <c r="V116" s="493">
        <f>+S116</f>
        <v>6010875567.5478878</v>
      </c>
      <c r="W116" s="542"/>
      <c r="X116" s="1009">
        <v>6010875567.5478878</v>
      </c>
      <c r="Y116" s="493" t="e">
        <f>+Y82</f>
        <v>#REF!</v>
      </c>
      <c r="Z116" s="493"/>
      <c r="AA116" s="493" t="e">
        <f>+AA82</f>
        <v>#REF!</v>
      </c>
      <c r="AB116" s="493"/>
      <c r="AC116" s="493" t="e">
        <f>+AC82</f>
        <v>#REF!</v>
      </c>
      <c r="AD116" s="493"/>
      <c r="AE116" s="493" t="e">
        <f>+AE82</f>
        <v>#REF!</v>
      </c>
      <c r="AF116" s="493"/>
      <c r="AG116" s="493"/>
      <c r="AH116" s="600">
        <f t="shared" si="75"/>
        <v>0</v>
      </c>
    </row>
    <row r="117" spans="1:34" s="484" customFormat="1">
      <c r="A117" s="574" t="s">
        <v>1222</v>
      </c>
      <c r="B117" s="537">
        <v>39716087051</v>
      </c>
      <c r="C117" s="537"/>
      <c r="D117" s="537">
        <f>SUM(D113:D116)</f>
        <v>57579905614.085052</v>
      </c>
      <c r="E117" s="537">
        <f>SUM(E113:E116)</f>
        <v>43488924858.127907</v>
      </c>
      <c r="F117" s="566"/>
      <c r="G117" s="537">
        <f>SUM(G113:G116)</f>
        <v>43857370713.034973</v>
      </c>
      <c r="H117" s="537">
        <f t="shared" ref="H117:V117" si="83">SUM(H113:H116)</f>
        <v>43167074903.290077</v>
      </c>
      <c r="I117" s="537">
        <f t="shared" si="83"/>
        <v>43254993143.486748</v>
      </c>
      <c r="J117" s="537">
        <f t="shared" si="83"/>
        <v>43392477643.636864</v>
      </c>
      <c r="K117" s="537">
        <f t="shared" si="83"/>
        <v>43641203212.749077</v>
      </c>
      <c r="L117" s="537">
        <f t="shared" si="83"/>
        <v>42858082344.95018</v>
      </c>
      <c r="M117" s="537">
        <f t="shared" si="83"/>
        <v>42325506486.50885</v>
      </c>
      <c r="N117" s="537">
        <f t="shared" si="83"/>
        <v>42830710742.309883</v>
      </c>
      <c r="O117" s="537">
        <f t="shared" si="83"/>
        <v>43950039751.465981</v>
      </c>
      <c r="P117" s="537">
        <f t="shared" si="83"/>
        <v>45315516952.729919</v>
      </c>
      <c r="Q117" s="537">
        <f t="shared" si="83"/>
        <v>46777427104.644089</v>
      </c>
      <c r="R117" s="537">
        <f>SUM(R113:R116)</f>
        <v>48281729651.299675</v>
      </c>
      <c r="S117" s="537">
        <f>SUM(S113:S116)</f>
        <v>49868246280.582863</v>
      </c>
      <c r="T117" s="793"/>
      <c r="U117" s="600"/>
      <c r="V117" s="537">
        <f t="shared" si="83"/>
        <v>49868246280.582863</v>
      </c>
      <c r="W117" s="542">
        <f>V82/V117</f>
        <v>0.1205351303859334</v>
      </c>
      <c r="X117" s="1008">
        <v>49868246280.582863</v>
      </c>
      <c r="Y117" s="537" t="e">
        <f t="shared" ref="Y117:AE117" si="84">SUM(Y113:Y116)</f>
        <v>#REF!</v>
      </c>
      <c r="Z117" s="537"/>
      <c r="AA117" s="537" t="e">
        <f t="shared" si="84"/>
        <v>#REF!</v>
      </c>
      <c r="AB117" s="537"/>
      <c r="AC117" s="537" t="e">
        <f t="shared" si="84"/>
        <v>#REF!</v>
      </c>
      <c r="AD117" s="537"/>
      <c r="AE117" s="537" t="e">
        <f t="shared" si="84"/>
        <v>#REF!</v>
      </c>
      <c r="AF117" s="537"/>
      <c r="AG117" s="537"/>
      <c r="AH117" s="600">
        <f t="shared" si="75"/>
        <v>0</v>
      </c>
    </row>
    <row r="118" spans="1:34" s="484" customFormat="1">
      <c r="A118" s="567"/>
      <c r="B118" s="567"/>
      <c r="C118" s="493"/>
      <c r="D118" s="493"/>
      <c r="E118" s="493"/>
      <c r="F118" s="568"/>
      <c r="G118" s="493"/>
      <c r="H118" s="493">
        <v>0</v>
      </c>
      <c r="I118" s="493">
        <f t="shared" ref="I118:Q118" si="85">H116+I82-I116</f>
        <v>0</v>
      </c>
      <c r="J118" s="493">
        <f>I116+J82-J116</f>
        <v>0</v>
      </c>
      <c r="K118" s="493">
        <f t="shared" si="85"/>
        <v>0</v>
      </c>
      <c r="L118" s="493">
        <f t="shared" si="85"/>
        <v>0</v>
      </c>
      <c r="M118" s="493">
        <f t="shared" si="85"/>
        <v>0</v>
      </c>
      <c r="N118" s="493">
        <f>M116+N82-N116</f>
        <v>0</v>
      </c>
      <c r="O118" s="493">
        <f>N116+O82-O116</f>
        <v>0</v>
      </c>
      <c r="P118" s="493">
        <f>O116+P82-P116</f>
        <v>0</v>
      </c>
      <c r="Q118" s="493">
        <f t="shared" si="85"/>
        <v>0</v>
      </c>
      <c r="R118" s="493">
        <f>Q116+R82-R116</f>
        <v>0</v>
      </c>
      <c r="S118" s="493">
        <f>R116+S82-S116</f>
        <v>0</v>
      </c>
      <c r="T118" s="794"/>
      <c r="U118" s="600"/>
      <c r="V118" s="493"/>
      <c r="W118" s="542"/>
      <c r="X118" s="1009"/>
      <c r="Y118" s="493"/>
      <c r="Z118" s="493"/>
      <c r="AA118" s="493"/>
      <c r="AB118" s="493"/>
      <c r="AC118" s="493"/>
      <c r="AD118" s="493"/>
      <c r="AE118" s="493"/>
      <c r="AF118" s="493"/>
      <c r="AG118" s="493"/>
      <c r="AH118" s="600">
        <f t="shared" si="75"/>
        <v>0</v>
      </c>
    </row>
    <row r="119" spans="1:34" s="484" customFormat="1">
      <c r="A119" s="569" t="s">
        <v>1223</v>
      </c>
      <c r="B119" s="537">
        <v>48554695659</v>
      </c>
      <c r="C119" s="537"/>
      <c r="D119" s="537">
        <f>+D110+D117</f>
        <v>61548866093.459709</v>
      </c>
      <c r="E119" s="537">
        <f>+E110+E117</f>
        <v>46674743710.307907</v>
      </c>
      <c r="F119" s="566"/>
      <c r="G119" s="537">
        <f>+G110+G117</f>
        <v>47544395924.986046</v>
      </c>
      <c r="H119" s="537">
        <f t="shared" ref="H119:V119" si="86">+H110+H117</f>
        <v>46191819656.71994</v>
      </c>
      <c r="I119" s="537">
        <f t="shared" si="86"/>
        <v>46257032001.472954</v>
      </c>
      <c r="J119" s="537">
        <f t="shared" si="86"/>
        <v>46441981867.287628</v>
      </c>
      <c r="K119" s="537">
        <f t="shared" si="86"/>
        <v>46738378254.568024</v>
      </c>
      <c r="L119" s="537">
        <f t="shared" si="86"/>
        <v>45620185486.543365</v>
      </c>
      <c r="M119" s="537">
        <f t="shared" si="86"/>
        <v>46098483607.596916</v>
      </c>
      <c r="N119" s="537">
        <f t="shared" si="86"/>
        <v>47169880784.502464</v>
      </c>
      <c r="O119" s="537">
        <f t="shared" si="86"/>
        <v>48504005533.325462</v>
      </c>
      <c r="P119" s="537">
        <f t="shared" si="86"/>
        <v>49960911707.5187</v>
      </c>
      <c r="Q119" s="537">
        <f t="shared" si="86"/>
        <v>51460427198.505363</v>
      </c>
      <c r="R119" s="537">
        <f>+R110+R117</f>
        <v>53100181822.992111</v>
      </c>
      <c r="S119" s="537">
        <f>+S110+S117</f>
        <v>55681119093.65451</v>
      </c>
      <c r="T119" s="793"/>
      <c r="U119" s="600"/>
      <c r="V119" s="537">
        <f t="shared" si="86"/>
        <v>55681119093.65451</v>
      </c>
      <c r="W119" s="538"/>
      <c r="X119" s="1008">
        <v>55681119093.65451</v>
      </c>
      <c r="Y119" s="537" t="e">
        <f t="shared" ref="Y119:AE119" si="87">+Y110+Y117</f>
        <v>#REF!</v>
      </c>
      <c r="Z119" s="538" t="e">
        <f>+Y119/V119-1</f>
        <v>#REF!</v>
      </c>
      <c r="AA119" s="537" t="e">
        <f t="shared" si="87"/>
        <v>#REF!</v>
      </c>
      <c r="AB119" s="538" t="e">
        <f>+AA119/Y119-1</f>
        <v>#REF!</v>
      </c>
      <c r="AC119" s="537" t="e">
        <f t="shared" si="87"/>
        <v>#REF!</v>
      </c>
      <c r="AD119" s="538" t="e">
        <f>+AC119/AA119-1</f>
        <v>#REF!</v>
      </c>
      <c r="AE119" s="537" t="e">
        <f t="shared" si="87"/>
        <v>#REF!</v>
      </c>
      <c r="AF119" s="538" t="e">
        <f>+AE119/AC119-1</f>
        <v>#REF!</v>
      </c>
      <c r="AG119" s="537"/>
      <c r="AH119" s="600">
        <f t="shared" si="75"/>
        <v>0</v>
      </c>
    </row>
    <row r="120" spans="1:34" s="484" customFormat="1">
      <c r="A120" s="556"/>
      <c r="B120" s="556">
        <v>0</v>
      </c>
      <c r="C120" s="487"/>
      <c r="D120" s="487">
        <f>+D98-D119</f>
        <v>-0.2503204345703125</v>
      </c>
      <c r="E120" s="487">
        <f>+E98-E119</f>
        <v>-0.44499969482421875</v>
      </c>
      <c r="F120" s="575"/>
      <c r="G120" s="486">
        <f>+G98-G119</f>
        <v>0.42246246337890625</v>
      </c>
      <c r="H120" s="487">
        <f>+H98-H119</f>
        <v>0.110565185546875</v>
      </c>
      <c r="I120" s="487">
        <f>-0.5+I98-I119</f>
        <v>0.45764923095703125</v>
      </c>
      <c r="J120" s="487">
        <f>-0.5+J98-J119</f>
        <v>-0.3717498779296875</v>
      </c>
      <c r="K120" s="487">
        <f t="shared" ref="K120:V120" si="88">+K98-K119</f>
        <v>-0.46051788330078125</v>
      </c>
      <c r="L120" s="487">
        <f t="shared" si="88"/>
        <v>0.186187744140625</v>
      </c>
      <c r="M120" s="487">
        <f t="shared" si="88"/>
        <v>0.1518096923828125</v>
      </c>
      <c r="N120" s="487">
        <f t="shared" si="88"/>
        <v>4.443359375E-2</v>
      </c>
      <c r="O120" s="487">
        <f t="shared" si="88"/>
        <v>-0.33642578125</v>
      </c>
      <c r="P120" s="487">
        <f t="shared" si="88"/>
        <v>0.42906951904296875</v>
      </c>
      <c r="Q120" s="576">
        <f t="shared" si="88"/>
        <v>0.1993560791015625</v>
      </c>
      <c r="R120" s="576">
        <f>+R98-R119</f>
        <v>-0.34557342529296875</v>
      </c>
      <c r="S120" s="576">
        <f>+S98-S119</f>
        <v>-7.66448974609375E-2</v>
      </c>
      <c r="T120" s="831"/>
      <c r="U120" s="600"/>
      <c r="V120" s="487">
        <f t="shared" si="88"/>
        <v>-7.66448974609375E-2</v>
      </c>
      <c r="W120" s="542"/>
      <c r="X120" s="1003">
        <v>-7.66448974609375E-2</v>
      </c>
      <c r="Y120" s="577" t="e">
        <f t="shared" ref="Y120:AE120" si="89">+Y98-Y119</f>
        <v>#REF!</v>
      </c>
      <c r="Z120" s="577"/>
      <c r="AA120" s="577" t="e">
        <f t="shared" si="89"/>
        <v>#REF!</v>
      </c>
      <c r="AB120" s="577"/>
      <c r="AC120" s="577" t="e">
        <f t="shared" si="89"/>
        <v>#REF!</v>
      </c>
      <c r="AD120" s="577"/>
      <c r="AE120" s="577" t="e">
        <f t="shared" si="89"/>
        <v>#REF!</v>
      </c>
      <c r="AF120" s="577"/>
      <c r="AG120" s="577"/>
      <c r="AH120" s="600">
        <f t="shared" si="75"/>
        <v>0</v>
      </c>
    </row>
    <row r="121" spans="1:34">
      <c r="A121" s="534" t="s">
        <v>1224</v>
      </c>
      <c r="B121" s="534"/>
      <c r="C121" s="530"/>
      <c r="D121" s="530"/>
      <c r="E121" s="530"/>
      <c r="F121" s="564"/>
      <c r="G121" s="530"/>
      <c r="H121" s="530"/>
      <c r="I121" s="530"/>
      <c r="J121" s="530"/>
      <c r="K121" s="530"/>
      <c r="L121" s="530"/>
      <c r="M121" s="530"/>
      <c r="N121" s="530"/>
      <c r="O121" s="530"/>
      <c r="P121" s="530"/>
      <c r="Q121" s="530"/>
      <c r="R121" s="530"/>
      <c r="S121" s="530"/>
      <c r="T121" s="792"/>
      <c r="U121" s="600"/>
      <c r="V121" s="530"/>
      <c r="W121" s="538"/>
      <c r="X121" s="1007"/>
      <c r="Y121" s="530"/>
      <c r="Z121" s="530"/>
      <c r="AA121" s="530"/>
      <c r="AB121" s="530"/>
      <c r="AC121" s="530"/>
      <c r="AD121" s="530"/>
      <c r="AE121" s="530"/>
      <c r="AF121" s="530"/>
      <c r="AG121" s="530"/>
      <c r="AH121" s="600">
        <f t="shared" si="75"/>
        <v>0</v>
      </c>
    </row>
    <row r="122" spans="1:34">
      <c r="A122" s="556"/>
      <c r="B122" s="556"/>
      <c r="F122" s="578"/>
      <c r="U122" s="600"/>
      <c r="W122" s="538"/>
      <c r="AH122" s="600">
        <f t="shared" si="75"/>
        <v>0</v>
      </c>
    </row>
    <row r="123" spans="1:34">
      <c r="A123" s="579" t="s">
        <v>1225</v>
      </c>
      <c r="B123" s="579"/>
      <c r="C123" s="580"/>
      <c r="D123" s="580"/>
      <c r="E123" s="580"/>
      <c r="F123" s="581"/>
      <c r="G123" s="580"/>
      <c r="H123" s="580"/>
      <c r="I123" s="580"/>
      <c r="J123" s="580"/>
      <c r="K123" s="580"/>
      <c r="L123" s="580"/>
      <c r="M123" s="580"/>
      <c r="N123" s="580"/>
      <c r="O123" s="580"/>
      <c r="P123" s="580"/>
      <c r="Q123" s="580"/>
      <c r="R123" s="580"/>
      <c r="S123" s="580"/>
      <c r="T123" s="800"/>
      <c r="U123" s="600"/>
      <c r="V123" s="580"/>
      <c r="W123" s="538"/>
      <c r="X123" s="1010"/>
      <c r="Y123" s="580"/>
      <c r="Z123" s="580"/>
      <c r="AA123" s="580"/>
      <c r="AB123" s="580"/>
      <c r="AC123" s="580"/>
      <c r="AD123" s="580"/>
      <c r="AE123" s="580"/>
      <c r="AF123" s="580"/>
      <c r="AG123" s="580"/>
      <c r="AH123" s="600">
        <f t="shared" si="75"/>
        <v>0</v>
      </c>
    </row>
    <row r="124" spans="1:34">
      <c r="A124" s="582" t="s">
        <v>1226</v>
      </c>
      <c r="B124" s="583">
        <v>43926485612</v>
      </c>
      <c r="C124" s="557"/>
      <c r="D124" s="493">
        <v>44274303098.068336</v>
      </c>
      <c r="E124" s="493">
        <v>15313368126</v>
      </c>
      <c r="F124" s="584"/>
      <c r="G124" s="493">
        <f>G38*1.1</f>
        <v>24040025275.010319</v>
      </c>
      <c r="H124" s="557">
        <f>G88+(G88*10%)-(G88*2%)</f>
        <v>5667584268.2399998</v>
      </c>
      <c r="I124" s="557">
        <f>H88+(H88*10%)-(H88*2%)</f>
        <v>2650881826.3494434</v>
      </c>
      <c r="J124" s="557">
        <f>I88+(I88*10%)-(I88*2%)</f>
        <v>3181008595.0050769</v>
      </c>
      <c r="K124" s="557">
        <f t="shared" ref="K124:Q124" si="90">J88+(J88*10%)-(J88*2%)</f>
        <v>3499142620.0050764</v>
      </c>
      <c r="L124" s="557">
        <f t="shared" si="90"/>
        <v>3813642895.0050759</v>
      </c>
      <c r="M124" s="557">
        <f t="shared" si="90"/>
        <v>4126649170.0050764</v>
      </c>
      <c r="N124" s="557">
        <f>M88+(M88*10%)-(M88*2%)</f>
        <v>4451053945.0050764</v>
      </c>
      <c r="O124" s="557">
        <f>N88+(N88*10%)-(N88*2%)</f>
        <v>4787309488.0050764</v>
      </c>
      <c r="P124" s="557">
        <f>O88+(O88*10%)-(O88*2%)</f>
        <v>5100878920.0050755</v>
      </c>
      <c r="Q124" s="557">
        <f t="shared" si="90"/>
        <v>5378996227.0050764</v>
      </c>
      <c r="R124" s="557">
        <f>Q88+(Q88*10%)-(Q88*2%)</f>
        <v>5622056320.0050745</v>
      </c>
      <c r="S124" s="557">
        <f>R88+(R88*10%)-(R88*2%)</f>
        <v>5819791945.0050755</v>
      </c>
      <c r="T124" s="801"/>
      <c r="U124" s="600"/>
      <c r="V124" s="557">
        <f>SUM(H124:U124)</f>
        <v>54098996219.640205</v>
      </c>
      <c r="W124" s="542"/>
      <c r="X124" s="1011">
        <v>54098996219.640205</v>
      </c>
      <c r="Y124" s="557" t="e">
        <f>(V88+Y38-Y88)+((V88+Y38-Y88)*10%)-((V88+Y38-Y88)*2%)+Y73</f>
        <v>#REF!</v>
      </c>
      <c r="Z124" s="557"/>
      <c r="AA124" s="557" t="e">
        <f>(Y88+AA38-AA88)+((Y88+AA38-AA88)*10%)-((Y88+AA38-AA88)*2%)+AA73</f>
        <v>#REF!</v>
      </c>
      <c r="AB124" s="557"/>
      <c r="AC124" s="557" t="e">
        <f>(AA88+AC38-AC88)+((AA88+AC38-AC88)*10%)-((AA88+AC38-AC88)*2%)+AC73</f>
        <v>#REF!</v>
      </c>
      <c r="AD124" s="557"/>
      <c r="AE124" s="557" t="e">
        <f>(AC88+AE38-AE88)+((AC88+AE38-AE88)*10%)-((AC88+AE38-AE88)*2%)+AE73</f>
        <v>#REF!</v>
      </c>
      <c r="AF124" s="557"/>
      <c r="AG124" s="557"/>
      <c r="AH124" s="600">
        <f t="shared" si="75"/>
        <v>0</v>
      </c>
    </row>
    <row r="125" spans="1:34">
      <c r="A125" s="582" t="s">
        <v>1227</v>
      </c>
      <c r="B125" s="583">
        <v>18924516223</v>
      </c>
      <c r="C125" s="557"/>
      <c r="D125" s="493">
        <v>0</v>
      </c>
      <c r="E125" s="493">
        <v>43166369727</v>
      </c>
      <c r="F125" s="584"/>
      <c r="G125" s="493">
        <f>E125+5000000000</f>
        <v>48166369727</v>
      </c>
      <c r="H125" s="557">
        <v>1000000000</v>
      </c>
      <c r="I125" s="557">
        <v>1000000000</v>
      </c>
      <c r="J125" s="557">
        <v>1000000000</v>
      </c>
      <c r="K125" s="557">
        <v>1000000000</v>
      </c>
      <c r="L125" s="557">
        <v>1500000000</v>
      </c>
      <c r="M125" s="557">
        <v>1500000000</v>
      </c>
      <c r="N125" s="557">
        <v>1000000000</v>
      </c>
      <c r="O125" s="557"/>
      <c r="P125" s="557"/>
      <c r="Q125" s="557"/>
      <c r="R125" s="557"/>
      <c r="S125" s="557"/>
      <c r="T125" s="801"/>
      <c r="U125" s="600"/>
      <c r="V125" s="557">
        <f>SUM(H125:U125)</f>
        <v>8000000000</v>
      </c>
      <c r="W125" s="542"/>
      <c r="X125" s="1011">
        <v>8000000000</v>
      </c>
      <c r="Y125" s="557">
        <v>0</v>
      </c>
      <c r="Z125" s="557"/>
      <c r="AA125" s="557">
        <v>0</v>
      </c>
      <c r="AB125" s="557"/>
      <c r="AC125" s="557">
        <v>0</v>
      </c>
      <c r="AD125" s="557"/>
      <c r="AE125" s="557">
        <v>0</v>
      </c>
      <c r="AF125" s="557"/>
      <c r="AG125" s="557"/>
      <c r="AH125" s="600">
        <f t="shared" si="75"/>
        <v>0</v>
      </c>
    </row>
    <row r="126" spans="1:34">
      <c r="A126" s="582" t="s">
        <v>1228</v>
      </c>
      <c r="B126" s="583">
        <v>652552193</v>
      </c>
      <c r="C126" s="557"/>
      <c r="D126" s="493">
        <v>206137219.91247419</v>
      </c>
      <c r="E126" s="493">
        <v>211202317</v>
      </c>
      <c r="F126" s="584"/>
      <c r="G126" s="557">
        <f>+G69</f>
        <v>187125475.5</v>
      </c>
      <c r="H126" s="557">
        <f>+H69</f>
        <v>2955906.4875113457</v>
      </c>
      <c r="I126" s="557">
        <f>+I69</f>
        <v>11012756.653646093</v>
      </c>
      <c r="J126" s="557">
        <f>+J69</f>
        <v>9391644.6581878662</v>
      </c>
      <c r="K126" s="557">
        <f t="shared" ref="K126:P126" si="91">+K69</f>
        <v>9636089.3706273939</v>
      </c>
      <c r="L126" s="557">
        <f t="shared" si="91"/>
        <v>13702477.281105688</v>
      </c>
      <c r="M126" s="557">
        <f t="shared" si="91"/>
        <v>12923905.084428186</v>
      </c>
      <c r="N126" s="557">
        <f t="shared" si="91"/>
        <v>14944895.610701347</v>
      </c>
      <c r="O126" s="557">
        <f t="shared" si="91"/>
        <v>20474473.327375364</v>
      </c>
      <c r="P126" s="557">
        <f t="shared" si="91"/>
        <v>21503161.109893244</v>
      </c>
      <c r="Q126" s="557">
        <f>+Q69</f>
        <v>24113272.548792038</v>
      </c>
      <c r="R126" s="557">
        <f>+R69</f>
        <v>27466839.492921013</v>
      </c>
      <c r="S126" s="557">
        <f>+S69</f>
        <v>31294100.809375092</v>
      </c>
      <c r="T126" s="801"/>
      <c r="U126" s="600"/>
      <c r="V126" s="557">
        <f>SUM(H126:U126)</f>
        <v>199419522.43456471</v>
      </c>
      <c r="W126" s="542"/>
      <c r="X126" s="1011">
        <v>199419522.43456471</v>
      </c>
      <c r="Y126" s="557">
        <f>+Y69</f>
        <v>263368540.41322064</v>
      </c>
      <c r="Z126" s="557"/>
      <c r="AA126" s="557" t="e">
        <f>+AA69</f>
        <v>#REF!</v>
      </c>
      <c r="AB126" s="557"/>
      <c r="AC126" s="557" t="e">
        <f>+AC69</f>
        <v>#REF!</v>
      </c>
      <c r="AD126" s="557"/>
      <c r="AE126" s="557" t="e">
        <f>+AE69</f>
        <v>#REF!</v>
      </c>
      <c r="AF126" s="557"/>
      <c r="AG126" s="557"/>
      <c r="AH126" s="600">
        <f t="shared" si="75"/>
        <v>0</v>
      </c>
    </row>
    <row r="127" spans="1:34">
      <c r="A127" s="582" t="s">
        <v>1229</v>
      </c>
      <c r="B127" s="583"/>
      <c r="C127" s="557"/>
      <c r="D127" s="493"/>
      <c r="E127" s="493">
        <v>2004091399</v>
      </c>
      <c r="F127" s="584"/>
      <c r="G127" s="493"/>
      <c r="H127" s="557">
        <v>0</v>
      </c>
      <c r="I127" s="557">
        <v>0</v>
      </c>
      <c r="J127" s="557">
        <v>0</v>
      </c>
      <c r="K127" s="557"/>
      <c r="L127" s="557"/>
      <c r="M127" s="557"/>
      <c r="N127" s="557"/>
      <c r="O127" s="557"/>
      <c r="P127" s="557"/>
      <c r="Q127" s="557"/>
      <c r="R127" s="557"/>
      <c r="S127" s="557"/>
      <c r="T127" s="801"/>
      <c r="U127" s="600"/>
      <c r="V127" s="557"/>
      <c r="W127" s="542"/>
      <c r="X127" s="1011"/>
      <c r="Y127" s="557"/>
      <c r="Z127" s="557"/>
      <c r="AA127" s="557"/>
      <c r="AB127" s="557"/>
      <c r="AC127" s="557"/>
      <c r="AD127" s="557"/>
      <c r="AE127" s="557"/>
      <c r="AF127" s="557"/>
      <c r="AG127" s="557"/>
      <c r="AH127" s="600">
        <f t="shared" si="75"/>
        <v>0</v>
      </c>
    </row>
    <row r="128" spans="1:34" s="484" customFormat="1">
      <c r="A128" s="582" t="s">
        <v>1230</v>
      </c>
      <c r="B128" s="583">
        <v>-97802099</v>
      </c>
      <c r="C128" s="557"/>
      <c r="D128" s="493">
        <v>-65951415.581982553</v>
      </c>
      <c r="E128" s="493">
        <v>-45360570</v>
      </c>
      <c r="F128" s="584"/>
      <c r="G128" s="493">
        <v>-65951415.581982553</v>
      </c>
      <c r="H128" s="557">
        <v>-15872801.328301989</v>
      </c>
      <c r="I128" s="557">
        <v>-15872801.328301989</v>
      </c>
      <c r="J128" s="557">
        <v>-15872801.328301989</v>
      </c>
      <c r="K128" s="557">
        <v>-15872801.328301989</v>
      </c>
      <c r="L128" s="557">
        <v>-15872801.328301989</v>
      </c>
      <c r="M128" s="557">
        <v>-15872801.328301989</v>
      </c>
      <c r="N128" s="557">
        <v>-15872801.328301989</v>
      </c>
      <c r="O128" s="557">
        <v>-15872801.328301989</v>
      </c>
      <c r="P128" s="557">
        <v>-15872801.328301989</v>
      </c>
      <c r="Q128" s="557">
        <v>-15872801.328301989</v>
      </c>
      <c r="R128" s="557">
        <v>-15872801.328301989</v>
      </c>
      <c r="S128" s="557">
        <v>-15872801.328301989</v>
      </c>
      <c r="T128" s="801"/>
      <c r="U128" s="600"/>
      <c r="V128" s="557">
        <f>SUM(H128:U128)</f>
        <v>-190473615.93962392</v>
      </c>
      <c r="W128" s="542"/>
      <c r="X128" s="1011">
        <v>-190473615.93962392</v>
      </c>
      <c r="Y128" s="557">
        <v>-10368011</v>
      </c>
      <c r="Z128" s="557"/>
      <c r="AA128" s="557">
        <v>0</v>
      </c>
      <c r="AB128" s="557"/>
      <c r="AC128" s="557">
        <v>0</v>
      </c>
      <c r="AD128" s="557"/>
      <c r="AE128" s="557">
        <v>0</v>
      </c>
      <c r="AF128" s="557"/>
      <c r="AG128" s="557"/>
      <c r="AH128" s="600">
        <f t="shared" si="75"/>
        <v>0</v>
      </c>
    </row>
    <row r="129" spans="1:37">
      <c r="A129" s="582" t="s">
        <v>1231</v>
      </c>
      <c r="B129" s="583">
        <v>-12736231510</v>
      </c>
      <c r="C129" s="557"/>
      <c r="D129" s="493">
        <v>0</v>
      </c>
      <c r="E129" s="493">
        <v>-37200000000</v>
      </c>
      <c r="F129" s="584"/>
      <c r="G129" s="493">
        <f>E129-6000000000</f>
        <v>-43200000000</v>
      </c>
      <c r="H129" s="557">
        <v>0</v>
      </c>
      <c r="I129" s="557">
        <v>0</v>
      </c>
      <c r="J129" s="557">
        <v>0</v>
      </c>
      <c r="K129" s="557">
        <v>0</v>
      </c>
      <c r="L129" s="557">
        <v>0</v>
      </c>
      <c r="M129" s="557">
        <v>0</v>
      </c>
      <c r="N129" s="557">
        <v>0</v>
      </c>
      <c r="O129" s="557">
        <v>-1000000000</v>
      </c>
      <c r="P129" s="557">
        <v>-1000000000</v>
      </c>
      <c r="Q129" s="557">
        <v>-1000000000</v>
      </c>
      <c r="R129" s="557">
        <v>-1000000000</v>
      </c>
      <c r="S129" s="557">
        <v>-1000000000</v>
      </c>
      <c r="T129" s="801"/>
      <c r="U129" s="600"/>
      <c r="V129" s="557">
        <f>SUM(H129:U129)</f>
        <v>-5000000000</v>
      </c>
      <c r="W129" s="538"/>
      <c r="X129" s="1011">
        <v>-5000000000</v>
      </c>
      <c r="Y129" s="557">
        <v>0</v>
      </c>
      <c r="Z129" s="557"/>
      <c r="AA129" s="557">
        <v>0</v>
      </c>
      <c r="AB129" s="557"/>
      <c r="AC129" s="557">
        <v>0</v>
      </c>
      <c r="AD129" s="557"/>
      <c r="AE129" s="557">
        <v>0</v>
      </c>
      <c r="AF129" s="557"/>
      <c r="AG129" s="557"/>
      <c r="AH129" s="600">
        <f t="shared" si="75"/>
        <v>0</v>
      </c>
    </row>
    <row r="130" spans="1:37">
      <c r="A130" s="582" t="s">
        <v>1232</v>
      </c>
      <c r="B130" s="583">
        <v>-13377682772</v>
      </c>
      <c r="C130" s="557"/>
      <c r="D130" s="493">
        <v>-3653804702.8981233</v>
      </c>
      <c r="E130" s="493">
        <v>-3440850061</v>
      </c>
      <c r="F130" s="584"/>
      <c r="G130" s="493">
        <v>-3653804702.8981233</v>
      </c>
      <c r="H130" s="557">
        <f t="shared" ref="H130:M130" si="92">-(F89*10%)+G94</f>
        <v>0</v>
      </c>
      <c r="I130" s="557">
        <f t="shared" si="92"/>
        <v>0</v>
      </c>
      <c r="J130" s="557">
        <f t="shared" si="92"/>
        <v>0</v>
      </c>
      <c r="K130" s="557">
        <f t="shared" si="92"/>
        <v>0</v>
      </c>
      <c r="L130" s="557">
        <f t="shared" si="92"/>
        <v>0</v>
      </c>
      <c r="M130" s="557">
        <f t="shared" si="92"/>
        <v>0</v>
      </c>
      <c r="N130" s="557">
        <f t="shared" ref="N130:S130" si="93">-(L89*10%)+M94</f>
        <v>0</v>
      </c>
      <c r="O130" s="557">
        <f t="shared" si="93"/>
        <v>0</v>
      </c>
      <c r="P130" s="557">
        <f t="shared" si="93"/>
        <v>0</v>
      </c>
      <c r="Q130" s="557">
        <f t="shared" si="93"/>
        <v>0</v>
      </c>
      <c r="R130" s="557">
        <f t="shared" si="93"/>
        <v>0</v>
      </c>
      <c r="S130" s="557">
        <f t="shared" si="93"/>
        <v>0</v>
      </c>
      <c r="T130" s="801"/>
      <c r="U130" s="600"/>
      <c r="V130" s="557">
        <f>SUM(H130:U130)</f>
        <v>0</v>
      </c>
      <c r="W130" s="542"/>
      <c r="X130" s="1011">
        <v>0</v>
      </c>
      <c r="Y130" s="557" t="e">
        <f>-((V88+Y38-Y88)*10%)-(V105-V93)</f>
        <v>#REF!</v>
      </c>
      <c r="Z130" s="557"/>
      <c r="AA130" s="557" t="e">
        <f>-((Y88+AA38-AA88)*10%)-(Y105-Y93)</f>
        <v>#REF!</v>
      </c>
      <c r="AB130" s="557"/>
      <c r="AC130" s="557" t="e">
        <f>-((AA88+AC38-AC88)*10%)-(AA105-AA93)</f>
        <v>#REF!</v>
      </c>
      <c r="AD130" s="557"/>
      <c r="AE130" s="557" t="e">
        <f>-((AC88+AE38-AE88)*10%)-(AC105-AC93)</f>
        <v>#REF!</v>
      </c>
      <c r="AF130" s="557"/>
      <c r="AG130" s="557"/>
      <c r="AH130" s="600">
        <f t="shared" si="75"/>
        <v>0</v>
      </c>
    </row>
    <row r="131" spans="1:37">
      <c r="A131" s="582" t="s">
        <v>1233</v>
      </c>
      <c r="B131" s="583">
        <v>-13752559614</v>
      </c>
      <c r="C131" s="557"/>
      <c r="D131" s="493">
        <v>-21013277850.043201</v>
      </c>
      <c r="E131" s="493">
        <v>-10442762703.33</v>
      </c>
      <c r="F131" s="584"/>
      <c r="G131" s="557">
        <f t="shared" ref="G131:Q131" si="94">-G43</f>
        <v>-16710410904.494999</v>
      </c>
      <c r="H131" s="557">
        <f t="shared" si="94"/>
        <v>-1399200433.688</v>
      </c>
      <c r="I131" s="557">
        <f t="shared" si="94"/>
        <v>-1470390683.688</v>
      </c>
      <c r="J131" s="557">
        <f t="shared" si="94"/>
        <v>-1730693683.688</v>
      </c>
      <c r="K131" s="557">
        <f t="shared" si="94"/>
        <v>-1735091108.0510001</v>
      </c>
      <c r="L131" s="557">
        <f t="shared" si="94"/>
        <v>-3298584780.6615</v>
      </c>
      <c r="M131" s="557">
        <f t="shared" si="94"/>
        <v>-3137837899.329</v>
      </c>
      <c r="N131" s="557">
        <f t="shared" si="94"/>
        <v>-1734168182.8005002</v>
      </c>
      <c r="O131" s="557">
        <f t="shared" si="94"/>
        <v>-1747059078.299</v>
      </c>
      <c r="P131" s="557">
        <f t="shared" si="94"/>
        <v>-1741153417.2995</v>
      </c>
      <c r="Q131" s="557">
        <f t="shared" si="94"/>
        <v>-1743633065.4245</v>
      </c>
      <c r="R131" s="557">
        <f>-R43</f>
        <v>-1742759565.4245</v>
      </c>
      <c r="S131" s="557">
        <f>-S43</f>
        <v>-1742759565.4245</v>
      </c>
      <c r="T131" s="801"/>
      <c r="U131" s="600"/>
      <c r="V131" s="557">
        <f>SUM(H131:U131)</f>
        <v>-23223331463.778</v>
      </c>
      <c r="W131" s="542"/>
      <c r="X131" s="1011">
        <v>-23223331463.778</v>
      </c>
      <c r="Y131" s="557">
        <f>-Y43</f>
        <v>0</v>
      </c>
      <c r="Z131" s="557"/>
      <c r="AA131" s="557">
        <f>-AA43</f>
        <v>0</v>
      </c>
      <c r="AB131" s="557"/>
      <c r="AC131" s="557">
        <f>-AC43</f>
        <v>0</v>
      </c>
      <c r="AD131" s="557"/>
      <c r="AE131" s="557">
        <f>-AE43</f>
        <v>0</v>
      </c>
      <c r="AF131" s="557"/>
      <c r="AG131" s="557"/>
      <c r="AH131" s="600">
        <f t="shared" si="75"/>
        <v>0</v>
      </c>
    </row>
    <row r="132" spans="1:37" s="484" customFormat="1">
      <c r="A132" s="582" t="s">
        <v>1234</v>
      </c>
      <c r="B132" s="585">
        <v>-6948551006</v>
      </c>
      <c r="C132" s="557"/>
      <c r="D132" s="493">
        <v>-12115459108.023342</v>
      </c>
      <c r="E132" s="493">
        <v>-7815324638.9999981</v>
      </c>
      <c r="F132" s="584"/>
      <c r="G132" s="557">
        <f>-SUM(F106,F89,G44:G51,G53:G56,G58:G62)-783572449</f>
        <v>-12949935500.619268</v>
      </c>
      <c r="H132" s="557">
        <f>-SUM(G106,G89,H44:H51,H53:H56,H58:H62)-783572449</f>
        <v>-3071588850.2753658</v>
      </c>
      <c r="I132" s="557">
        <f>-SUM(H106,H89,I44:I51,I53:I56,I58:I62)+310493281</f>
        <v>-1369017370.4753659</v>
      </c>
      <c r="J132" s="557">
        <f t="shared" ref="J132:Q132" si="95">-SUM(I106,I89,J44:J51,J53:J56,J58:J62)</f>
        <v>-1626446758.3420324</v>
      </c>
      <c r="K132" s="557">
        <f t="shared" si="95"/>
        <v>-1753341166.6420326</v>
      </c>
      <c r="L132" s="557">
        <f t="shared" si="95"/>
        <v>-1855847652.5753658</v>
      </c>
      <c r="M132" s="557">
        <f t="shared" si="95"/>
        <v>-1977036968.4420326</v>
      </c>
      <c r="N132" s="557">
        <f>-SUM(M106,M89,N44:N51,N53:N56,N58:N62)</f>
        <v>-2311461342.7220325</v>
      </c>
      <c r="O132" s="557">
        <f>-SUM(N106,N89,O44:O51,O53:O56,O58:O62)</f>
        <v>-1776374752.0420322</v>
      </c>
      <c r="P132" s="557">
        <f>-SUM(O106,O89,P44:P51,P53:P56,P58:P62)</f>
        <v>-1713396308.0286992</v>
      </c>
      <c r="Q132" s="557">
        <f t="shared" si="95"/>
        <v>-1811304490.8420327</v>
      </c>
      <c r="R132" s="557">
        <f>-SUM(Q106,Q89,R44:R51,R53:R56,R58:R62)</f>
        <v>-1943647532.1086988</v>
      </c>
      <c r="S132" s="557">
        <f>-SUM(R106,R89,S44:S51,S53:S56,S58:S62)</f>
        <v>-2010156573.3753657</v>
      </c>
      <c r="T132" s="801"/>
      <c r="U132" s="600"/>
      <c r="V132" s="557">
        <f>SUM(H132:U132)</f>
        <v>-23219619765.871056</v>
      </c>
      <c r="W132" s="488"/>
      <c r="X132" s="1011">
        <v>-23219619765.871056</v>
      </c>
      <c r="Y132" s="557">
        <f>-Y44-Y45-Y47-(Y48-V92)-Y49-Y50-Y51-Y53-Y54-Y55-Y56-Y58-Y59-Y60-Y62-V108</f>
        <v>-17927030881.416012</v>
      </c>
      <c r="Z132" s="557"/>
      <c r="AA132" s="557">
        <f>-AA44-AA45-AA47-(AA48-Y92)-AA49-AA50-AA51-AA53-AA54-AA55-AA56-AA58-AA59-AA60-AA62-Y108</f>
        <v>-24310789499.711742</v>
      </c>
      <c r="AB132" s="557"/>
      <c r="AC132" s="557">
        <f>-AC44-AC45-AC47-(AC48-AA92)-AC49-AC50-AC51-AC53-AC54-AC55-AC56-AC58-AC59-AC60-AC62-AA108</f>
        <v>-26741868449.682919</v>
      </c>
      <c r="AD132" s="557"/>
      <c r="AE132" s="557">
        <f>-AE44-AE45-AE47-(AE48-AC92)-AE49-AE50-AE51-AE53-AE54-AE55-AE56-AE58-AE59-AE60-AE62-AC108</f>
        <v>-29416055294.651211</v>
      </c>
      <c r="AF132" s="557"/>
      <c r="AG132" s="557"/>
      <c r="AH132" s="600">
        <f t="shared" si="75"/>
        <v>0</v>
      </c>
    </row>
    <row r="133" spans="1:37" s="590" customFormat="1">
      <c r="A133" s="586" t="s">
        <v>1235</v>
      </c>
      <c r="B133" s="587">
        <v>16590727027</v>
      </c>
      <c r="C133" s="587"/>
      <c r="D133" s="587">
        <f>SUM(D124:D132)</f>
        <v>7631947241.4341583</v>
      </c>
      <c r="E133" s="587">
        <f>SUM(E124:E132)</f>
        <v>1750733595.670002</v>
      </c>
      <c r="F133" s="588"/>
      <c r="G133" s="587">
        <f>SUM(G124:G132)</f>
        <v>-4186582046.0840626</v>
      </c>
      <c r="H133" s="587">
        <f t="shared" ref="H133:O133" si="96">SUM(H124:H132)</f>
        <v>2183878089.4358435</v>
      </c>
      <c r="I133" s="587">
        <f t="shared" si="96"/>
        <v>806613727.51142192</v>
      </c>
      <c r="J133" s="587">
        <f t="shared" si="96"/>
        <v>817386996.30493069</v>
      </c>
      <c r="K133" s="587">
        <f t="shared" si="96"/>
        <v>1004473633.3543687</v>
      </c>
      <c r="L133" s="587">
        <f t="shared" si="96"/>
        <v>157040137.72101331</v>
      </c>
      <c r="M133" s="587">
        <f t="shared" si="96"/>
        <v>508825405.99016929</v>
      </c>
      <c r="N133" s="587">
        <f t="shared" si="96"/>
        <v>1404496513.7649431</v>
      </c>
      <c r="O133" s="587">
        <f t="shared" si="96"/>
        <v>268477329.66311717</v>
      </c>
      <c r="P133" s="587">
        <f>SUM(P124:P132)</f>
        <v>651959554.45846677</v>
      </c>
      <c r="Q133" s="587">
        <f>SUM(Q124:Q132)</f>
        <v>832299141.95903325</v>
      </c>
      <c r="R133" s="587">
        <f>SUM(R124:R132)</f>
        <v>947243260.63649416</v>
      </c>
      <c r="S133" s="587">
        <f>SUM(S124:S132)</f>
        <v>1082297105.6862822</v>
      </c>
      <c r="T133" s="802"/>
      <c r="U133" s="600"/>
      <c r="V133" s="587">
        <f>SUM(V124:V132)</f>
        <v>10664990896.486092</v>
      </c>
      <c r="W133" s="526"/>
      <c r="X133" s="1010">
        <v>10664990896.486092</v>
      </c>
      <c r="Y133" s="587" t="e">
        <f t="shared" ref="Y133:AE133" si="97">SUM(Y124:Y132)</f>
        <v>#REF!</v>
      </c>
      <c r="Z133" s="587"/>
      <c r="AA133" s="587" t="e">
        <f t="shared" si="97"/>
        <v>#REF!</v>
      </c>
      <c r="AB133" s="587"/>
      <c r="AC133" s="587" t="e">
        <f t="shared" si="97"/>
        <v>#REF!</v>
      </c>
      <c r="AD133" s="587"/>
      <c r="AE133" s="587" t="e">
        <f t="shared" si="97"/>
        <v>#REF!</v>
      </c>
      <c r="AF133" s="587"/>
      <c r="AG133" s="587"/>
      <c r="AH133" s="600">
        <f t="shared" si="75"/>
        <v>0</v>
      </c>
      <c r="AI133" s="589"/>
      <c r="AJ133" s="589"/>
      <c r="AK133" s="589"/>
    </row>
    <row r="134" spans="1:37">
      <c r="A134" s="582"/>
      <c r="B134" s="582"/>
      <c r="C134" s="557"/>
      <c r="D134" s="557"/>
      <c r="E134" s="557"/>
      <c r="F134" s="584"/>
      <c r="G134" s="557"/>
      <c r="H134" s="557"/>
      <c r="I134" s="557"/>
      <c r="J134" s="557"/>
      <c r="K134" s="557"/>
      <c r="L134" s="557"/>
      <c r="M134" s="557"/>
      <c r="N134" s="557"/>
      <c r="O134" s="557"/>
      <c r="P134" s="557"/>
      <c r="Q134" s="557"/>
      <c r="R134" s="557"/>
      <c r="S134" s="557"/>
      <c r="T134" s="801"/>
      <c r="U134" s="600"/>
      <c r="V134" s="557"/>
      <c r="X134" s="1011"/>
      <c r="Y134" s="557"/>
      <c r="Z134" s="557"/>
      <c r="AA134" s="557"/>
      <c r="AB134" s="557"/>
      <c r="AC134" s="557"/>
      <c r="AD134" s="557"/>
      <c r="AE134" s="557"/>
      <c r="AF134" s="557"/>
      <c r="AG134" s="557"/>
      <c r="AH134" s="600">
        <f t="shared" si="75"/>
        <v>0</v>
      </c>
    </row>
    <row r="135" spans="1:37" s="590" customFormat="1">
      <c r="A135" s="591" t="s">
        <v>1236</v>
      </c>
      <c r="B135" s="579"/>
      <c r="C135" s="592"/>
      <c r="D135" s="592"/>
      <c r="E135" s="592"/>
      <c r="F135" s="593"/>
      <c r="G135" s="592"/>
      <c r="H135" s="592"/>
      <c r="I135" s="592"/>
      <c r="J135" s="592"/>
      <c r="K135" s="592"/>
      <c r="L135" s="592"/>
      <c r="M135" s="592"/>
      <c r="N135" s="592"/>
      <c r="O135" s="592"/>
      <c r="P135" s="592"/>
      <c r="Q135" s="592"/>
      <c r="R135" s="592"/>
      <c r="S135" s="592"/>
      <c r="T135" s="803"/>
      <c r="U135" s="600"/>
      <c r="V135" s="592"/>
      <c r="W135" s="594"/>
      <c r="X135" s="1010"/>
      <c r="Y135" s="592"/>
      <c r="Z135" s="592"/>
      <c r="AA135" s="592"/>
      <c r="AB135" s="592"/>
      <c r="AC135" s="592"/>
      <c r="AD135" s="592"/>
      <c r="AE135" s="592"/>
      <c r="AF135" s="592"/>
      <c r="AG135" s="592"/>
      <c r="AH135" s="600">
        <f t="shared" si="75"/>
        <v>0</v>
      </c>
      <c r="AI135" s="589"/>
      <c r="AJ135" s="589"/>
      <c r="AK135" s="589"/>
    </row>
    <row r="136" spans="1:37" s="484" customFormat="1">
      <c r="A136" s="595" t="s">
        <v>1237</v>
      </c>
      <c r="B136" s="596">
        <v>260700000</v>
      </c>
      <c r="C136" s="557"/>
      <c r="D136" s="493">
        <v>-1222606400</v>
      </c>
      <c r="E136" s="493">
        <v>0</v>
      </c>
      <c r="F136" s="584"/>
      <c r="G136" s="493">
        <v>0</v>
      </c>
      <c r="H136" s="557">
        <v>-212320000</v>
      </c>
      <c r="I136" s="557">
        <v>-1181129249</v>
      </c>
      <c r="J136" s="557">
        <v>-739546239</v>
      </c>
      <c r="K136" s="557"/>
      <c r="L136" s="557">
        <v>-327000000</v>
      </c>
      <c r="M136" s="557"/>
      <c r="N136" s="557">
        <v>-45000000</v>
      </c>
      <c r="O136" s="557"/>
      <c r="P136" s="557"/>
      <c r="Q136" s="557"/>
      <c r="R136" s="557"/>
      <c r="S136" s="557"/>
      <c r="T136" s="801"/>
      <c r="U136" s="600"/>
      <c r="V136" s="557">
        <f>SUM(H136:U136)</f>
        <v>-2504995488</v>
      </c>
      <c r="W136" s="597"/>
      <c r="X136" s="1011">
        <v>-2504995488</v>
      </c>
      <c r="Y136" s="557">
        <f>-Y166</f>
        <v>0</v>
      </c>
      <c r="Z136" s="557"/>
      <c r="AA136" s="557">
        <v>0</v>
      </c>
      <c r="AB136" s="557"/>
      <c r="AC136" s="557">
        <v>0</v>
      </c>
      <c r="AD136" s="557"/>
      <c r="AE136" s="557">
        <v>0</v>
      </c>
      <c r="AF136" s="557"/>
      <c r="AG136" s="557"/>
      <c r="AH136" s="600">
        <f t="shared" si="75"/>
        <v>0</v>
      </c>
    </row>
    <row r="137" spans="1:37">
      <c r="A137" s="595" t="s">
        <v>1238</v>
      </c>
      <c r="B137" s="596">
        <v>-4743900145</v>
      </c>
      <c r="C137" s="557"/>
      <c r="D137" s="493"/>
      <c r="E137" s="493">
        <v>-206032042</v>
      </c>
      <c r="F137" s="584"/>
      <c r="G137" s="493"/>
      <c r="H137" s="557"/>
      <c r="I137" s="557"/>
      <c r="J137" s="557"/>
      <c r="K137" s="557"/>
      <c r="L137" s="557"/>
      <c r="M137" s="557"/>
      <c r="N137" s="557"/>
      <c r="O137" s="557"/>
      <c r="P137" s="557"/>
      <c r="Q137" s="557">
        <v>0</v>
      </c>
      <c r="R137" s="557">
        <v>0</v>
      </c>
      <c r="S137" s="557">
        <v>0</v>
      </c>
      <c r="T137" s="801"/>
      <c r="U137" s="600"/>
      <c r="V137" s="557">
        <f>SUM(H137:U137)</f>
        <v>0</v>
      </c>
      <c r="W137" s="597"/>
      <c r="X137" s="1011">
        <v>0</v>
      </c>
      <c r="Y137" s="557">
        <v>0</v>
      </c>
      <c r="Z137" s="557"/>
      <c r="AA137" s="557">
        <v>0</v>
      </c>
      <c r="AB137" s="557"/>
      <c r="AC137" s="557">
        <v>0</v>
      </c>
      <c r="AD137" s="557"/>
      <c r="AE137" s="557">
        <v>0</v>
      </c>
      <c r="AF137" s="557"/>
      <c r="AG137" s="557"/>
      <c r="AH137" s="600">
        <f t="shared" si="75"/>
        <v>0</v>
      </c>
    </row>
    <row r="138" spans="1:37" s="590" customFormat="1">
      <c r="A138" s="586" t="s">
        <v>1239</v>
      </c>
      <c r="B138" s="587">
        <v>-4483200145</v>
      </c>
      <c r="C138" s="587"/>
      <c r="D138" s="587">
        <f>SUM(D136:D137)</f>
        <v>-1222606400</v>
      </c>
      <c r="E138" s="587">
        <f>SUM(E136:E137)</f>
        <v>-206032042</v>
      </c>
      <c r="F138" s="588"/>
      <c r="G138" s="587">
        <f t="shared" ref="G138:V138" si="98">SUM(G136:G137)</f>
        <v>0</v>
      </c>
      <c r="H138" s="587">
        <f t="shared" si="98"/>
        <v>-212320000</v>
      </c>
      <c r="I138" s="587">
        <f t="shared" si="98"/>
        <v>-1181129249</v>
      </c>
      <c r="J138" s="587">
        <f t="shared" si="98"/>
        <v>-739546239</v>
      </c>
      <c r="K138" s="587">
        <f t="shared" si="98"/>
        <v>0</v>
      </c>
      <c r="L138" s="587">
        <f t="shared" si="98"/>
        <v>-327000000</v>
      </c>
      <c r="M138" s="587">
        <f t="shared" si="98"/>
        <v>0</v>
      </c>
      <c r="N138" s="587">
        <f t="shared" si="98"/>
        <v>-45000000</v>
      </c>
      <c r="O138" s="587">
        <f t="shared" si="98"/>
        <v>0</v>
      </c>
      <c r="P138" s="587">
        <f t="shared" si="98"/>
        <v>0</v>
      </c>
      <c r="Q138" s="587">
        <f t="shared" si="98"/>
        <v>0</v>
      </c>
      <c r="R138" s="587">
        <f>SUM(R136:R137)</f>
        <v>0</v>
      </c>
      <c r="S138" s="587">
        <f>SUM(S136:S137)</f>
        <v>0</v>
      </c>
      <c r="T138" s="802"/>
      <c r="U138" s="600"/>
      <c r="V138" s="587">
        <f t="shared" si="98"/>
        <v>-2504995488</v>
      </c>
      <c r="W138" s="594"/>
      <c r="X138" s="1010">
        <v>-2504995488</v>
      </c>
      <c r="Y138" s="587">
        <f>SUM(Y136:Y137)</f>
        <v>0</v>
      </c>
      <c r="Z138" s="587"/>
      <c r="AA138" s="587">
        <f>SUM(AA136:AA137)</f>
        <v>0</v>
      </c>
      <c r="AB138" s="587"/>
      <c r="AC138" s="587">
        <f>SUM(AC136:AC137)</f>
        <v>0</v>
      </c>
      <c r="AD138" s="587"/>
      <c r="AE138" s="587">
        <f>SUM(AE136:AE137)</f>
        <v>0</v>
      </c>
      <c r="AF138" s="587"/>
      <c r="AG138" s="587"/>
      <c r="AH138" s="600">
        <f t="shared" si="75"/>
        <v>0</v>
      </c>
      <c r="AI138" s="589"/>
      <c r="AJ138" s="589"/>
      <c r="AK138" s="589"/>
    </row>
    <row r="139" spans="1:37">
      <c r="A139" s="582"/>
      <c r="B139" s="582"/>
      <c r="C139" s="557"/>
      <c r="D139" s="557"/>
      <c r="E139" s="557"/>
      <c r="F139" s="584"/>
      <c r="G139" s="557"/>
      <c r="H139" s="557"/>
      <c r="I139" s="557"/>
      <c r="J139" s="557"/>
      <c r="K139" s="557"/>
      <c r="L139" s="557"/>
      <c r="M139" s="557"/>
      <c r="N139" s="557"/>
      <c r="O139" s="557"/>
      <c r="P139" s="557"/>
      <c r="Q139" s="557"/>
      <c r="R139" s="557"/>
      <c r="S139" s="557"/>
      <c r="T139" s="801"/>
      <c r="U139" s="600"/>
      <c r="V139" s="557"/>
      <c r="W139" s="597"/>
      <c r="X139" s="1011"/>
      <c r="Y139" s="557"/>
      <c r="Z139" s="557"/>
      <c r="AA139" s="557"/>
      <c r="AB139" s="557"/>
      <c r="AC139" s="557"/>
      <c r="AD139" s="557"/>
      <c r="AE139" s="557"/>
      <c r="AF139" s="557"/>
      <c r="AG139" s="557"/>
      <c r="AH139" s="600">
        <f t="shared" si="75"/>
        <v>0</v>
      </c>
    </row>
    <row r="140" spans="1:37" s="590" customFormat="1">
      <c r="A140" s="591" t="s">
        <v>1240</v>
      </c>
      <c r="B140" s="579"/>
      <c r="C140" s="592"/>
      <c r="D140" s="592"/>
      <c r="E140" s="592"/>
      <c r="F140" s="593"/>
      <c r="G140" s="592"/>
      <c r="H140" s="592"/>
      <c r="I140" s="592"/>
      <c r="J140" s="592"/>
      <c r="K140" s="592"/>
      <c r="L140" s="592"/>
      <c r="M140" s="592"/>
      <c r="N140" s="592"/>
      <c r="O140" s="592"/>
      <c r="P140" s="592"/>
      <c r="Q140" s="592"/>
      <c r="R140" s="592"/>
      <c r="S140" s="592"/>
      <c r="T140" s="803"/>
      <c r="U140" s="600"/>
      <c r="V140" s="592"/>
      <c r="W140" s="597"/>
      <c r="X140" s="1010"/>
      <c r="Y140" s="592"/>
      <c r="Z140" s="592"/>
      <c r="AA140" s="592"/>
      <c r="AB140" s="592"/>
      <c r="AC140" s="592"/>
      <c r="AD140" s="592"/>
      <c r="AE140" s="592"/>
      <c r="AF140" s="592"/>
      <c r="AG140" s="592"/>
      <c r="AH140" s="600">
        <f t="shared" si="75"/>
        <v>0</v>
      </c>
      <c r="AI140" s="589"/>
      <c r="AJ140" s="589"/>
      <c r="AK140" s="589"/>
    </row>
    <row r="141" spans="1:37" s="590" customFormat="1">
      <c r="A141" s="591" t="s">
        <v>1241</v>
      </c>
      <c r="B141" s="579"/>
      <c r="C141" s="592"/>
      <c r="D141" s="592">
        <v>1260000000</v>
      </c>
      <c r="E141" s="592"/>
      <c r="F141" s="593"/>
      <c r="G141" s="592">
        <v>1260000000</v>
      </c>
      <c r="H141" s="592"/>
      <c r="I141" s="592"/>
      <c r="J141" s="592"/>
      <c r="K141" s="592"/>
      <c r="L141" s="592"/>
      <c r="M141" s="592"/>
      <c r="N141" s="592"/>
      <c r="O141" s="592"/>
      <c r="P141" s="592"/>
      <c r="Q141" s="592"/>
      <c r="R141" s="592"/>
      <c r="S141" s="592"/>
      <c r="T141" s="803"/>
      <c r="U141" s="600"/>
      <c r="V141" s="592"/>
      <c r="W141" s="597"/>
      <c r="X141" s="1010"/>
      <c r="Y141" s="592"/>
      <c r="Z141" s="592"/>
      <c r="AA141" s="592"/>
      <c r="AB141" s="592"/>
      <c r="AC141" s="592"/>
      <c r="AD141" s="592"/>
      <c r="AE141" s="592"/>
      <c r="AF141" s="592"/>
      <c r="AG141" s="592"/>
      <c r="AH141" s="600">
        <f t="shared" si="75"/>
        <v>0</v>
      </c>
      <c r="AI141" s="589"/>
      <c r="AJ141" s="589"/>
      <c r="AK141" s="589"/>
    </row>
    <row r="142" spans="1:37">
      <c r="A142" s="595" t="s">
        <v>1242</v>
      </c>
      <c r="B142" s="596">
        <v>-7500000000</v>
      </c>
      <c r="C142" s="557"/>
      <c r="D142" s="493">
        <v>0</v>
      </c>
      <c r="E142" s="493">
        <v>0</v>
      </c>
      <c r="F142" s="584"/>
      <c r="G142" s="493">
        <v>0</v>
      </c>
      <c r="H142" s="557"/>
      <c r="I142" s="557"/>
      <c r="J142" s="557"/>
      <c r="K142" s="557"/>
      <c r="L142" s="557"/>
      <c r="M142" s="557"/>
      <c r="N142" s="557"/>
      <c r="O142" s="557"/>
      <c r="P142" s="557"/>
      <c r="Q142" s="557">
        <f>-(+Q82*Q154)</f>
        <v>0</v>
      </c>
      <c r="R142" s="557">
        <f>-(+R82*R154)</f>
        <v>0</v>
      </c>
      <c r="S142" s="557">
        <f>-(+S82*S154)</f>
        <v>0</v>
      </c>
      <c r="T142" s="801"/>
      <c r="U142" s="600"/>
      <c r="V142" s="557">
        <f>SUM(H142:U142)</f>
        <v>0</v>
      </c>
      <c r="W142" s="597"/>
      <c r="X142" s="1011">
        <v>0</v>
      </c>
      <c r="Y142" s="557" t="e">
        <f>-(+Y82*Y154)</f>
        <v>#REF!</v>
      </c>
      <c r="Z142" s="557"/>
      <c r="AA142" s="557" t="e">
        <f>-(+AA82*AA154)</f>
        <v>#REF!</v>
      </c>
      <c r="AB142" s="557"/>
      <c r="AC142" s="557" t="e">
        <f>-(+AC82*AC154)</f>
        <v>#REF!</v>
      </c>
      <c r="AD142" s="557"/>
      <c r="AE142" s="557" t="e">
        <f>-(+AE82*AE154)</f>
        <v>#REF!</v>
      </c>
      <c r="AF142" s="557"/>
      <c r="AG142" s="557"/>
      <c r="AH142" s="600">
        <f t="shared" si="75"/>
        <v>0</v>
      </c>
    </row>
    <row r="143" spans="1:37">
      <c r="A143" s="582" t="s">
        <v>1243</v>
      </c>
      <c r="B143" s="596">
        <v>-896092063</v>
      </c>
      <c r="C143" s="557"/>
      <c r="D143" s="493">
        <v>-292693287.12409621</v>
      </c>
      <c r="E143" s="493">
        <v>-498888785</v>
      </c>
      <c r="F143" s="584"/>
      <c r="G143" s="493">
        <v>-292693287.12409621</v>
      </c>
      <c r="H143" s="557">
        <v>-18382291.584995814</v>
      </c>
      <c r="I143" s="557">
        <v>-18481325.895234082</v>
      </c>
      <c r="J143" s="557">
        <v>-18581433.077166602</v>
      </c>
      <c r="K143" s="557">
        <v>-18682624.75357005</v>
      </c>
      <c r="L143" s="557">
        <v>-18784912.673134543</v>
      </c>
      <c r="M143" s="557">
        <v>-18888308.711827651</v>
      </c>
      <c r="N143" s="557">
        <v>-18992824.874273263</v>
      </c>
      <c r="O143" s="557">
        <v>-19098473.295145378</v>
      </c>
      <c r="P143" s="557">
        <v>-19205266.24057693</v>
      </c>
      <c r="Q143" s="557">
        <v>-19313216.109583996</v>
      </c>
      <c r="R143" s="557">
        <v>-19422335.435505308</v>
      </c>
      <c r="S143" s="557">
        <v>-19532636.88745743</v>
      </c>
      <c r="T143" s="801"/>
      <c r="U143" s="600"/>
      <c r="V143" s="557">
        <f>SUM(H143:U143)</f>
        <v>-227365649.53847104</v>
      </c>
      <c r="W143" s="597"/>
      <c r="X143" s="1011">
        <v>-227365649.53847104</v>
      </c>
      <c r="Y143" s="557"/>
      <c r="Z143" s="557"/>
      <c r="AA143" s="557"/>
      <c r="AB143" s="557"/>
      <c r="AC143" s="557"/>
      <c r="AD143" s="557"/>
      <c r="AE143" s="557"/>
      <c r="AF143" s="557"/>
      <c r="AG143" s="557"/>
      <c r="AH143" s="600">
        <f t="shared" si="75"/>
        <v>0</v>
      </c>
    </row>
    <row r="144" spans="1:37" s="590" customFormat="1">
      <c r="A144" s="586" t="s">
        <v>1244</v>
      </c>
      <c r="B144" s="587">
        <v>-8396092063</v>
      </c>
      <c r="C144" s="587"/>
      <c r="D144" s="587">
        <f>SUM(D141:D143)</f>
        <v>967306712.87590384</v>
      </c>
      <c r="E144" s="587">
        <f>SUM(E142:E143)</f>
        <v>-498888785</v>
      </c>
      <c r="F144" s="588"/>
      <c r="G144" s="587">
        <f>SUM(G141:G143)</f>
        <v>967306712.87590384</v>
      </c>
      <c r="H144" s="587">
        <f>SUM(H142:H143)</f>
        <v>-18382291.584995814</v>
      </c>
      <c r="I144" s="587">
        <f t="shared" ref="I144:O144" si="99">SUM(I142:I143)</f>
        <v>-18481325.895234082</v>
      </c>
      <c r="J144" s="587">
        <f t="shared" si="99"/>
        <v>-18581433.077166602</v>
      </c>
      <c r="K144" s="587">
        <f t="shared" si="99"/>
        <v>-18682624.75357005</v>
      </c>
      <c r="L144" s="587">
        <f t="shared" si="99"/>
        <v>-18784912.673134543</v>
      </c>
      <c r="M144" s="587">
        <f t="shared" si="99"/>
        <v>-18888308.711827651</v>
      </c>
      <c r="N144" s="587">
        <f t="shared" si="99"/>
        <v>-18992824.874273263</v>
      </c>
      <c r="O144" s="587">
        <f t="shared" si="99"/>
        <v>-19098473.295145378</v>
      </c>
      <c r="P144" s="587">
        <f>SUM(P142:P143)</f>
        <v>-19205266.24057693</v>
      </c>
      <c r="Q144" s="587">
        <f>SUM(Q142:Q143)</f>
        <v>-19313216.109583996</v>
      </c>
      <c r="R144" s="587">
        <f>SUM(R142:R143)</f>
        <v>-19422335.435505308</v>
      </c>
      <c r="S144" s="587">
        <f>SUM(S142:S143)</f>
        <v>-19532636.88745743</v>
      </c>
      <c r="T144" s="802"/>
      <c r="U144" s="600"/>
      <c r="V144" s="587">
        <f>SUM(V142:V143)</f>
        <v>-227365649.53847104</v>
      </c>
      <c r="W144" s="594"/>
      <c r="X144" s="1010">
        <v>-227365649.53847104</v>
      </c>
      <c r="Y144" s="587" t="e">
        <f t="shared" ref="Y144:AE144" si="100">SUM(Y142:Y143)</f>
        <v>#REF!</v>
      </c>
      <c r="Z144" s="587"/>
      <c r="AA144" s="587" t="e">
        <f t="shared" si="100"/>
        <v>#REF!</v>
      </c>
      <c r="AB144" s="587"/>
      <c r="AC144" s="587" t="e">
        <f t="shared" si="100"/>
        <v>#REF!</v>
      </c>
      <c r="AD144" s="587"/>
      <c r="AE144" s="587" t="e">
        <f t="shared" si="100"/>
        <v>#REF!</v>
      </c>
      <c r="AF144" s="587"/>
      <c r="AG144" s="587"/>
      <c r="AH144" s="600">
        <f t="shared" si="75"/>
        <v>0</v>
      </c>
      <c r="AI144" s="589"/>
      <c r="AJ144" s="589"/>
      <c r="AK144" s="589"/>
    </row>
    <row r="145" spans="1:37">
      <c r="A145" s="582"/>
      <c r="B145" s="557"/>
      <c r="C145" s="557"/>
      <c r="D145" s="557"/>
      <c r="E145" s="557"/>
      <c r="F145" s="584"/>
      <c r="G145" s="557"/>
      <c r="H145" s="557"/>
      <c r="I145" s="557"/>
      <c r="J145" s="557"/>
      <c r="K145" s="557"/>
      <c r="L145" s="557"/>
      <c r="M145" s="557"/>
      <c r="N145" s="557"/>
      <c r="O145" s="557"/>
      <c r="P145" s="557"/>
      <c r="Q145" s="557"/>
      <c r="R145" s="557"/>
      <c r="S145" s="557"/>
      <c r="T145" s="801"/>
      <c r="U145" s="600"/>
      <c r="V145" s="557"/>
      <c r="W145" s="594"/>
      <c r="X145" s="1011"/>
      <c r="Y145" s="557"/>
      <c r="Z145" s="557"/>
      <c r="AA145" s="557"/>
      <c r="AB145" s="557"/>
      <c r="AC145" s="557"/>
      <c r="AD145" s="557"/>
      <c r="AE145" s="557"/>
      <c r="AF145" s="557"/>
      <c r="AG145" s="557"/>
      <c r="AH145" s="600">
        <f t="shared" si="75"/>
        <v>0</v>
      </c>
    </row>
    <row r="146" spans="1:37">
      <c r="A146" s="582" t="s">
        <v>1245</v>
      </c>
      <c r="B146" s="557">
        <v>-2289455</v>
      </c>
      <c r="C146" s="557"/>
      <c r="D146" s="493">
        <v>0</v>
      </c>
      <c r="E146" s="493">
        <v>-54915002</v>
      </c>
      <c r="F146" s="584"/>
      <c r="G146" s="493">
        <v>0</v>
      </c>
      <c r="H146" s="557"/>
      <c r="I146" s="557"/>
      <c r="J146" s="557"/>
      <c r="K146" s="557"/>
      <c r="L146" s="557"/>
      <c r="M146" s="557"/>
      <c r="N146" s="557"/>
      <c r="O146" s="557"/>
      <c r="P146" s="557"/>
      <c r="Q146" s="557"/>
      <c r="R146" s="557"/>
      <c r="S146" s="557"/>
      <c r="T146" s="801"/>
      <c r="U146" s="600"/>
      <c r="V146" s="557">
        <f>SUM(H146:U146)</f>
        <v>0</v>
      </c>
      <c r="W146" s="594"/>
      <c r="X146" s="1011">
        <v>0</v>
      </c>
      <c r="Y146" s="557"/>
      <c r="Z146" s="557"/>
      <c r="AA146" s="557"/>
      <c r="AB146" s="557"/>
      <c r="AC146" s="557"/>
      <c r="AD146" s="557"/>
      <c r="AE146" s="557"/>
      <c r="AF146" s="557"/>
      <c r="AG146" s="557"/>
      <c r="AH146" s="600">
        <f t="shared" si="75"/>
        <v>0</v>
      </c>
    </row>
    <row r="147" spans="1:37">
      <c r="A147" s="582"/>
      <c r="B147" s="557"/>
      <c r="C147" s="557"/>
      <c r="D147" s="557"/>
      <c r="E147" s="557"/>
      <c r="F147" s="584"/>
      <c r="G147" s="557"/>
      <c r="H147" s="557"/>
      <c r="I147" s="557"/>
      <c r="J147" s="557"/>
      <c r="K147" s="557"/>
      <c r="L147" s="557"/>
      <c r="M147" s="557"/>
      <c r="N147" s="557"/>
      <c r="O147" s="557"/>
      <c r="P147" s="557"/>
      <c r="Q147" s="557"/>
      <c r="R147" s="557"/>
      <c r="S147" s="557"/>
      <c r="T147" s="801"/>
      <c r="U147" s="600"/>
      <c r="V147" s="557"/>
      <c r="W147" s="594"/>
      <c r="X147" s="1011"/>
      <c r="Y147" s="557"/>
      <c r="Z147" s="557"/>
      <c r="AA147" s="557"/>
      <c r="AB147" s="557"/>
      <c r="AC147" s="557"/>
      <c r="AD147" s="557"/>
      <c r="AE147" s="557"/>
      <c r="AF147" s="557"/>
      <c r="AG147" s="557"/>
      <c r="AH147" s="600">
        <f t="shared" si="75"/>
        <v>0</v>
      </c>
    </row>
    <row r="148" spans="1:37" s="590" customFormat="1">
      <c r="A148" s="591" t="s">
        <v>1246</v>
      </c>
      <c r="B148" s="587">
        <v>3709145364</v>
      </c>
      <c r="C148" s="587"/>
      <c r="D148" s="587">
        <f>+D133+D138+D144+D146</f>
        <v>7376647554.3100624</v>
      </c>
      <c r="E148" s="587">
        <f>+E133+E138+E144+E146</f>
        <v>990897766.67000198</v>
      </c>
      <c r="F148" s="588"/>
      <c r="G148" s="587">
        <f>+G133+G138+G144</f>
        <v>-3219275333.2081585</v>
      </c>
      <c r="H148" s="587">
        <f t="shared" ref="H148:O148" si="101">+H133+H138+H144</f>
        <v>1953175797.8508477</v>
      </c>
      <c r="I148" s="587">
        <f t="shared" si="101"/>
        <v>-392996847.38381219</v>
      </c>
      <c r="J148" s="587">
        <f t="shared" si="101"/>
        <v>59259324.227764085</v>
      </c>
      <c r="K148" s="587">
        <f t="shared" si="101"/>
        <v>985791008.60079861</v>
      </c>
      <c r="L148" s="587">
        <f t="shared" si="101"/>
        <v>-188744774.95212123</v>
      </c>
      <c r="M148" s="587">
        <f t="shared" si="101"/>
        <v>489937097.27834165</v>
      </c>
      <c r="N148" s="587">
        <f t="shared" si="101"/>
        <v>1340503688.8906698</v>
      </c>
      <c r="O148" s="587">
        <f t="shared" si="101"/>
        <v>249378856.36797178</v>
      </c>
      <c r="P148" s="587">
        <f>+P133+P138+P144+P146</f>
        <v>632754288.21788979</v>
      </c>
      <c r="Q148" s="587">
        <f>+Q133+Q138+Q144</f>
        <v>812985925.84944928</v>
      </c>
      <c r="R148" s="587">
        <f>+R133+R138+R144</f>
        <v>927820925.20098889</v>
      </c>
      <c r="S148" s="587">
        <f>+S133+S138+S144</f>
        <v>1062764468.7988248</v>
      </c>
      <c r="T148" s="802"/>
      <c r="U148" s="600"/>
      <c r="V148" s="587">
        <f>+V133+V138+V144+V146</f>
        <v>7932629758.9476204</v>
      </c>
      <c r="W148" s="594"/>
      <c r="X148" s="1010">
        <v>7932629758.9476204</v>
      </c>
      <c r="Y148" s="587" t="e">
        <f>+Y133+Y138+Y144</f>
        <v>#REF!</v>
      </c>
      <c r="Z148" s="587"/>
      <c r="AA148" s="587" t="e">
        <f>+AA133+AA138+AA144</f>
        <v>#REF!</v>
      </c>
      <c r="AB148" s="587"/>
      <c r="AC148" s="587" t="e">
        <f>+AC133+AC138+AC144</f>
        <v>#REF!</v>
      </c>
      <c r="AD148" s="587"/>
      <c r="AE148" s="587" t="e">
        <f>+AE133+AE138+AE144</f>
        <v>#REF!</v>
      </c>
      <c r="AF148" s="587"/>
      <c r="AG148" s="587"/>
      <c r="AH148" s="600">
        <f t="shared" si="75"/>
        <v>0</v>
      </c>
      <c r="AI148" s="589"/>
      <c r="AJ148" s="589"/>
      <c r="AK148" s="589"/>
    </row>
    <row r="149" spans="1:37">
      <c r="A149" s="582"/>
      <c r="B149" s="582"/>
      <c r="C149" s="557"/>
      <c r="D149" s="557"/>
      <c r="E149" s="557"/>
      <c r="F149" s="584"/>
      <c r="G149" s="557"/>
      <c r="H149" s="557"/>
      <c r="I149" s="557"/>
      <c r="J149" s="557"/>
      <c r="K149" s="557"/>
      <c r="L149" s="557"/>
      <c r="M149" s="557"/>
      <c r="N149" s="557"/>
      <c r="O149" s="557"/>
      <c r="P149" s="557"/>
      <c r="Q149" s="557"/>
      <c r="R149" s="557"/>
      <c r="S149" s="557"/>
      <c r="T149" s="801"/>
      <c r="U149" s="600"/>
      <c r="V149" s="557"/>
      <c r="W149" s="594"/>
      <c r="X149" s="1011"/>
      <c r="Y149" s="557"/>
      <c r="Z149" s="557"/>
      <c r="AA149" s="557"/>
      <c r="AB149" s="557"/>
      <c r="AC149" s="557"/>
      <c r="AD149" s="557"/>
      <c r="AE149" s="557"/>
      <c r="AF149" s="557"/>
      <c r="AG149" s="557"/>
      <c r="AH149" s="600">
        <f t="shared" si="75"/>
        <v>0</v>
      </c>
    </row>
    <row r="150" spans="1:37">
      <c r="A150" s="556" t="s">
        <v>1247</v>
      </c>
      <c r="B150" s="557">
        <v>3755366346</v>
      </c>
      <c r="C150" s="557"/>
      <c r="D150" s="493">
        <v>4766041187.2188263</v>
      </c>
      <c r="E150" s="557">
        <v>3786227700.77</v>
      </c>
      <c r="F150" s="584"/>
      <c r="G150" s="493">
        <v>3935858724.1199999</v>
      </c>
      <c r="H150" s="557">
        <f>+G151</f>
        <v>716583390.91184139</v>
      </c>
      <c r="I150" s="557">
        <f t="shared" ref="I150:Q150" si="102">+H151</f>
        <v>2669759188.7626891</v>
      </c>
      <c r="J150" s="557">
        <f>+I151</f>
        <v>2276762341.3788767</v>
      </c>
      <c r="K150" s="557">
        <f t="shared" si="102"/>
        <v>2336021665.6066408</v>
      </c>
      <c r="L150" s="557">
        <f t="shared" si="102"/>
        <v>3321812674.2074394</v>
      </c>
      <c r="M150" s="557">
        <f t="shared" si="102"/>
        <v>3133067899.2553182</v>
      </c>
      <c r="N150" s="557">
        <f>+M151</f>
        <v>3623004996.5336599</v>
      </c>
      <c r="O150" s="557">
        <f>+N151</f>
        <v>4963508685.4243298</v>
      </c>
      <c r="P150" s="557">
        <f>+O151</f>
        <v>5212887541.7923012</v>
      </c>
      <c r="Q150" s="557">
        <f t="shared" si="102"/>
        <v>5845641830.010191</v>
      </c>
      <c r="R150" s="557">
        <f>+Q151</f>
        <v>6658627755.8596401</v>
      </c>
      <c r="S150" s="557">
        <f>+R151</f>
        <v>7586448681.0606289</v>
      </c>
      <c r="T150" s="801"/>
      <c r="U150" s="600"/>
      <c r="V150" s="557">
        <f>+G151</f>
        <v>716583390.91184139</v>
      </c>
      <c r="W150" s="597"/>
      <c r="X150" s="1011">
        <v>716583390.91184139</v>
      </c>
      <c r="Y150" s="557">
        <f>+V151</f>
        <v>8649213149.8594627</v>
      </c>
      <c r="Z150" s="557"/>
      <c r="AA150" s="557" t="e">
        <f>+Y151</f>
        <v>#REF!</v>
      </c>
      <c r="AB150" s="557"/>
      <c r="AC150" s="557" t="e">
        <f>+AA151</f>
        <v>#REF!</v>
      </c>
      <c r="AD150" s="557"/>
      <c r="AE150" s="557" t="e">
        <f>+AC151</f>
        <v>#REF!</v>
      </c>
      <c r="AF150" s="557"/>
      <c r="AG150" s="557"/>
      <c r="AH150" s="600">
        <f t="shared" si="75"/>
        <v>0</v>
      </c>
    </row>
    <row r="151" spans="1:37">
      <c r="A151" s="556" t="s">
        <v>1248</v>
      </c>
      <c r="B151" s="598">
        <v>7464511710</v>
      </c>
      <c r="C151" s="598"/>
      <c r="D151" s="598">
        <v>10882688741.528889</v>
      </c>
      <c r="E151" s="598">
        <f>+E148+E150</f>
        <v>4777125467.4400024</v>
      </c>
      <c r="F151" s="599"/>
      <c r="G151" s="598">
        <f>+G148+G150</f>
        <v>716583390.91184139</v>
      </c>
      <c r="H151" s="598">
        <f>+H148+H150</f>
        <v>2669759188.7626891</v>
      </c>
      <c r="I151" s="598">
        <f>+I148+I150</f>
        <v>2276762341.3788767</v>
      </c>
      <c r="J151" s="598">
        <f t="shared" ref="J151:Q151" si="103">+J148+J150</f>
        <v>2336021665.6066408</v>
      </c>
      <c r="K151" s="598">
        <f t="shared" si="103"/>
        <v>3321812674.2074394</v>
      </c>
      <c r="L151" s="598">
        <f t="shared" si="103"/>
        <v>3133067899.2553182</v>
      </c>
      <c r="M151" s="598">
        <f t="shared" si="103"/>
        <v>3623004996.5336599</v>
      </c>
      <c r="N151" s="598">
        <f t="shared" si="103"/>
        <v>4963508685.4243298</v>
      </c>
      <c r="O151" s="598">
        <f>+O148+O150</f>
        <v>5212887541.7923012</v>
      </c>
      <c r="P151" s="598">
        <f>+P148+P150</f>
        <v>5845641830.010191</v>
      </c>
      <c r="Q151" s="598">
        <f t="shared" si="103"/>
        <v>6658627755.8596401</v>
      </c>
      <c r="R151" s="598">
        <f>+R148+R150</f>
        <v>7586448681.0606289</v>
      </c>
      <c r="S151" s="598">
        <f>+S148+S150</f>
        <v>8649213149.8594532</v>
      </c>
      <c r="T151" s="804"/>
      <c r="U151" s="600"/>
      <c r="V151" s="598">
        <f>+V148+V150</f>
        <v>8649213149.8594627</v>
      </c>
      <c r="W151" s="597"/>
      <c r="X151" s="1011">
        <v>8649213149.8594627</v>
      </c>
      <c r="Y151" s="598" t="e">
        <f t="shared" ref="Y151:AE151" si="104">+Y148+Y150</f>
        <v>#REF!</v>
      </c>
      <c r="Z151" s="598"/>
      <c r="AA151" s="598" t="e">
        <f t="shared" si="104"/>
        <v>#REF!</v>
      </c>
      <c r="AB151" s="598"/>
      <c r="AC151" s="598" t="e">
        <f t="shared" si="104"/>
        <v>#REF!</v>
      </c>
      <c r="AD151" s="598"/>
      <c r="AE151" s="598" t="e">
        <f t="shared" si="104"/>
        <v>#REF!</v>
      </c>
      <c r="AF151" s="598"/>
      <c r="AG151" s="598"/>
      <c r="AH151" s="600">
        <f t="shared" si="75"/>
        <v>0</v>
      </c>
    </row>
    <row r="152" spans="1:37">
      <c r="A152" s="556"/>
      <c r="B152" s="556"/>
      <c r="C152" s="487"/>
      <c r="D152" s="487">
        <f>D151-D87</f>
        <v>0</v>
      </c>
      <c r="E152" s="487">
        <f>E87-E151</f>
        <v>0</v>
      </c>
      <c r="F152" s="575"/>
      <c r="G152" s="487">
        <f>G151-G87</f>
        <v>0</v>
      </c>
      <c r="H152" s="487">
        <f t="shared" ref="H152:Q152" si="105">H151-H87</f>
        <v>0</v>
      </c>
      <c r="I152" s="487">
        <f t="shared" si="105"/>
        <v>0</v>
      </c>
      <c r="J152" s="487">
        <f t="shared" si="105"/>
        <v>0</v>
      </c>
      <c r="K152" s="487">
        <f t="shared" si="105"/>
        <v>0</v>
      </c>
      <c r="L152" s="487">
        <f t="shared" si="105"/>
        <v>0</v>
      </c>
      <c r="M152" s="487">
        <f t="shared" si="105"/>
        <v>0</v>
      </c>
      <c r="N152" s="487">
        <f t="shared" si="105"/>
        <v>0</v>
      </c>
      <c r="O152" s="487">
        <f t="shared" si="105"/>
        <v>0</v>
      </c>
      <c r="P152" s="487">
        <f t="shared" si="105"/>
        <v>0</v>
      </c>
      <c r="Q152" s="487">
        <f t="shared" si="105"/>
        <v>0</v>
      </c>
      <c r="R152" s="487">
        <f>R151-R87</f>
        <v>0</v>
      </c>
      <c r="S152" s="487">
        <f>S151-S87</f>
        <v>0</v>
      </c>
      <c r="T152" s="788"/>
      <c r="U152" s="600"/>
      <c r="V152" s="487"/>
      <c r="W152" s="594"/>
      <c r="Y152" s="487"/>
      <c r="Z152" s="487"/>
      <c r="AA152" s="487"/>
      <c r="AB152" s="487"/>
      <c r="AC152" s="487"/>
      <c r="AD152" s="487"/>
      <c r="AE152" s="487"/>
      <c r="AF152" s="487"/>
      <c r="AG152" s="487"/>
      <c r="AH152" s="600">
        <f t="shared" si="75"/>
        <v>0</v>
      </c>
    </row>
    <row r="153" spans="1:37">
      <c r="A153" s="556"/>
      <c r="B153" s="556"/>
      <c r="F153" s="578"/>
      <c r="G153" s="600"/>
      <c r="U153" s="600"/>
      <c r="W153" s="597"/>
      <c r="AH153" s="600">
        <f t="shared" si="75"/>
        <v>0</v>
      </c>
    </row>
    <row r="154" spans="1:37" s="590" customFormat="1">
      <c r="A154" s="591" t="s">
        <v>1249</v>
      </c>
      <c r="B154" s="601"/>
      <c r="C154" s="601"/>
      <c r="D154" s="601">
        <v>0.6</v>
      </c>
      <c r="E154" s="601"/>
      <c r="F154" s="602"/>
      <c r="G154" s="601"/>
      <c r="H154" s="594">
        <v>0</v>
      </c>
      <c r="I154" s="594">
        <v>0</v>
      </c>
      <c r="J154" s="594">
        <v>0</v>
      </c>
      <c r="K154" s="594">
        <v>0</v>
      </c>
      <c r="L154" s="594">
        <v>0</v>
      </c>
      <c r="M154" s="594">
        <v>0</v>
      </c>
      <c r="N154" s="594">
        <v>0</v>
      </c>
      <c r="O154" s="594">
        <v>0</v>
      </c>
      <c r="P154" s="594">
        <v>0</v>
      </c>
      <c r="Q154" s="594">
        <v>0</v>
      </c>
      <c r="R154" s="594">
        <v>0</v>
      </c>
      <c r="S154" s="594">
        <v>0</v>
      </c>
      <c r="T154" s="805"/>
      <c r="U154" s="600"/>
      <c r="V154" s="601"/>
      <c r="W154" s="594"/>
      <c r="X154" s="1012"/>
      <c r="Y154" s="594">
        <v>0.8</v>
      </c>
      <c r="Z154" s="594"/>
      <c r="AA154" s="594">
        <v>0.8</v>
      </c>
      <c r="AB154" s="594"/>
      <c r="AC154" s="594">
        <v>0.8</v>
      </c>
      <c r="AD154" s="594"/>
      <c r="AE154" s="594">
        <v>0.8</v>
      </c>
      <c r="AF154" s="594"/>
      <c r="AG154" s="594"/>
      <c r="AH154" s="600">
        <f t="shared" si="75"/>
        <v>0</v>
      </c>
      <c r="AI154" s="589"/>
      <c r="AJ154" s="589"/>
      <c r="AK154" s="589"/>
    </row>
    <row r="155" spans="1:37">
      <c r="F155" s="578"/>
      <c r="Q155" s="603"/>
      <c r="R155" s="603"/>
      <c r="S155" s="603"/>
      <c r="U155" s="600"/>
      <c r="V155" s="603"/>
      <c r="W155" s="597"/>
      <c r="AH155" s="600">
        <f t="shared" si="75"/>
        <v>0</v>
      </c>
    </row>
    <row r="156" spans="1:37" s="590" customFormat="1">
      <c r="A156" s="604" t="s">
        <v>1250</v>
      </c>
      <c r="B156" s="604"/>
      <c r="C156" s="605"/>
      <c r="D156" s="605"/>
      <c r="E156" s="605"/>
      <c r="F156" s="606"/>
      <c r="G156" s="605"/>
      <c r="H156" s="605"/>
      <c r="I156" s="605"/>
      <c r="J156" s="605"/>
      <c r="K156" s="605"/>
      <c r="L156" s="605"/>
      <c r="M156" s="605"/>
      <c r="N156" s="605"/>
      <c r="O156" s="605"/>
      <c r="P156" s="589"/>
      <c r="Q156" s="605"/>
      <c r="R156" s="605"/>
      <c r="S156" s="605"/>
      <c r="T156" s="806"/>
      <c r="U156" s="600"/>
      <c r="V156" s="605"/>
      <c r="W156" s="597"/>
      <c r="X156" s="1013"/>
      <c r="Y156" s="605"/>
      <c r="Z156" s="605"/>
      <c r="AA156" s="605"/>
      <c r="AB156" s="605"/>
      <c r="AC156" s="605"/>
      <c r="AD156" s="605"/>
      <c r="AE156" s="605"/>
      <c r="AF156" s="605"/>
      <c r="AG156" s="605"/>
      <c r="AH156" s="600">
        <f t="shared" si="75"/>
        <v>0</v>
      </c>
      <c r="AI156" s="589"/>
      <c r="AJ156" s="589"/>
      <c r="AK156" s="589"/>
    </row>
    <row r="157" spans="1:37">
      <c r="F157" s="578"/>
      <c r="Q157" s="603"/>
      <c r="R157" s="603"/>
      <c r="S157" s="603"/>
      <c r="U157" s="600"/>
      <c r="V157" s="603"/>
      <c r="W157" s="594"/>
      <c r="AH157" s="600">
        <f t="shared" si="75"/>
        <v>0</v>
      </c>
    </row>
    <row r="158" spans="1:37">
      <c r="A158" s="607" t="s">
        <v>1251</v>
      </c>
      <c r="B158" s="607"/>
      <c r="F158" s="578"/>
      <c r="Q158" s="603"/>
      <c r="R158" s="603"/>
      <c r="S158" s="603"/>
      <c r="U158" s="600"/>
      <c r="V158" s="603"/>
      <c r="W158" s="597"/>
      <c r="AH158" s="600">
        <f t="shared" si="75"/>
        <v>0</v>
      </c>
    </row>
    <row r="159" spans="1:37">
      <c r="A159" s="608" t="s">
        <v>1252</v>
      </c>
      <c r="B159" s="609">
        <v>7492340106</v>
      </c>
      <c r="C159" s="600"/>
      <c r="D159" s="600">
        <v>2355489214</v>
      </c>
      <c r="E159" s="600">
        <v>12874370675</v>
      </c>
      <c r="F159" s="610"/>
      <c r="G159" s="486">
        <v>12159570150</v>
      </c>
      <c r="H159" s="611">
        <f>G159</f>
        <v>12159570150</v>
      </c>
      <c r="I159" s="611">
        <f>H159</f>
        <v>12159570150</v>
      </c>
      <c r="J159" s="611">
        <f>I159</f>
        <v>12159570150</v>
      </c>
      <c r="K159" s="611">
        <f>J159</f>
        <v>12159570150</v>
      </c>
      <c r="L159" s="611">
        <f>K159</f>
        <v>12159570150</v>
      </c>
      <c r="M159" s="611">
        <f>K159</f>
        <v>12159570150</v>
      </c>
      <c r="N159" s="611">
        <f>M159</f>
        <v>12159570150</v>
      </c>
      <c r="O159" s="611">
        <f>N159</f>
        <v>12159570150</v>
      </c>
      <c r="P159" s="486">
        <f>O159</f>
        <v>12159570150</v>
      </c>
      <c r="Q159" s="611">
        <f t="shared" ref="Q159" si="106">P159</f>
        <v>12159570150</v>
      </c>
      <c r="R159" s="611">
        <f>Q159</f>
        <v>12159570150</v>
      </c>
      <c r="S159" s="612">
        <f>R159</f>
        <v>12159570150</v>
      </c>
      <c r="T159" s="786"/>
      <c r="U159" s="600"/>
      <c r="V159" s="612"/>
      <c r="W159" s="597"/>
      <c r="Y159" s="613">
        <f>S162</f>
        <v>6673620854.6166668</v>
      </c>
      <c r="Z159" s="613"/>
      <c r="AA159" s="613">
        <f>Y162</f>
        <v>6172621757.0166664</v>
      </c>
      <c r="AB159" s="613"/>
      <c r="AC159" s="613">
        <f>AA162</f>
        <v>5671622659.416666</v>
      </c>
      <c r="AD159" s="613"/>
      <c r="AE159" s="613">
        <f>AC162</f>
        <v>5170623561.8166656</v>
      </c>
      <c r="AF159" s="613"/>
      <c r="AG159" s="613"/>
      <c r="AH159" s="600">
        <f t="shared" si="75"/>
        <v>0</v>
      </c>
    </row>
    <row r="160" spans="1:37">
      <c r="A160" s="608" t="s">
        <v>816</v>
      </c>
      <c r="B160" s="609">
        <v>5013440044</v>
      </c>
      <c r="C160" s="487"/>
      <c r="D160" s="487">
        <v>6608295000</v>
      </c>
      <c r="E160" s="487">
        <f>E168</f>
        <v>1122932042</v>
      </c>
      <c r="F160" s="575"/>
      <c r="G160" s="486"/>
      <c r="H160" s="486">
        <f>-H136</f>
        <v>212320000</v>
      </c>
      <c r="I160" s="486">
        <f>+H168</f>
        <v>212320000</v>
      </c>
      <c r="J160" s="486">
        <f>+I168</f>
        <v>1393449249</v>
      </c>
      <c r="K160" s="486">
        <f t="shared" ref="K160:Q160" si="107">+J168</f>
        <v>2132995488</v>
      </c>
      <c r="L160" s="486">
        <f t="shared" si="107"/>
        <v>2132995488</v>
      </c>
      <c r="M160" s="486">
        <f t="shared" si="107"/>
        <v>2459995488</v>
      </c>
      <c r="N160" s="486">
        <f>+M168</f>
        <v>2459995488</v>
      </c>
      <c r="O160" s="486">
        <f>+N168</f>
        <v>2504995488</v>
      </c>
      <c r="P160" s="486">
        <f>+O168</f>
        <v>2504995488</v>
      </c>
      <c r="Q160" s="486">
        <f t="shared" si="107"/>
        <v>2504995488</v>
      </c>
      <c r="R160" s="486">
        <f>+Q168</f>
        <v>2504995488</v>
      </c>
      <c r="S160" s="486">
        <f>+R168</f>
        <v>2504995488</v>
      </c>
      <c r="T160" s="786"/>
      <c r="U160" s="600"/>
      <c r="V160" s="614"/>
      <c r="W160" s="597"/>
      <c r="Y160" s="487">
        <f t="shared" ref="Y160:AE160" si="108">+Y166</f>
        <v>0</v>
      </c>
      <c r="Z160" s="487"/>
      <c r="AA160" s="487">
        <f t="shared" si="108"/>
        <v>0</v>
      </c>
      <c r="AB160" s="487"/>
      <c r="AC160" s="487">
        <f t="shared" si="108"/>
        <v>0</v>
      </c>
      <c r="AD160" s="487"/>
      <c r="AE160" s="487">
        <f t="shared" si="108"/>
        <v>0</v>
      </c>
      <c r="AF160" s="487"/>
      <c r="AG160" s="487"/>
      <c r="AH160" s="600">
        <f t="shared" si="75"/>
        <v>0</v>
      </c>
    </row>
    <row r="161" spans="1:37">
      <c r="A161" s="608" t="s">
        <v>817</v>
      </c>
      <c r="B161" s="609">
        <v>346210000</v>
      </c>
      <c r="C161" s="600"/>
      <c r="D161" s="600">
        <v>1946518097</v>
      </c>
      <c r="E161" s="600"/>
      <c r="F161" s="610"/>
      <c r="G161" s="486">
        <f>G173</f>
        <v>7524632130.5</v>
      </c>
      <c r="H161" s="486">
        <f>H173</f>
        <v>7723115865.4750004</v>
      </c>
      <c r="I161" s="486">
        <f>I173</f>
        <v>7719577198.8083334</v>
      </c>
      <c r="J161" s="486">
        <f>J173</f>
        <v>7739262686.291667</v>
      </c>
      <c r="K161" s="486">
        <f t="shared" ref="K161:Q161" si="109">K173</f>
        <v>7751588456.9416666</v>
      </c>
      <c r="L161" s="486">
        <f t="shared" si="109"/>
        <v>7751588456.9416666</v>
      </c>
      <c r="M161" s="486">
        <f t="shared" si="109"/>
        <v>7757038456.9416666</v>
      </c>
      <c r="N161" s="486">
        <f t="shared" si="109"/>
        <v>7757038456.9416666</v>
      </c>
      <c r="O161" s="486">
        <f t="shared" si="109"/>
        <v>7757788456.9416666</v>
      </c>
      <c r="P161" s="486">
        <f t="shared" si="109"/>
        <v>7757788456.9416666</v>
      </c>
      <c r="Q161" s="486">
        <f t="shared" si="109"/>
        <v>7757788456.9416666</v>
      </c>
      <c r="R161" s="486">
        <f>R173</f>
        <v>7757788456.9416666</v>
      </c>
      <c r="S161" s="612">
        <f>S173</f>
        <v>7990944783.3833332</v>
      </c>
      <c r="T161" s="786"/>
      <c r="U161" s="600"/>
      <c r="V161" s="612"/>
      <c r="W161" s="597"/>
      <c r="Y161" s="600">
        <f t="shared" ref="Y161:AE161" si="110">Y173</f>
        <v>500999097.60000002</v>
      </c>
      <c r="Z161" s="600"/>
      <c r="AA161" s="600">
        <f t="shared" si="110"/>
        <v>500999097.60000002</v>
      </c>
      <c r="AB161" s="600"/>
      <c r="AC161" s="600">
        <f t="shared" si="110"/>
        <v>500999097.60000002</v>
      </c>
      <c r="AD161" s="600"/>
      <c r="AE161" s="600">
        <f t="shared" si="110"/>
        <v>500999097.60000002</v>
      </c>
      <c r="AF161" s="600"/>
      <c r="AG161" s="600"/>
      <c r="AH161" s="600">
        <f t="shared" si="75"/>
        <v>0</v>
      </c>
    </row>
    <row r="162" spans="1:37">
      <c r="A162" s="608" t="s">
        <v>1253</v>
      </c>
      <c r="B162" s="615">
        <v>12159570150</v>
      </c>
      <c r="C162" s="600"/>
      <c r="D162" s="600">
        <v>7017266117</v>
      </c>
      <c r="E162" s="600">
        <f>+E159+E160-E161</f>
        <v>13997302717</v>
      </c>
      <c r="F162" s="610"/>
      <c r="G162" s="486">
        <f>G159+G160-G161</f>
        <v>4634938019.5</v>
      </c>
      <c r="H162" s="486">
        <f>H159+H160-H161</f>
        <v>4648774284.5249996</v>
      </c>
      <c r="I162" s="486">
        <f>I159+I160-I161</f>
        <v>4652312951.1916666</v>
      </c>
      <c r="J162" s="486">
        <f>J159+J160-J161</f>
        <v>5813756712.708333</v>
      </c>
      <c r="K162" s="486">
        <f t="shared" ref="K162:Q162" si="111">K159+K160-K161</f>
        <v>6540977181.0583334</v>
      </c>
      <c r="L162" s="486">
        <f t="shared" si="111"/>
        <v>6540977181.0583334</v>
      </c>
      <c r="M162" s="486">
        <f t="shared" si="111"/>
        <v>6862527181.0583334</v>
      </c>
      <c r="N162" s="486">
        <f t="shared" si="111"/>
        <v>6862527181.0583334</v>
      </c>
      <c r="O162" s="486">
        <f t="shared" si="111"/>
        <v>6906777181.0583334</v>
      </c>
      <c r="P162" s="486">
        <f t="shared" si="111"/>
        <v>6906777181.0583334</v>
      </c>
      <c r="Q162" s="486">
        <f t="shared" si="111"/>
        <v>6906777181.0583334</v>
      </c>
      <c r="R162" s="486">
        <f>R159+R160-R161</f>
        <v>6906777181.0583334</v>
      </c>
      <c r="S162" s="612">
        <f>S159+S160-S161</f>
        <v>6673620854.6166668</v>
      </c>
      <c r="T162" s="786"/>
      <c r="U162" s="600"/>
      <c r="V162" s="612"/>
      <c r="W162" s="597"/>
      <c r="Y162" s="600">
        <f t="shared" ref="Y162:AE162" si="112">Y159+Y160-Y161</f>
        <v>6172621757.0166664</v>
      </c>
      <c r="Z162" s="600"/>
      <c r="AA162" s="600">
        <f t="shared" si="112"/>
        <v>5671622659.416666</v>
      </c>
      <c r="AB162" s="600"/>
      <c r="AC162" s="600">
        <f t="shared" si="112"/>
        <v>5170623561.8166656</v>
      </c>
      <c r="AD162" s="600"/>
      <c r="AE162" s="600">
        <f t="shared" si="112"/>
        <v>4669624464.2166653</v>
      </c>
      <c r="AF162" s="600"/>
      <c r="AG162" s="600"/>
      <c r="AH162" s="600">
        <f t="shared" si="75"/>
        <v>0</v>
      </c>
    </row>
    <row r="163" spans="1:37">
      <c r="F163" s="578"/>
      <c r="G163" s="616">
        <f>+G95-G162</f>
        <v>-6.999969482421875E-2</v>
      </c>
      <c r="H163" s="616">
        <f>+H95-H162</f>
        <v>0</v>
      </c>
      <c r="I163" s="616">
        <f>+I95-I162</f>
        <v>0</v>
      </c>
      <c r="J163" s="616">
        <f>+J95-J162</f>
        <v>0</v>
      </c>
      <c r="K163" s="616">
        <f t="shared" ref="K163:Q163" si="113">+K95-K162</f>
        <v>0</v>
      </c>
      <c r="L163" s="616">
        <f t="shared" si="113"/>
        <v>0</v>
      </c>
      <c r="M163" s="616">
        <f>+M95-M162</f>
        <v>0</v>
      </c>
      <c r="N163" s="616">
        <f t="shared" si="113"/>
        <v>0</v>
      </c>
      <c r="O163" s="616">
        <f>+O95-O162</f>
        <v>0</v>
      </c>
      <c r="P163" s="600">
        <f t="shared" si="113"/>
        <v>0</v>
      </c>
      <c r="Q163" s="616">
        <f t="shared" si="113"/>
        <v>0</v>
      </c>
      <c r="R163" s="616">
        <f>+R95-R162</f>
        <v>0</v>
      </c>
      <c r="S163" s="616">
        <f>+S95-S162</f>
        <v>0</v>
      </c>
      <c r="T163" s="807"/>
      <c r="U163" s="600"/>
      <c r="V163" s="603"/>
      <c r="AH163" s="600">
        <f t="shared" si="75"/>
        <v>0</v>
      </c>
    </row>
    <row r="164" spans="1:37">
      <c r="A164" s="607" t="s">
        <v>1254</v>
      </c>
      <c r="B164" s="617"/>
      <c r="F164" s="578"/>
      <c r="G164" s="486"/>
      <c r="Q164" s="603"/>
      <c r="R164" s="603"/>
      <c r="S164" s="603"/>
      <c r="U164" s="600"/>
      <c r="V164" s="603"/>
      <c r="AH164" s="600">
        <f t="shared" si="75"/>
        <v>0</v>
      </c>
    </row>
    <row r="165" spans="1:37">
      <c r="A165" s="608" t="s">
        <v>1255</v>
      </c>
      <c r="B165" s="608"/>
      <c r="F165" s="578"/>
      <c r="G165" s="486"/>
      <c r="H165" s="486">
        <f>G168</f>
        <v>0</v>
      </c>
      <c r="I165" s="486">
        <f t="shared" ref="I165:Q165" si="114">H168</f>
        <v>212320000</v>
      </c>
      <c r="J165" s="486">
        <f>I168</f>
        <v>1393449249</v>
      </c>
      <c r="K165" s="486">
        <f t="shared" si="114"/>
        <v>2132995488</v>
      </c>
      <c r="L165" s="486">
        <f t="shared" si="114"/>
        <v>2132995488</v>
      </c>
      <c r="M165" s="486">
        <f t="shared" si="114"/>
        <v>2459995488</v>
      </c>
      <c r="N165" s="486">
        <f>M168</f>
        <v>2459995488</v>
      </c>
      <c r="O165" s="486">
        <f>N168</f>
        <v>2504995488</v>
      </c>
      <c r="P165" s="600">
        <f>O168</f>
        <v>2504995488</v>
      </c>
      <c r="Q165" s="612">
        <f t="shared" si="114"/>
        <v>2504995488</v>
      </c>
      <c r="R165" s="612">
        <f>Q168</f>
        <v>2504995488</v>
      </c>
      <c r="S165" s="612">
        <f>R168</f>
        <v>2504995488</v>
      </c>
      <c r="T165" s="807"/>
      <c r="U165" s="600"/>
      <c r="V165" s="603"/>
      <c r="W165" s="618"/>
      <c r="Y165" s="600">
        <f>S168</f>
        <v>2504995488</v>
      </c>
      <c r="Z165" s="600"/>
      <c r="AA165" s="600">
        <f>Y168</f>
        <v>2504995488</v>
      </c>
      <c r="AB165" s="600"/>
      <c r="AC165" s="600">
        <f>AA168</f>
        <v>2504995488</v>
      </c>
      <c r="AD165" s="600"/>
      <c r="AE165" s="600">
        <f>AC168</f>
        <v>2504995488</v>
      </c>
      <c r="AF165" s="600"/>
      <c r="AG165" s="600"/>
      <c r="AH165" s="600">
        <f t="shared" si="75"/>
        <v>0</v>
      </c>
    </row>
    <row r="166" spans="1:37" s="484" customFormat="1">
      <c r="A166" s="595" t="s">
        <v>816</v>
      </c>
      <c r="B166" s="595"/>
      <c r="C166" s="487"/>
      <c r="D166" s="487">
        <v>6608295000</v>
      </c>
      <c r="E166" s="487">
        <v>1122932042</v>
      </c>
      <c r="F166" s="575"/>
      <c r="G166" s="619"/>
      <c r="H166" s="620">
        <f>H160</f>
        <v>212320000</v>
      </c>
      <c r="I166" s="600">
        <f>-I136</f>
        <v>1181129249</v>
      </c>
      <c r="J166" s="600">
        <f t="shared" ref="J166:Q166" si="115">-J136</f>
        <v>739546239</v>
      </c>
      <c r="K166" s="600">
        <f t="shared" si="115"/>
        <v>0</v>
      </c>
      <c r="L166" s="600">
        <f t="shared" si="115"/>
        <v>327000000</v>
      </c>
      <c r="M166" s="600">
        <f t="shared" si="115"/>
        <v>0</v>
      </c>
      <c r="N166" s="600">
        <f t="shared" si="115"/>
        <v>45000000</v>
      </c>
      <c r="O166" s="600">
        <f t="shared" si="115"/>
        <v>0</v>
      </c>
      <c r="P166" s="600">
        <f t="shared" si="115"/>
        <v>0</v>
      </c>
      <c r="Q166" s="600">
        <f t="shared" si="115"/>
        <v>0</v>
      </c>
      <c r="R166" s="600">
        <f>-R136</f>
        <v>0</v>
      </c>
      <c r="S166" s="600">
        <f>-S136</f>
        <v>0</v>
      </c>
      <c r="T166" s="807"/>
      <c r="U166" s="600"/>
      <c r="V166" s="614">
        <f>SUM(H166:U166)</f>
        <v>2504995488</v>
      </c>
      <c r="W166" s="488"/>
      <c r="X166" s="1003">
        <v>2504995488</v>
      </c>
      <c r="Y166" s="487">
        <v>0</v>
      </c>
      <c r="Z166" s="487"/>
      <c r="AA166" s="487">
        <v>0</v>
      </c>
      <c r="AB166" s="487"/>
      <c r="AC166" s="487">
        <v>0</v>
      </c>
      <c r="AD166" s="487"/>
      <c r="AE166" s="487">
        <v>0</v>
      </c>
      <c r="AF166" s="487"/>
      <c r="AG166" s="487"/>
      <c r="AH166" s="600">
        <f t="shared" si="75"/>
        <v>0</v>
      </c>
    </row>
    <row r="167" spans="1:37">
      <c r="A167" s="608" t="s">
        <v>817</v>
      </c>
      <c r="B167" s="608"/>
      <c r="F167" s="578"/>
      <c r="G167" s="486"/>
      <c r="Q167" s="603"/>
      <c r="R167" s="603"/>
      <c r="S167" s="603"/>
      <c r="U167" s="600"/>
      <c r="V167" s="603"/>
      <c r="W167" s="621"/>
      <c r="AH167" s="600">
        <f t="shared" si="75"/>
        <v>0</v>
      </c>
    </row>
    <row r="168" spans="1:37">
      <c r="A168" s="608" t="s">
        <v>1256</v>
      </c>
      <c r="B168" s="608"/>
      <c r="C168" s="487"/>
      <c r="D168" s="487">
        <v>0</v>
      </c>
      <c r="E168" s="487">
        <f>+E165+E166-E167</f>
        <v>1122932042</v>
      </c>
      <c r="F168" s="575"/>
      <c r="G168" s="486">
        <f>G165+G166-G167</f>
        <v>0</v>
      </c>
      <c r="H168" s="600">
        <f>H165+H166-H167</f>
        <v>212320000</v>
      </c>
      <c r="I168" s="600">
        <f t="shared" ref="I168:Q168" si="116">I165+I166-I167</f>
        <v>1393449249</v>
      </c>
      <c r="J168" s="600">
        <f t="shared" si="116"/>
        <v>2132995488</v>
      </c>
      <c r="K168" s="600">
        <f t="shared" si="116"/>
        <v>2132995488</v>
      </c>
      <c r="L168" s="600">
        <f t="shared" si="116"/>
        <v>2459995488</v>
      </c>
      <c r="M168" s="600">
        <f t="shared" si="116"/>
        <v>2459995488</v>
      </c>
      <c r="N168" s="600">
        <f t="shared" si="116"/>
        <v>2504995488</v>
      </c>
      <c r="O168" s="600">
        <f t="shared" si="116"/>
        <v>2504995488</v>
      </c>
      <c r="P168" s="600">
        <f t="shared" si="116"/>
        <v>2504995488</v>
      </c>
      <c r="Q168" s="612">
        <f t="shared" si="116"/>
        <v>2504995488</v>
      </c>
      <c r="R168" s="612">
        <f>R165+R166-R167</f>
        <v>2504995488</v>
      </c>
      <c r="S168" s="612">
        <f>S165+S166-S167</f>
        <v>2504995488</v>
      </c>
      <c r="T168" s="807"/>
      <c r="U168" s="600"/>
      <c r="V168" s="614"/>
      <c r="Y168" s="600">
        <f t="shared" ref="Y168:AE168" si="117">Y165+Y166-Y167</f>
        <v>2504995488</v>
      </c>
      <c r="Z168" s="600"/>
      <c r="AA168" s="600">
        <f t="shared" si="117"/>
        <v>2504995488</v>
      </c>
      <c r="AB168" s="600"/>
      <c r="AC168" s="600">
        <f t="shared" si="117"/>
        <v>2504995488</v>
      </c>
      <c r="AD168" s="600"/>
      <c r="AE168" s="600">
        <f t="shared" si="117"/>
        <v>2504995488</v>
      </c>
      <c r="AF168" s="600"/>
      <c r="AG168" s="600"/>
      <c r="AH168" s="600">
        <f t="shared" ref="AH168:AH187" si="118">V168-X168</f>
        <v>0</v>
      </c>
    </row>
    <row r="169" spans="1:37">
      <c r="F169" s="578"/>
      <c r="G169" s="486"/>
      <c r="Q169" s="603"/>
      <c r="R169" s="603"/>
      <c r="S169" s="603"/>
      <c r="U169" s="600"/>
      <c r="V169" s="603"/>
      <c r="AH169" s="600">
        <f t="shared" si="118"/>
        <v>0</v>
      </c>
    </row>
    <row r="170" spans="1:37">
      <c r="A170" s="608" t="s">
        <v>1257</v>
      </c>
      <c r="B170" s="608">
        <v>3410223659</v>
      </c>
      <c r="E170" s="486">
        <v>6322201483.5699997</v>
      </c>
      <c r="F170" s="578"/>
      <c r="G170" s="486">
        <v>5384653004</v>
      </c>
      <c r="H170" s="486">
        <f>+G173</f>
        <v>7524632130.5</v>
      </c>
      <c r="I170" s="486">
        <f>+H170</f>
        <v>7524632130.5</v>
      </c>
      <c r="J170" s="486">
        <f t="shared" ref="J170:Q170" si="119">+I170</f>
        <v>7524632130.5</v>
      </c>
      <c r="K170" s="486">
        <f t="shared" si="119"/>
        <v>7524632130.5</v>
      </c>
      <c r="L170" s="486">
        <f t="shared" si="119"/>
        <v>7524632130.5</v>
      </c>
      <c r="M170" s="486">
        <f t="shared" si="119"/>
        <v>7524632130.5</v>
      </c>
      <c r="N170" s="486">
        <f>+M170</f>
        <v>7524632130.5</v>
      </c>
      <c r="O170" s="486">
        <f>+N170</f>
        <v>7524632130.5</v>
      </c>
      <c r="P170" s="486">
        <f>+O170</f>
        <v>7524632130.5</v>
      </c>
      <c r="Q170" s="486">
        <f t="shared" si="119"/>
        <v>7524632130.5</v>
      </c>
      <c r="R170" s="486">
        <f>+Q170</f>
        <v>7524632130.5</v>
      </c>
      <c r="S170" s="486">
        <f>+R173</f>
        <v>7757788456.9416666</v>
      </c>
      <c r="T170" s="786"/>
      <c r="U170" s="600"/>
      <c r="V170" s="603"/>
      <c r="Y170" s="486">
        <f>Y165/Y194</f>
        <v>500999097.60000002</v>
      </c>
      <c r="Z170" s="486"/>
      <c r="AA170" s="486">
        <f>AA165/AA194</f>
        <v>500999097.60000002</v>
      </c>
      <c r="AB170" s="486"/>
      <c r="AC170" s="486">
        <f>AC165/AC194</f>
        <v>500999097.60000002</v>
      </c>
      <c r="AD170" s="486"/>
      <c r="AE170" s="486">
        <f>AE165/AE194</f>
        <v>500999097.60000002</v>
      </c>
      <c r="AF170" s="486"/>
      <c r="AG170" s="486"/>
      <c r="AH170" s="600">
        <f t="shared" si="118"/>
        <v>0</v>
      </c>
    </row>
    <row r="171" spans="1:37">
      <c r="A171" s="608" t="s">
        <v>816</v>
      </c>
      <c r="B171" s="608">
        <v>1412815093</v>
      </c>
      <c r="C171" s="487"/>
      <c r="D171" s="487">
        <v>1321659000</v>
      </c>
      <c r="E171" s="487">
        <v>1426652751</v>
      </c>
      <c r="F171" s="575"/>
      <c r="G171" s="622">
        <v>2139979126.5</v>
      </c>
      <c r="H171" s="492">
        <f>H52+H160/60</f>
        <v>198483734.97499999</v>
      </c>
      <c r="I171" s="492">
        <f t="shared" ref="I171:Q171" si="120">I52</f>
        <v>194945068.30833334</v>
      </c>
      <c r="J171" s="492">
        <f t="shared" si="120"/>
        <v>214630555.79166669</v>
      </c>
      <c r="K171" s="492">
        <f t="shared" si="120"/>
        <v>226956326.44166666</v>
      </c>
      <c r="L171" s="492">
        <f t="shared" si="120"/>
        <v>226956326.44166666</v>
      </c>
      <c r="M171" s="492">
        <f t="shared" si="120"/>
        <v>232406326.44166666</v>
      </c>
      <c r="N171" s="492">
        <f t="shared" si="120"/>
        <v>232406326.44166666</v>
      </c>
      <c r="O171" s="492">
        <f t="shared" si="120"/>
        <v>233156326.44166666</v>
      </c>
      <c r="P171" s="492">
        <f t="shared" si="120"/>
        <v>233156326.44166666</v>
      </c>
      <c r="Q171" s="492">
        <f t="shared" si="120"/>
        <v>233156326.44166666</v>
      </c>
      <c r="R171" s="492">
        <f>R52</f>
        <v>233156326.44166666</v>
      </c>
      <c r="S171" s="492">
        <f>S52</f>
        <v>233156326.44166666</v>
      </c>
      <c r="T171" s="787"/>
      <c r="U171" s="600"/>
      <c r="V171" s="614"/>
      <c r="Y171" s="487"/>
      <c r="Z171" s="487"/>
      <c r="AA171" s="487"/>
      <c r="AB171" s="487"/>
      <c r="AC171" s="487"/>
      <c r="AD171" s="487"/>
      <c r="AE171" s="487"/>
      <c r="AF171" s="487"/>
      <c r="AG171" s="487"/>
      <c r="AH171" s="600">
        <f t="shared" si="118"/>
        <v>0</v>
      </c>
    </row>
    <row r="172" spans="1:37">
      <c r="A172" s="608" t="s">
        <v>817</v>
      </c>
      <c r="B172" s="608">
        <v>92541710</v>
      </c>
      <c r="F172" s="578"/>
      <c r="G172" s="486"/>
      <c r="H172" s="496"/>
      <c r="I172" s="496"/>
      <c r="J172" s="496"/>
      <c r="K172" s="496"/>
      <c r="L172" s="496"/>
      <c r="M172" s="496"/>
      <c r="N172" s="496"/>
      <c r="O172" s="496"/>
      <c r="P172" s="496"/>
      <c r="Q172" s="496"/>
      <c r="R172" s="496"/>
      <c r="S172" s="486">
        <f>+S166/S194</f>
        <v>0</v>
      </c>
      <c r="T172" s="808"/>
      <c r="U172" s="600"/>
      <c r="V172" s="603"/>
      <c r="AH172" s="600">
        <f t="shared" si="118"/>
        <v>0</v>
      </c>
    </row>
    <row r="173" spans="1:37">
      <c r="A173" s="608" t="s">
        <v>1258</v>
      </c>
      <c r="B173" s="608">
        <v>4730497042</v>
      </c>
      <c r="C173" s="487"/>
      <c r="D173" s="487">
        <v>1321659000</v>
      </c>
      <c r="E173" s="600">
        <f>+E170+E171-E172</f>
        <v>7748854234.5699997</v>
      </c>
      <c r="F173" s="575"/>
      <c r="G173" s="486">
        <f>+G170+G171-G172</f>
        <v>7524632130.5</v>
      </c>
      <c r="H173" s="600">
        <f>H170+H171+H172</f>
        <v>7723115865.4750004</v>
      </c>
      <c r="I173" s="600">
        <f t="shared" ref="I173:Q173" si="121">I170+I171+I172</f>
        <v>7719577198.8083334</v>
      </c>
      <c r="J173" s="600">
        <f t="shared" si="121"/>
        <v>7739262686.291667</v>
      </c>
      <c r="K173" s="600">
        <f t="shared" si="121"/>
        <v>7751588456.9416666</v>
      </c>
      <c r="L173" s="600">
        <f t="shared" si="121"/>
        <v>7751588456.9416666</v>
      </c>
      <c r="M173" s="600">
        <f t="shared" si="121"/>
        <v>7757038456.9416666</v>
      </c>
      <c r="N173" s="600">
        <f t="shared" si="121"/>
        <v>7757038456.9416666</v>
      </c>
      <c r="O173" s="600">
        <f t="shared" si="121"/>
        <v>7757788456.9416666</v>
      </c>
      <c r="P173" s="600">
        <f t="shared" si="121"/>
        <v>7757788456.9416666</v>
      </c>
      <c r="Q173" s="600">
        <f t="shared" si="121"/>
        <v>7757788456.9416666</v>
      </c>
      <c r="R173" s="600">
        <f>R170+R171+R172</f>
        <v>7757788456.9416666</v>
      </c>
      <c r="S173" s="600">
        <f>S170+S171+S172</f>
        <v>7990944783.3833332</v>
      </c>
      <c r="T173" s="807"/>
      <c r="U173" s="600"/>
      <c r="V173" s="614"/>
      <c r="Y173" s="600">
        <f t="shared" ref="Y173:AE173" si="122">Y170+Y171-Y172</f>
        <v>500999097.60000002</v>
      </c>
      <c r="Z173" s="600"/>
      <c r="AA173" s="600">
        <f t="shared" si="122"/>
        <v>500999097.60000002</v>
      </c>
      <c r="AB173" s="600"/>
      <c r="AC173" s="600">
        <f t="shared" si="122"/>
        <v>500999097.60000002</v>
      </c>
      <c r="AD173" s="600"/>
      <c r="AE173" s="600">
        <f t="shared" si="122"/>
        <v>500999097.60000002</v>
      </c>
      <c r="AF173" s="600"/>
      <c r="AG173" s="600"/>
      <c r="AH173" s="600">
        <f t="shared" si="118"/>
        <v>0</v>
      </c>
    </row>
    <row r="174" spans="1:37">
      <c r="E174" s="600">
        <f>E162-E173-E95</f>
        <v>0</v>
      </c>
      <c r="F174" s="578"/>
      <c r="G174" s="616">
        <f>+G171-G52</f>
        <v>0</v>
      </c>
      <c r="H174" s="616">
        <f>+H171-H52</f>
        <v>3538666.6666666567</v>
      </c>
      <c r="I174" s="616">
        <f t="shared" ref="I174:Q174" si="123">+I171-I52</f>
        <v>0</v>
      </c>
      <c r="J174" s="616">
        <f t="shared" si="123"/>
        <v>0</v>
      </c>
      <c r="K174" s="616">
        <f t="shared" si="123"/>
        <v>0</v>
      </c>
      <c r="L174" s="616">
        <f t="shared" si="123"/>
        <v>0</v>
      </c>
      <c r="M174" s="616">
        <f t="shared" si="123"/>
        <v>0</v>
      </c>
      <c r="N174" s="616">
        <f t="shared" si="123"/>
        <v>0</v>
      </c>
      <c r="O174" s="616">
        <f t="shared" si="123"/>
        <v>0</v>
      </c>
      <c r="P174" s="600">
        <f t="shared" si="123"/>
        <v>0</v>
      </c>
      <c r="Q174" s="616">
        <f t="shared" si="123"/>
        <v>0</v>
      </c>
      <c r="R174" s="616">
        <f>+R171-R52</f>
        <v>0</v>
      </c>
      <c r="S174" s="616">
        <f>+S171-S52</f>
        <v>0</v>
      </c>
      <c r="T174" s="807"/>
      <c r="U174" s="600"/>
      <c r="V174" s="603"/>
      <c r="W174" s="597"/>
      <c r="AH174" s="600">
        <f t="shared" si="118"/>
        <v>0</v>
      </c>
    </row>
    <row r="175" spans="1:37" s="590" customFormat="1">
      <c r="A175" s="604" t="s">
        <v>1259</v>
      </c>
      <c r="B175" s="604"/>
      <c r="C175" s="605"/>
      <c r="D175" s="605"/>
      <c r="E175" s="605"/>
      <c r="F175" s="606"/>
      <c r="G175" s="605"/>
      <c r="H175" s="605"/>
      <c r="I175" s="605"/>
      <c r="J175" s="605"/>
      <c r="K175" s="605"/>
      <c r="L175" s="605"/>
      <c r="M175" s="605"/>
      <c r="N175" s="605"/>
      <c r="O175" s="605"/>
      <c r="P175" s="589"/>
      <c r="Q175" s="623"/>
      <c r="R175" s="623"/>
      <c r="S175" s="623"/>
      <c r="T175" s="806"/>
      <c r="U175" s="600"/>
      <c r="V175" s="623"/>
      <c r="W175" s="597"/>
      <c r="X175" s="1013"/>
      <c r="Y175" s="605"/>
      <c r="Z175" s="605"/>
      <c r="AA175" s="605"/>
      <c r="AB175" s="605"/>
      <c r="AC175" s="605"/>
      <c r="AD175" s="605"/>
      <c r="AE175" s="605"/>
      <c r="AF175" s="605"/>
      <c r="AG175" s="605"/>
      <c r="AH175" s="600">
        <f t="shared" si="118"/>
        <v>0</v>
      </c>
      <c r="AI175" s="589"/>
      <c r="AJ175" s="589"/>
      <c r="AK175" s="589"/>
    </row>
    <row r="176" spans="1:37">
      <c r="F176" s="578"/>
      <c r="Q176" s="603"/>
      <c r="R176" s="603"/>
      <c r="S176" s="603"/>
      <c r="U176" s="600"/>
      <c r="V176" s="603"/>
      <c r="W176" s="594"/>
      <c r="AH176" s="600">
        <f t="shared" si="118"/>
        <v>0</v>
      </c>
    </row>
    <row r="177" spans="1:37">
      <c r="A177" s="607" t="s">
        <v>1251</v>
      </c>
      <c r="B177" s="607"/>
      <c r="F177" s="578"/>
      <c r="Q177" s="603"/>
      <c r="R177" s="603"/>
      <c r="S177" s="603"/>
      <c r="U177" s="600"/>
      <c r="V177" s="603"/>
      <c r="W177" s="597"/>
      <c r="AH177" s="600">
        <f t="shared" si="118"/>
        <v>0</v>
      </c>
    </row>
    <row r="178" spans="1:37">
      <c r="A178" s="608" t="s">
        <v>1252</v>
      </c>
      <c r="B178" s="609">
        <v>489250000</v>
      </c>
      <c r="C178" s="600"/>
      <c r="D178" s="600">
        <v>2355489214</v>
      </c>
      <c r="E178" s="600">
        <v>489250000</v>
      </c>
      <c r="F178" s="610">
        <v>489250000</v>
      </c>
      <c r="G178" s="486">
        <v>1383250000</v>
      </c>
      <c r="H178" s="611">
        <f>+G178+G184</f>
        <v>1383250000</v>
      </c>
      <c r="I178" s="611">
        <f t="shared" ref="I178:Q178" si="124">+H178+H184</f>
        <v>1383250000</v>
      </c>
      <c r="J178" s="611">
        <f t="shared" si="124"/>
        <v>1383250000</v>
      </c>
      <c r="K178" s="611">
        <f t="shared" si="124"/>
        <v>1395250000</v>
      </c>
      <c r="L178" s="611">
        <f t="shared" si="124"/>
        <v>1407250000</v>
      </c>
      <c r="M178" s="611">
        <f t="shared" si="124"/>
        <v>1419250000</v>
      </c>
      <c r="N178" s="611">
        <f>+M178+M184</f>
        <v>1443250000</v>
      </c>
      <c r="O178" s="611">
        <f>+N178+N184</f>
        <v>1467250000</v>
      </c>
      <c r="P178" s="486">
        <f>+O178+O184</f>
        <v>1491250000</v>
      </c>
      <c r="Q178" s="611">
        <f t="shared" si="124"/>
        <v>1515250000</v>
      </c>
      <c r="R178" s="611">
        <f>+Q178+Q184</f>
        <v>1539250000</v>
      </c>
      <c r="S178" s="611">
        <f>R178</f>
        <v>1539250000</v>
      </c>
      <c r="T178" s="786"/>
      <c r="U178" s="600"/>
      <c r="V178" s="612"/>
      <c r="W178" s="597"/>
      <c r="Y178" s="613">
        <f>S181</f>
        <v>1229911617</v>
      </c>
      <c r="Z178" s="613"/>
      <c r="AA178" s="613">
        <f>Y181</f>
        <v>1225111617</v>
      </c>
      <c r="AB178" s="613"/>
      <c r="AC178" s="613">
        <f>AA181</f>
        <v>1220311617</v>
      </c>
      <c r="AD178" s="613"/>
      <c r="AE178" s="613">
        <f>AC181</f>
        <v>1215511617</v>
      </c>
      <c r="AF178" s="613"/>
      <c r="AG178" s="613"/>
      <c r="AH178" s="600">
        <f t="shared" si="118"/>
        <v>0</v>
      </c>
    </row>
    <row r="179" spans="1:37">
      <c r="A179" s="608" t="s">
        <v>816</v>
      </c>
      <c r="B179" s="609">
        <v>0</v>
      </c>
      <c r="C179" s="487"/>
      <c r="D179" s="487">
        <v>6608295000</v>
      </c>
      <c r="E179" s="487">
        <f>E187</f>
        <v>420088500</v>
      </c>
      <c r="F179" s="575">
        <v>420088500</v>
      </c>
      <c r="G179" s="620">
        <v>476000000</v>
      </c>
      <c r="H179" s="620">
        <f>H187</f>
        <v>0</v>
      </c>
      <c r="I179" s="620">
        <f t="shared" ref="I179:Q179" si="125">I187</f>
        <v>12000000</v>
      </c>
      <c r="J179" s="620">
        <f t="shared" si="125"/>
        <v>12000000</v>
      </c>
      <c r="K179" s="620">
        <f t="shared" si="125"/>
        <v>12000000</v>
      </c>
      <c r="L179" s="620">
        <f t="shared" si="125"/>
        <v>24000000</v>
      </c>
      <c r="M179" s="620">
        <f t="shared" si="125"/>
        <v>24000000</v>
      </c>
      <c r="N179" s="620">
        <f t="shared" si="125"/>
        <v>24000000</v>
      </c>
      <c r="O179" s="620">
        <f t="shared" si="125"/>
        <v>24000000</v>
      </c>
      <c r="P179" s="620">
        <f t="shared" si="125"/>
        <v>24000000</v>
      </c>
      <c r="Q179" s="620">
        <f t="shared" si="125"/>
        <v>24000000</v>
      </c>
      <c r="R179" s="620">
        <f>R187</f>
        <v>24000000</v>
      </c>
      <c r="S179" s="620">
        <f>R179</f>
        <v>24000000</v>
      </c>
      <c r="T179" s="809"/>
      <c r="U179" s="600"/>
      <c r="V179" s="614"/>
      <c r="W179" s="597"/>
      <c r="Y179" s="487">
        <f t="shared" ref="Y179:AE179" si="126">+Y185</f>
        <v>0</v>
      </c>
      <c r="Z179" s="487"/>
      <c r="AA179" s="487">
        <f t="shared" si="126"/>
        <v>0</v>
      </c>
      <c r="AB179" s="487"/>
      <c r="AC179" s="487">
        <f t="shared" si="126"/>
        <v>0</v>
      </c>
      <c r="AD179" s="487"/>
      <c r="AE179" s="487">
        <f t="shared" si="126"/>
        <v>0</v>
      </c>
      <c r="AF179" s="487"/>
      <c r="AG179" s="487"/>
      <c r="AH179" s="600">
        <f t="shared" si="118"/>
        <v>0</v>
      </c>
    </row>
    <row r="180" spans="1:37">
      <c r="A180" s="608" t="s">
        <v>817</v>
      </c>
      <c r="B180" s="609">
        <v>236470837</v>
      </c>
      <c r="C180" s="600"/>
      <c r="D180" s="600">
        <v>1946518097</v>
      </c>
      <c r="E180" s="600"/>
      <c r="F180" s="610"/>
      <c r="G180" s="486">
        <v>557704833.66666663</v>
      </c>
      <c r="H180" s="486">
        <f>H192</f>
        <v>141134286.625</v>
      </c>
      <c r="I180" s="486">
        <f t="shared" ref="I180:Q180" si="127">I192</f>
        <v>154611931.75</v>
      </c>
      <c r="J180" s="486">
        <f t="shared" si="127"/>
        <v>167889576.875</v>
      </c>
      <c r="K180" s="486">
        <f t="shared" si="127"/>
        <v>181167222</v>
      </c>
      <c r="L180" s="486">
        <f t="shared" si="127"/>
        <v>199894867.125</v>
      </c>
      <c r="M180" s="486">
        <f t="shared" si="127"/>
        <v>218422512.25</v>
      </c>
      <c r="N180" s="486">
        <f t="shared" si="127"/>
        <v>236950157.375</v>
      </c>
      <c r="O180" s="486">
        <f t="shared" si="127"/>
        <v>256227802.5</v>
      </c>
      <c r="P180" s="486">
        <f t="shared" si="127"/>
        <v>275505447.625</v>
      </c>
      <c r="Q180" s="486">
        <f t="shared" si="127"/>
        <v>294783092.75</v>
      </c>
      <c r="R180" s="486">
        <f>R192</f>
        <v>314060737.875</v>
      </c>
      <c r="S180" s="486">
        <f>S192</f>
        <v>333338383</v>
      </c>
      <c r="T180" s="786"/>
      <c r="U180" s="600"/>
      <c r="V180" s="612"/>
      <c r="W180" s="597"/>
      <c r="Y180" s="600">
        <f t="shared" ref="Y180:AE180" si="128">Y192</f>
        <v>4800000</v>
      </c>
      <c r="Z180" s="600"/>
      <c r="AA180" s="600">
        <f t="shared" si="128"/>
        <v>4800000</v>
      </c>
      <c r="AB180" s="600"/>
      <c r="AC180" s="600">
        <f t="shared" si="128"/>
        <v>4800000</v>
      </c>
      <c r="AD180" s="600"/>
      <c r="AE180" s="600">
        <f t="shared" si="128"/>
        <v>4800000</v>
      </c>
      <c r="AF180" s="600"/>
      <c r="AG180" s="600"/>
      <c r="AH180" s="600">
        <f t="shared" si="118"/>
        <v>0</v>
      </c>
    </row>
    <row r="181" spans="1:37">
      <c r="A181" s="608" t="s">
        <v>1253</v>
      </c>
      <c r="B181" s="615">
        <v>252779163</v>
      </c>
      <c r="C181" s="600"/>
      <c r="D181" s="600">
        <v>7017266117</v>
      </c>
      <c r="E181" s="486">
        <f t="shared" ref="E181" si="129">E178+E179-E180</f>
        <v>909338500</v>
      </c>
      <c r="F181" s="610">
        <v>909338500</v>
      </c>
      <c r="G181" s="486">
        <v>1301545166.3333335</v>
      </c>
      <c r="H181" s="486">
        <f t="shared" ref="H181:Q181" si="130">H178+H179-H180</f>
        <v>1242115713.375</v>
      </c>
      <c r="I181" s="486">
        <f t="shared" si="130"/>
        <v>1240638068.25</v>
      </c>
      <c r="J181" s="486">
        <f t="shared" si="130"/>
        <v>1227360423.125</v>
      </c>
      <c r="K181" s="486">
        <f t="shared" si="130"/>
        <v>1226082778</v>
      </c>
      <c r="L181" s="486">
        <f t="shared" si="130"/>
        <v>1231355132.875</v>
      </c>
      <c r="M181" s="486">
        <f t="shared" si="130"/>
        <v>1224827487.75</v>
      </c>
      <c r="N181" s="486">
        <f t="shared" si="130"/>
        <v>1230299842.625</v>
      </c>
      <c r="O181" s="486">
        <f t="shared" si="130"/>
        <v>1235022197.5</v>
      </c>
      <c r="P181" s="486">
        <f t="shared" si="130"/>
        <v>1239744552.375</v>
      </c>
      <c r="Q181" s="486">
        <f t="shared" si="130"/>
        <v>1244466907.25</v>
      </c>
      <c r="R181" s="486">
        <f>R178+R179-R180</f>
        <v>1249189262.125</v>
      </c>
      <c r="S181" s="624">
        <f>S178+S179-S180</f>
        <v>1229911617</v>
      </c>
      <c r="T181" s="786"/>
      <c r="U181" s="600"/>
      <c r="V181" s="612"/>
      <c r="W181" s="597"/>
      <c r="Y181" s="600">
        <f t="shared" ref="Y181:AE181" si="131">Y178+Y179-Y180</f>
        <v>1225111617</v>
      </c>
      <c r="Z181" s="600"/>
      <c r="AA181" s="600">
        <f t="shared" si="131"/>
        <v>1220311617</v>
      </c>
      <c r="AB181" s="600"/>
      <c r="AC181" s="600">
        <f t="shared" si="131"/>
        <v>1215511617</v>
      </c>
      <c r="AD181" s="600"/>
      <c r="AE181" s="600">
        <f t="shared" si="131"/>
        <v>1210711617</v>
      </c>
      <c r="AF181" s="600"/>
      <c r="AG181" s="600"/>
      <c r="AH181" s="600">
        <f t="shared" si="118"/>
        <v>0</v>
      </c>
    </row>
    <row r="182" spans="1:37">
      <c r="F182" s="578"/>
      <c r="G182" s="600">
        <f>G96-G181</f>
        <v>0</v>
      </c>
      <c r="H182" s="600">
        <f>H96-H181</f>
        <v>-4.1666507720947266E-2</v>
      </c>
      <c r="I182" s="600">
        <f t="shared" ref="I182:P182" si="132">I96-I181</f>
        <v>8.3333492279052734E-2</v>
      </c>
      <c r="J182" s="600">
        <f t="shared" si="132"/>
        <v>0.20833349227905273</v>
      </c>
      <c r="K182" s="600">
        <f t="shared" si="132"/>
        <v>0.33333349227905273</v>
      </c>
      <c r="L182" s="600">
        <f t="shared" si="132"/>
        <v>0.45833349227905273</v>
      </c>
      <c r="M182" s="600">
        <f t="shared" si="132"/>
        <v>-0.41666650772094727</v>
      </c>
      <c r="N182" s="600">
        <f t="shared" si="132"/>
        <v>-0.29166650772094727</v>
      </c>
      <c r="O182" s="600">
        <f t="shared" si="132"/>
        <v>-0.16666650772094727</v>
      </c>
      <c r="P182" s="600">
        <f t="shared" si="132"/>
        <v>-4.1666507720947266E-2</v>
      </c>
      <c r="Q182" s="600">
        <f>Q96-Q181</f>
        <v>8.3333492279052734E-2</v>
      </c>
      <c r="R182" s="600">
        <f t="shared" ref="R182" si="133">R96-R181</f>
        <v>0.20833349227905273</v>
      </c>
      <c r="S182" s="600">
        <f>S96-S181</f>
        <v>0.33333349227905273</v>
      </c>
      <c r="T182" s="807"/>
      <c r="U182" s="600"/>
      <c r="V182" s="603"/>
      <c r="AH182" s="600">
        <f t="shared" si="118"/>
        <v>0</v>
      </c>
    </row>
    <row r="183" spans="1:37">
      <c r="A183" s="607" t="s">
        <v>1254</v>
      </c>
      <c r="B183" s="617"/>
      <c r="F183" s="578"/>
      <c r="S183" s="603"/>
      <c r="U183" s="600"/>
      <c r="V183" s="603"/>
      <c r="AH183" s="600">
        <f t="shared" si="118"/>
        <v>0</v>
      </c>
    </row>
    <row r="184" spans="1:37">
      <c r="A184" s="608" t="s">
        <v>1255</v>
      </c>
      <c r="B184" s="608">
        <v>0</v>
      </c>
      <c r="E184" s="486"/>
      <c r="F184" s="578"/>
      <c r="G184" s="486"/>
      <c r="H184" s="486">
        <f>G187</f>
        <v>0</v>
      </c>
      <c r="I184" s="486">
        <f t="shared" ref="I184:Q184" si="134">H187</f>
        <v>0</v>
      </c>
      <c r="J184" s="486">
        <f t="shared" si="134"/>
        <v>12000000</v>
      </c>
      <c r="K184" s="486">
        <f t="shared" si="134"/>
        <v>12000000</v>
      </c>
      <c r="L184" s="486">
        <f t="shared" si="134"/>
        <v>12000000</v>
      </c>
      <c r="M184" s="486">
        <f t="shared" si="134"/>
        <v>24000000</v>
      </c>
      <c r="N184" s="486">
        <f>M187</f>
        <v>24000000</v>
      </c>
      <c r="O184" s="486">
        <f>N187</f>
        <v>24000000</v>
      </c>
      <c r="P184" s="486">
        <f>O187</f>
        <v>24000000</v>
      </c>
      <c r="Q184" s="486">
        <f t="shared" si="134"/>
        <v>24000000</v>
      </c>
      <c r="R184" s="486">
        <f>Q187</f>
        <v>24000000</v>
      </c>
      <c r="S184" s="486">
        <f>R187</f>
        <v>24000000</v>
      </c>
      <c r="T184" s="786"/>
      <c r="U184" s="600"/>
      <c r="V184" s="624"/>
      <c r="W184" s="618"/>
      <c r="Y184" s="600">
        <f>S187</f>
        <v>24000000</v>
      </c>
      <c r="Z184" s="600"/>
      <c r="AA184" s="600">
        <f>Y187</f>
        <v>24000000</v>
      </c>
      <c r="AB184" s="600"/>
      <c r="AC184" s="600">
        <f>AA187</f>
        <v>24000000</v>
      </c>
      <c r="AD184" s="600"/>
      <c r="AE184" s="600">
        <f>AC187</f>
        <v>24000000</v>
      </c>
      <c r="AF184" s="600"/>
      <c r="AG184" s="600"/>
      <c r="AH184" s="600">
        <f t="shared" si="118"/>
        <v>0</v>
      </c>
    </row>
    <row r="185" spans="1:37">
      <c r="A185" s="608" t="s">
        <v>816</v>
      </c>
      <c r="B185" s="608">
        <v>0</v>
      </c>
      <c r="C185" s="487"/>
      <c r="D185" s="487">
        <v>6608295000</v>
      </c>
      <c r="E185" s="486">
        <v>420088500</v>
      </c>
      <c r="F185" s="575">
        <v>420088500</v>
      </c>
      <c r="G185" s="486"/>
      <c r="H185" s="486"/>
      <c r="I185" s="486">
        <v>12000000</v>
      </c>
      <c r="J185" s="486"/>
      <c r="K185" s="486"/>
      <c r="L185" s="486">
        <v>12000000</v>
      </c>
      <c r="M185" s="486"/>
      <c r="N185" s="486"/>
      <c r="O185" s="486"/>
      <c r="P185" s="486"/>
      <c r="Q185" s="486"/>
      <c r="R185" s="486"/>
      <c r="S185" s="624"/>
      <c r="T185" s="786"/>
      <c r="U185" s="600"/>
      <c r="V185" s="624"/>
      <c r="Y185" s="487"/>
      <c r="Z185" s="487"/>
      <c r="AA185" s="487"/>
      <c r="AB185" s="487"/>
      <c r="AC185" s="487"/>
      <c r="AD185" s="487"/>
      <c r="AE185" s="487"/>
      <c r="AF185" s="487"/>
      <c r="AG185" s="487"/>
      <c r="AH185" s="600">
        <f t="shared" si="118"/>
        <v>0</v>
      </c>
    </row>
    <row r="186" spans="1:37">
      <c r="A186" s="608" t="s">
        <v>817</v>
      </c>
      <c r="B186" s="608">
        <v>0</v>
      </c>
      <c r="E186" s="486">
        <v>0</v>
      </c>
      <c r="F186" s="578">
        <v>0</v>
      </c>
      <c r="G186" s="486">
        <v>0</v>
      </c>
      <c r="H186" s="486"/>
      <c r="I186" s="486"/>
      <c r="J186" s="486"/>
      <c r="K186" s="486"/>
      <c r="L186" s="486"/>
      <c r="M186" s="486"/>
      <c r="N186" s="486"/>
      <c r="O186" s="486"/>
      <c r="P186" s="486"/>
      <c r="Q186" s="486"/>
      <c r="R186" s="486"/>
      <c r="S186" s="624"/>
      <c r="T186" s="786"/>
      <c r="U186" s="600"/>
      <c r="V186" s="624"/>
      <c r="W186" s="621"/>
      <c r="AH186" s="600">
        <f t="shared" si="118"/>
        <v>0</v>
      </c>
    </row>
    <row r="187" spans="1:37">
      <c r="A187" s="608" t="s">
        <v>1256</v>
      </c>
      <c r="B187" s="608">
        <v>0</v>
      </c>
      <c r="C187" s="487"/>
      <c r="D187" s="487">
        <v>0</v>
      </c>
      <c r="E187" s="486">
        <f>E184+E185-E186</f>
        <v>420088500</v>
      </c>
      <c r="F187" s="575">
        <v>420088500</v>
      </c>
      <c r="G187" s="486">
        <f>G184+G185-G186</f>
        <v>0</v>
      </c>
      <c r="H187" s="486">
        <f>H184+H185-H186</f>
        <v>0</v>
      </c>
      <c r="I187" s="486">
        <f t="shared" ref="I187:Q187" si="135">I184+I185-I186</f>
        <v>12000000</v>
      </c>
      <c r="J187" s="486">
        <f t="shared" si="135"/>
        <v>12000000</v>
      </c>
      <c r="K187" s="486">
        <f t="shared" si="135"/>
        <v>12000000</v>
      </c>
      <c r="L187" s="486">
        <f t="shared" si="135"/>
        <v>24000000</v>
      </c>
      <c r="M187" s="486">
        <f t="shared" si="135"/>
        <v>24000000</v>
      </c>
      <c r="N187" s="486">
        <f t="shared" si="135"/>
        <v>24000000</v>
      </c>
      <c r="O187" s="486">
        <f t="shared" si="135"/>
        <v>24000000</v>
      </c>
      <c r="P187" s="486">
        <f t="shared" si="135"/>
        <v>24000000</v>
      </c>
      <c r="Q187" s="486">
        <f t="shared" si="135"/>
        <v>24000000</v>
      </c>
      <c r="R187" s="486">
        <f>R184+R185-R186</f>
        <v>24000000</v>
      </c>
      <c r="S187" s="624">
        <f>S184+S185-S186</f>
        <v>24000000</v>
      </c>
      <c r="T187" s="786"/>
      <c r="U187" s="600"/>
      <c r="V187" s="624"/>
      <c r="Y187" s="600">
        <f t="shared" ref="Y187:AE187" si="136">Y184+Y185-Y186</f>
        <v>24000000</v>
      </c>
      <c r="Z187" s="600"/>
      <c r="AA187" s="600">
        <f t="shared" si="136"/>
        <v>24000000</v>
      </c>
      <c r="AB187" s="600"/>
      <c r="AC187" s="600">
        <f t="shared" si="136"/>
        <v>24000000</v>
      </c>
      <c r="AD187" s="600"/>
      <c r="AE187" s="600">
        <f t="shared" si="136"/>
        <v>24000000</v>
      </c>
      <c r="AF187" s="600"/>
      <c r="AG187" s="600"/>
      <c r="AH187" s="600">
        <f t="shared" si="118"/>
        <v>0</v>
      </c>
    </row>
    <row r="188" spans="1:37">
      <c r="F188" s="578"/>
      <c r="G188" s="486"/>
      <c r="H188" s="486"/>
      <c r="I188" s="486"/>
      <c r="J188" s="486"/>
      <c r="K188" s="486"/>
      <c r="L188" s="486"/>
      <c r="M188" s="486"/>
      <c r="N188" s="486"/>
      <c r="O188" s="486"/>
      <c r="P188" s="486"/>
      <c r="Q188" s="486"/>
      <c r="R188" s="486"/>
      <c r="S188" s="624"/>
      <c r="T188" s="786"/>
      <c r="U188" s="600"/>
      <c r="V188" s="624"/>
    </row>
    <row r="189" spans="1:37" s="611" customFormat="1">
      <c r="A189" s="625" t="s">
        <v>1260</v>
      </c>
      <c r="B189" s="626">
        <v>138620833</v>
      </c>
      <c r="C189" s="486"/>
      <c r="D189" s="486"/>
      <c r="E189" s="486">
        <v>334320841</v>
      </c>
      <c r="F189" s="627">
        <v>334320841</v>
      </c>
      <c r="G189" s="486"/>
      <c r="H189" s="486">
        <f>+G192</f>
        <v>129356641.5</v>
      </c>
      <c r="I189" s="486">
        <f>+H192</f>
        <v>141134286.625</v>
      </c>
      <c r="J189" s="486">
        <f t="shared" ref="J189:Q189" si="137">+I192</f>
        <v>154611931.75</v>
      </c>
      <c r="K189" s="486">
        <f t="shared" si="137"/>
        <v>167889576.875</v>
      </c>
      <c r="L189" s="486">
        <f t="shared" si="137"/>
        <v>181167222</v>
      </c>
      <c r="M189" s="486">
        <f t="shared" si="137"/>
        <v>199894867.125</v>
      </c>
      <c r="N189" s="486">
        <f>+M192</f>
        <v>218422512.25</v>
      </c>
      <c r="O189" s="486">
        <f>+N192</f>
        <v>236950157.375</v>
      </c>
      <c r="P189" s="486">
        <f>+O192</f>
        <v>256227802.5</v>
      </c>
      <c r="Q189" s="486">
        <f t="shared" si="137"/>
        <v>275505447.625</v>
      </c>
      <c r="R189" s="486">
        <f>+Q192</f>
        <v>294783092.75</v>
      </c>
      <c r="S189" s="624">
        <f>+R192</f>
        <v>314060737.875</v>
      </c>
      <c r="T189" s="786"/>
      <c r="U189" s="600"/>
      <c r="V189" s="624"/>
      <c r="W189" s="486"/>
      <c r="X189" s="1003"/>
      <c r="Y189" s="486">
        <f t="shared" ref="Y189:AE189" si="138">Y184/Y194</f>
        <v>4800000</v>
      </c>
      <c r="Z189" s="486"/>
      <c r="AA189" s="486">
        <f t="shared" si="138"/>
        <v>4800000</v>
      </c>
      <c r="AB189" s="486"/>
      <c r="AC189" s="486">
        <f t="shared" si="138"/>
        <v>4800000</v>
      </c>
      <c r="AD189" s="486"/>
      <c r="AE189" s="486">
        <f t="shared" si="138"/>
        <v>4800000</v>
      </c>
      <c r="AF189" s="486"/>
      <c r="AG189" s="486"/>
      <c r="AH189" s="486"/>
      <c r="AI189" s="486"/>
      <c r="AJ189" s="486"/>
      <c r="AK189" s="486"/>
    </row>
    <row r="190" spans="1:37">
      <c r="A190" s="625" t="s">
        <v>816</v>
      </c>
      <c r="B190" s="608">
        <v>97850004</v>
      </c>
      <c r="C190" s="487"/>
      <c r="D190" s="487">
        <v>1321659000</v>
      </c>
      <c r="E190" s="486">
        <v>71082119</v>
      </c>
      <c r="F190" s="575">
        <v>71082119</v>
      </c>
      <c r="G190" s="486">
        <v>97850004</v>
      </c>
      <c r="H190" s="486">
        <f>H57</f>
        <v>11777645.125</v>
      </c>
      <c r="I190" s="486">
        <f t="shared" ref="I190:Q190" si="139">I57</f>
        <v>13477645.125</v>
      </c>
      <c r="J190" s="486">
        <f t="shared" si="139"/>
        <v>13277645.125</v>
      </c>
      <c r="K190" s="486">
        <f t="shared" si="139"/>
        <v>13277645.125</v>
      </c>
      <c r="L190" s="486">
        <f t="shared" si="139"/>
        <v>18727645.125</v>
      </c>
      <c r="M190" s="486">
        <f t="shared" si="139"/>
        <v>18527645.125</v>
      </c>
      <c r="N190" s="486">
        <f t="shared" si="139"/>
        <v>18527645.125</v>
      </c>
      <c r="O190" s="486">
        <f t="shared" si="139"/>
        <v>19277645.125</v>
      </c>
      <c r="P190" s="486">
        <f t="shared" si="139"/>
        <v>19277645.125</v>
      </c>
      <c r="Q190" s="486">
        <f t="shared" si="139"/>
        <v>19277645.125</v>
      </c>
      <c r="R190" s="486">
        <f>R57</f>
        <v>19277645.125</v>
      </c>
      <c r="S190" s="486">
        <f>S57</f>
        <v>19277645.125</v>
      </c>
      <c r="T190" s="786"/>
      <c r="U190" s="600"/>
      <c r="V190" s="624"/>
      <c r="Y190" s="487">
        <f t="shared" ref="Y190:AE190" si="140">Y185/Y194</f>
        <v>0</v>
      </c>
      <c r="Z190" s="487"/>
      <c r="AA190" s="487">
        <f t="shared" si="140"/>
        <v>0</v>
      </c>
      <c r="AB190" s="487"/>
      <c r="AC190" s="487">
        <f t="shared" si="140"/>
        <v>0</v>
      </c>
      <c r="AD190" s="487"/>
      <c r="AE190" s="487">
        <f t="shared" si="140"/>
        <v>0</v>
      </c>
      <c r="AF190" s="487"/>
      <c r="AG190" s="487"/>
    </row>
    <row r="191" spans="1:37">
      <c r="A191" s="625" t="s">
        <v>817</v>
      </c>
      <c r="B191" s="608">
        <v>0</v>
      </c>
      <c r="E191" s="486">
        <v>0</v>
      </c>
      <c r="F191" s="578">
        <v>0</v>
      </c>
      <c r="G191" s="486">
        <v>0</v>
      </c>
      <c r="H191" s="486"/>
      <c r="I191" s="486"/>
      <c r="J191" s="486"/>
      <c r="K191" s="486"/>
      <c r="L191" s="486"/>
      <c r="M191" s="486"/>
      <c r="N191" s="486"/>
      <c r="O191" s="486"/>
      <c r="P191" s="486"/>
      <c r="Q191" s="486"/>
      <c r="R191" s="486"/>
      <c r="S191" s="624"/>
      <c r="T191" s="786"/>
      <c r="U191" s="600"/>
      <c r="V191" s="624"/>
    </row>
    <row r="192" spans="1:37">
      <c r="A192" s="625" t="s">
        <v>1261</v>
      </c>
      <c r="B192" s="608">
        <v>236470837</v>
      </c>
      <c r="C192" s="487"/>
      <c r="D192" s="487">
        <v>1321659000</v>
      </c>
      <c r="E192" s="486">
        <f>E189+E190-E191</f>
        <v>405402960</v>
      </c>
      <c r="F192" s="575">
        <v>405402960</v>
      </c>
      <c r="G192" s="486">
        <f>G57+G189</f>
        <v>129356641.5</v>
      </c>
      <c r="H192" s="486">
        <f>H189+H190-H191</f>
        <v>141134286.625</v>
      </c>
      <c r="I192" s="486">
        <f t="shared" ref="I192:Q192" si="141">I189+I190-I191</f>
        <v>154611931.75</v>
      </c>
      <c r="J192" s="486">
        <f t="shared" si="141"/>
        <v>167889576.875</v>
      </c>
      <c r="K192" s="486">
        <f t="shared" si="141"/>
        <v>181167222</v>
      </c>
      <c r="L192" s="486">
        <f t="shared" si="141"/>
        <v>199894867.125</v>
      </c>
      <c r="M192" s="486">
        <f t="shared" si="141"/>
        <v>218422512.25</v>
      </c>
      <c r="N192" s="486">
        <f t="shared" si="141"/>
        <v>236950157.375</v>
      </c>
      <c r="O192" s="486">
        <f t="shared" si="141"/>
        <v>256227802.5</v>
      </c>
      <c r="P192" s="486">
        <f t="shared" si="141"/>
        <v>275505447.625</v>
      </c>
      <c r="Q192" s="486">
        <f t="shared" si="141"/>
        <v>294783092.75</v>
      </c>
      <c r="R192" s="486">
        <f>R189+R190-R191</f>
        <v>314060737.875</v>
      </c>
      <c r="S192" s="624">
        <f>S189+S190-S191</f>
        <v>333338383</v>
      </c>
      <c r="T192" s="786"/>
      <c r="U192" s="600"/>
      <c r="V192" s="624"/>
      <c r="Y192" s="600">
        <f t="shared" ref="Y192:AE192" si="142">Y189+Y190-Y191</f>
        <v>4800000</v>
      </c>
      <c r="Z192" s="600"/>
      <c r="AA192" s="600">
        <f t="shared" si="142"/>
        <v>4800000</v>
      </c>
      <c r="AB192" s="600"/>
      <c r="AC192" s="600">
        <f t="shared" si="142"/>
        <v>4800000</v>
      </c>
      <c r="AD192" s="600"/>
      <c r="AE192" s="600">
        <f t="shared" si="142"/>
        <v>4800000</v>
      </c>
      <c r="AF192" s="600"/>
      <c r="AG192" s="600"/>
    </row>
    <row r="193" spans="1:45">
      <c r="F193" s="578"/>
      <c r="G193" s="486">
        <f>G57-G192</f>
        <v>0</v>
      </c>
      <c r="H193" s="486">
        <f>H57-H190</f>
        <v>0</v>
      </c>
      <c r="I193" s="486">
        <f t="shared" ref="I193:Q193" si="143">I57-I190</f>
        <v>0</v>
      </c>
      <c r="J193" s="486">
        <f t="shared" si="143"/>
        <v>0</v>
      </c>
      <c r="K193" s="486">
        <f t="shared" si="143"/>
        <v>0</v>
      </c>
      <c r="L193" s="486">
        <f t="shared" si="143"/>
        <v>0</v>
      </c>
      <c r="M193" s="486">
        <f t="shared" si="143"/>
        <v>0</v>
      </c>
      <c r="N193" s="486">
        <f t="shared" si="143"/>
        <v>0</v>
      </c>
      <c r="O193" s="486">
        <f t="shared" si="143"/>
        <v>0</v>
      </c>
      <c r="P193" s="486">
        <f t="shared" si="143"/>
        <v>0</v>
      </c>
      <c r="Q193" s="486">
        <f t="shared" si="143"/>
        <v>0</v>
      </c>
      <c r="R193" s="486">
        <f>R57-R190</f>
        <v>0</v>
      </c>
      <c r="S193" s="486">
        <f>S57-S190</f>
        <v>0</v>
      </c>
      <c r="T193" s="786"/>
      <c r="U193" s="600"/>
      <c r="V193" s="624"/>
    </row>
    <row r="194" spans="1:45">
      <c r="A194" s="608" t="s">
        <v>1262</v>
      </c>
      <c r="B194" s="608"/>
      <c r="C194" s="487"/>
      <c r="D194" s="487">
        <v>5</v>
      </c>
      <c r="E194" s="487"/>
      <c r="F194" s="575"/>
      <c r="G194" s="487"/>
      <c r="H194" s="487">
        <v>60</v>
      </c>
      <c r="I194" s="487">
        <v>60</v>
      </c>
      <c r="J194" s="487">
        <v>60</v>
      </c>
      <c r="K194" s="487">
        <v>60</v>
      </c>
      <c r="L194" s="487">
        <v>60</v>
      </c>
      <c r="M194" s="487">
        <v>60</v>
      </c>
      <c r="N194" s="487">
        <v>60</v>
      </c>
      <c r="O194" s="487">
        <v>60</v>
      </c>
      <c r="P194" s="487">
        <v>60</v>
      </c>
      <c r="Q194" s="614">
        <v>60</v>
      </c>
      <c r="R194" s="614">
        <v>60</v>
      </c>
      <c r="S194" s="614">
        <v>60</v>
      </c>
      <c r="T194" s="788"/>
      <c r="U194" s="600"/>
      <c r="V194" s="614"/>
      <c r="Y194" s="487">
        <v>5</v>
      </c>
      <c r="Z194" s="487"/>
      <c r="AA194" s="487">
        <v>5</v>
      </c>
      <c r="AB194" s="487"/>
      <c r="AC194" s="487">
        <v>5</v>
      </c>
      <c r="AD194" s="487"/>
      <c r="AE194" s="487">
        <v>5</v>
      </c>
      <c r="AF194" s="487"/>
      <c r="AG194" s="487"/>
    </row>
    <row r="195" spans="1:45">
      <c r="A195" s="608" t="s">
        <v>1263</v>
      </c>
      <c r="B195" s="608"/>
      <c r="C195" s="628"/>
      <c r="D195" s="628">
        <v>0.03</v>
      </c>
      <c r="E195" s="628"/>
      <c r="F195" s="629"/>
      <c r="G195" s="628"/>
      <c r="H195" s="628">
        <v>5.5E-2</v>
      </c>
      <c r="I195" s="628">
        <v>5.5E-2</v>
      </c>
      <c r="J195" s="628">
        <v>5.5E-2</v>
      </c>
      <c r="K195" s="628">
        <v>5.5E-2</v>
      </c>
      <c r="L195" s="628">
        <v>5.5E-2</v>
      </c>
      <c r="M195" s="628">
        <v>5.5E-2</v>
      </c>
      <c r="N195" s="628">
        <v>5.5E-2</v>
      </c>
      <c r="O195" s="628">
        <v>5.5E-2</v>
      </c>
      <c r="P195" s="628">
        <v>5.5E-2</v>
      </c>
      <c r="Q195" s="628">
        <v>5.5E-2</v>
      </c>
      <c r="R195" s="628">
        <v>5.5E-2</v>
      </c>
      <c r="S195" s="628">
        <v>5.5E-2</v>
      </c>
      <c r="T195" s="810"/>
      <c r="U195" s="600"/>
      <c r="V195" s="628">
        <v>5.5E-2</v>
      </c>
      <c r="X195" s="1003">
        <v>5.5E-2</v>
      </c>
      <c r="Y195" s="628">
        <v>6.0900000000000003E-2</v>
      </c>
      <c r="Z195" s="628"/>
      <c r="AA195" s="628">
        <v>6.0900000000000003E-2</v>
      </c>
      <c r="AB195" s="628"/>
      <c r="AC195" s="628">
        <v>6.0900000000000003E-2</v>
      </c>
      <c r="AD195" s="628"/>
      <c r="AE195" s="628">
        <v>6.0900000000000003E-2</v>
      </c>
      <c r="AF195" s="628"/>
      <c r="AG195" s="628"/>
    </row>
    <row r="196" spans="1:45">
      <c r="F196" s="578"/>
      <c r="Q196" s="603"/>
      <c r="R196" s="603"/>
      <c r="S196" s="603"/>
      <c r="U196" s="600"/>
      <c r="V196" s="603"/>
      <c r="Y196" s="487"/>
      <c r="Z196" s="487"/>
      <c r="AA196" s="487"/>
      <c r="AB196" s="487"/>
      <c r="AC196" s="487"/>
      <c r="AD196" s="487"/>
      <c r="AE196" s="487"/>
      <c r="AF196" s="487"/>
    </row>
    <row r="197" spans="1:45">
      <c r="C197" s="630"/>
      <c r="D197" s="630"/>
      <c r="E197" s="630"/>
      <c r="F197" s="631"/>
      <c r="G197" s="630"/>
      <c r="H197" s="630"/>
      <c r="I197" s="630"/>
      <c r="J197" s="630"/>
      <c r="K197" s="630"/>
      <c r="L197" s="630"/>
      <c r="M197" s="630"/>
      <c r="N197" s="630"/>
      <c r="O197" s="630"/>
      <c r="P197" s="630"/>
      <c r="Q197" s="632"/>
      <c r="R197" s="632"/>
      <c r="S197" s="632"/>
      <c r="T197" s="811"/>
      <c r="U197" s="600"/>
      <c r="V197" s="632"/>
      <c r="Y197" s="487"/>
      <c r="Z197" s="487"/>
      <c r="AA197" s="487"/>
      <c r="AB197" s="487"/>
      <c r="AC197" s="487"/>
      <c r="AD197" s="487"/>
      <c r="AE197" s="487"/>
      <c r="AF197" s="487"/>
    </row>
    <row r="198" spans="1:45">
      <c r="C198" s="487"/>
      <c r="D198" s="487"/>
      <c r="E198" s="487"/>
      <c r="F198" s="575"/>
      <c r="G198" s="487"/>
      <c r="H198" s="487"/>
      <c r="I198" s="487"/>
      <c r="J198" s="487"/>
      <c r="K198" s="487"/>
      <c r="L198" s="487"/>
      <c r="M198" s="487"/>
      <c r="N198" s="487"/>
      <c r="O198" s="487"/>
      <c r="P198" s="487"/>
      <c r="Q198" s="614"/>
      <c r="R198" s="614"/>
      <c r="S198" s="614"/>
      <c r="T198" s="788"/>
      <c r="U198" s="600"/>
      <c r="V198" s="614"/>
      <c r="Y198" s="487"/>
      <c r="Z198" s="487"/>
      <c r="AA198" s="487"/>
      <c r="AB198" s="487"/>
      <c r="AC198" s="487"/>
      <c r="AD198" s="487"/>
      <c r="AE198" s="487"/>
      <c r="AF198" s="487"/>
    </row>
    <row r="199" spans="1:45" hidden="1">
      <c r="A199" s="490" t="s">
        <v>1264</v>
      </c>
      <c r="B199" s="633"/>
      <c r="C199" s="634"/>
      <c r="D199" s="634"/>
      <c r="E199" s="634"/>
      <c r="F199" s="635"/>
      <c r="G199" s="634"/>
      <c r="H199" s="634"/>
      <c r="I199" s="634"/>
      <c r="J199" s="634"/>
      <c r="K199" s="634"/>
      <c r="L199" s="634"/>
      <c r="M199" s="634"/>
      <c r="N199" s="634"/>
      <c r="O199" s="634"/>
      <c r="P199" s="634"/>
      <c r="Q199" s="636"/>
      <c r="R199" s="636"/>
      <c r="S199" s="636"/>
      <c r="T199" s="812"/>
      <c r="U199" s="600"/>
      <c r="V199" s="636"/>
      <c r="X199" s="1014"/>
    </row>
    <row r="200" spans="1:45" hidden="1">
      <c r="A200" s="637" t="s">
        <v>1265</v>
      </c>
      <c r="B200" s="638"/>
      <c r="C200" s="639"/>
      <c r="D200" s="639">
        <v>1535411000000</v>
      </c>
      <c r="E200" s="639"/>
      <c r="F200" s="640"/>
      <c r="G200" s="639"/>
      <c r="H200" s="639"/>
      <c r="I200" s="639"/>
      <c r="J200" s="639"/>
      <c r="K200" s="639"/>
      <c r="L200" s="639"/>
      <c r="M200" s="639"/>
      <c r="N200" s="639"/>
      <c r="O200" s="639"/>
      <c r="P200" s="639"/>
      <c r="Q200" s="641"/>
      <c r="R200" s="641"/>
      <c r="S200" s="641"/>
      <c r="T200" s="813"/>
      <c r="U200" s="600"/>
      <c r="V200" s="641"/>
      <c r="X200" s="1015"/>
      <c r="Y200" s="487"/>
      <c r="Z200" s="487"/>
      <c r="AA200" s="487"/>
      <c r="AB200" s="487"/>
      <c r="AC200" s="487"/>
      <c r="AD200" s="487"/>
      <c r="AE200" s="487"/>
      <c r="AF200" s="487"/>
    </row>
    <row r="201" spans="1:45" ht="14.5" hidden="1">
      <c r="A201" s="642" t="s">
        <v>1266</v>
      </c>
      <c r="B201" s="643"/>
      <c r="C201" s="644"/>
      <c r="D201" s="644">
        <v>0.23117429001909207</v>
      </c>
      <c r="E201" s="644"/>
      <c r="F201" s="645"/>
      <c r="G201" s="644"/>
      <c r="H201" s="644"/>
      <c r="I201" s="644"/>
      <c r="J201" s="644"/>
      <c r="K201" s="644"/>
      <c r="L201" s="644"/>
      <c r="M201" s="644"/>
      <c r="N201" s="644"/>
      <c r="O201" s="644"/>
      <c r="P201" s="644"/>
      <c r="Q201" s="646"/>
      <c r="R201" s="646"/>
      <c r="S201" s="646"/>
      <c r="T201" s="814"/>
      <c r="U201" s="600"/>
      <c r="V201" s="646"/>
      <c r="X201" s="1016"/>
      <c r="Y201" s="487"/>
      <c r="Z201" s="487"/>
      <c r="AA201" s="487"/>
      <c r="AB201" s="487"/>
      <c r="AC201" s="487"/>
      <c r="AD201" s="487"/>
      <c r="AE201" s="487"/>
      <c r="AF201" s="487"/>
    </row>
    <row r="202" spans="1:45" s="484" customFormat="1" hidden="1">
      <c r="A202" s="642" t="s">
        <v>1267</v>
      </c>
      <c r="B202" s="638"/>
      <c r="C202" s="639"/>
      <c r="D202" s="639">
        <v>1278007000000</v>
      </c>
      <c r="E202" s="639"/>
      <c r="F202" s="640"/>
      <c r="G202" s="639"/>
      <c r="H202" s="639"/>
      <c r="I202" s="639"/>
      <c r="J202" s="639"/>
      <c r="K202" s="639"/>
      <c r="L202" s="639"/>
      <c r="M202" s="639"/>
      <c r="N202" s="639"/>
      <c r="O202" s="639"/>
      <c r="P202" s="639"/>
      <c r="Q202" s="641"/>
      <c r="R202" s="641"/>
      <c r="S202" s="641"/>
      <c r="T202" s="813"/>
      <c r="U202" s="600"/>
      <c r="V202" s="641"/>
      <c r="W202" s="488"/>
      <c r="X202" s="1015"/>
      <c r="AL202" s="489"/>
      <c r="AM202" s="489"/>
      <c r="AN202" s="489"/>
      <c r="AO202" s="489"/>
      <c r="AP202" s="489"/>
      <c r="AQ202" s="489"/>
      <c r="AR202" s="489"/>
      <c r="AS202" s="489"/>
    </row>
    <row r="203" spans="1:45" s="484" customFormat="1" ht="14.5" hidden="1">
      <c r="A203" s="642" t="s">
        <v>1266</v>
      </c>
      <c r="B203" s="643"/>
      <c r="C203" s="644"/>
      <c r="D203" s="644">
        <v>0.29927350879190584</v>
      </c>
      <c r="E203" s="644"/>
      <c r="F203" s="645"/>
      <c r="G203" s="644"/>
      <c r="H203" s="644"/>
      <c r="I203" s="644"/>
      <c r="J203" s="644"/>
      <c r="K203" s="644"/>
      <c r="L203" s="644"/>
      <c r="M203" s="644"/>
      <c r="N203" s="644"/>
      <c r="O203" s="644"/>
      <c r="P203" s="644"/>
      <c r="Q203" s="646"/>
      <c r="R203" s="646"/>
      <c r="S203" s="646"/>
      <c r="T203" s="814"/>
      <c r="U203" s="600"/>
      <c r="V203" s="646"/>
      <c r="W203" s="488"/>
      <c r="X203" s="1016"/>
      <c r="Y203" s="487"/>
      <c r="Z203" s="487"/>
      <c r="AA203" s="487"/>
      <c r="AB203" s="487"/>
      <c r="AC203" s="487"/>
      <c r="AD203" s="487"/>
      <c r="AE203" s="487"/>
      <c r="AF203" s="487"/>
      <c r="AL203" s="489"/>
      <c r="AM203" s="489"/>
      <c r="AN203" s="489"/>
      <c r="AO203" s="489"/>
      <c r="AP203" s="489"/>
      <c r="AQ203" s="489"/>
      <c r="AR203" s="489"/>
      <c r="AS203" s="489"/>
    </row>
    <row r="204" spans="1:45" s="484" customFormat="1" hidden="1">
      <c r="A204" s="642" t="s">
        <v>1268</v>
      </c>
      <c r="B204" s="647"/>
      <c r="C204" s="648"/>
      <c r="D204" s="648">
        <v>3916937000000</v>
      </c>
      <c r="E204" s="648"/>
      <c r="F204" s="649"/>
      <c r="G204" s="648"/>
      <c r="H204" s="648"/>
      <c r="I204" s="648"/>
      <c r="J204" s="648"/>
      <c r="K204" s="648"/>
      <c r="L204" s="648"/>
      <c r="M204" s="648"/>
      <c r="N204" s="648"/>
      <c r="O204" s="648"/>
      <c r="P204" s="648"/>
      <c r="Q204" s="650"/>
      <c r="R204" s="650"/>
      <c r="S204" s="650"/>
      <c r="T204" s="815"/>
      <c r="U204" s="600"/>
      <c r="V204" s="650"/>
      <c r="W204" s="488"/>
      <c r="X204" s="1015"/>
      <c r="AL204" s="489"/>
      <c r="AM204" s="489"/>
      <c r="AN204" s="489"/>
      <c r="AO204" s="489"/>
      <c r="AP204" s="489"/>
      <c r="AQ204" s="489"/>
      <c r="AR204" s="489"/>
      <c r="AS204" s="489"/>
    </row>
    <row r="205" spans="1:45" s="484" customFormat="1" ht="14.5" hidden="1">
      <c r="A205" s="651" t="s">
        <v>1266</v>
      </c>
      <c r="B205" s="643"/>
      <c r="C205" s="644"/>
      <c r="D205" s="644">
        <v>0.62244679017950344</v>
      </c>
      <c r="E205" s="644"/>
      <c r="F205" s="645"/>
      <c r="G205" s="644"/>
      <c r="H205" s="644"/>
      <c r="I205" s="644"/>
      <c r="J205" s="644"/>
      <c r="K205" s="644"/>
      <c r="L205" s="644"/>
      <c r="M205" s="644"/>
      <c r="N205" s="644"/>
      <c r="O205" s="644"/>
      <c r="P205" s="644"/>
      <c r="Q205" s="646"/>
      <c r="R205" s="646"/>
      <c r="S205" s="646"/>
      <c r="T205" s="814"/>
      <c r="U205" s="600"/>
      <c r="V205" s="646"/>
      <c r="W205" s="488"/>
      <c r="X205" s="1016"/>
      <c r="Y205" s="487"/>
      <c r="Z205" s="487"/>
      <c r="AA205" s="487"/>
      <c r="AB205" s="487"/>
      <c r="AC205" s="487"/>
      <c r="AD205" s="487"/>
      <c r="AE205" s="487"/>
      <c r="AF205" s="487"/>
      <c r="AL205" s="489"/>
      <c r="AM205" s="489"/>
      <c r="AN205" s="489"/>
      <c r="AO205" s="489"/>
      <c r="AP205" s="489"/>
      <c r="AQ205" s="489"/>
      <c r="AR205" s="489"/>
      <c r="AS205" s="489"/>
    </row>
    <row r="206" spans="1:45" s="484" customFormat="1" hidden="1">
      <c r="A206" s="652" t="s">
        <v>1269</v>
      </c>
      <c r="B206" s="653"/>
      <c r="C206" s="654"/>
      <c r="D206" s="654">
        <v>6730355000000</v>
      </c>
      <c r="E206" s="654"/>
      <c r="F206" s="655"/>
      <c r="G206" s="654"/>
      <c r="H206" s="654"/>
      <c r="I206" s="654"/>
      <c r="J206" s="654"/>
      <c r="K206" s="654"/>
      <c r="L206" s="654"/>
      <c r="M206" s="654"/>
      <c r="N206" s="654"/>
      <c r="O206" s="654"/>
      <c r="P206" s="654"/>
      <c r="Q206" s="656"/>
      <c r="R206" s="656"/>
      <c r="S206" s="656"/>
      <c r="T206" s="816"/>
      <c r="U206" s="600"/>
      <c r="V206" s="656"/>
      <c r="W206" s="488"/>
      <c r="X206" s="1017"/>
      <c r="Y206" s="628"/>
      <c r="Z206" s="628"/>
      <c r="AA206" s="628"/>
      <c r="AB206" s="628"/>
      <c r="AC206" s="628"/>
      <c r="AD206" s="628"/>
      <c r="AE206" s="628"/>
      <c r="AF206" s="628"/>
      <c r="AL206" s="489"/>
      <c r="AM206" s="489"/>
      <c r="AN206" s="489"/>
      <c r="AO206" s="489"/>
      <c r="AP206" s="489"/>
      <c r="AQ206" s="489"/>
      <c r="AR206" s="489"/>
      <c r="AS206" s="489"/>
    </row>
    <row r="207" spans="1:45" s="484" customFormat="1" hidden="1">
      <c r="A207" s="483"/>
      <c r="B207" s="483"/>
      <c r="F207" s="578"/>
      <c r="Q207" s="603"/>
      <c r="R207" s="603"/>
      <c r="S207" s="603"/>
      <c r="T207" s="799"/>
      <c r="U207" s="600"/>
      <c r="V207" s="603"/>
      <c r="W207" s="488"/>
      <c r="X207" s="1003"/>
      <c r="AL207" s="489"/>
      <c r="AM207" s="489"/>
      <c r="AN207" s="489"/>
      <c r="AO207" s="489"/>
      <c r="AP207" s="489"/>
      <c r="AQ207" s="489"/>
      <c r="AR207" s="489"/>
      <c r="AS207" s="489"/>
    </row>
    <row r="208" spans="1:45" s="484" customFormat="1" hidden="1">
      <c r="A208" s="483"/>
      <c r="B208" s="483"/>
      <c r="F208" s="578"/>
      <c r="Q208" s="603"/>
      <c r="R208" s="603"/>
      <c r="S208" s="603"/>
      <c r="T208" s="799"/>
      <c r="U208" s="600"/>
      <c r="V208" s="603"/>
      <c r="W208" s="488"/>
      <c r="X208" s="1003"/>
      <c r="AL208" s="489"/>
      <c r="AM208" s="489"/>
      <c r="AN208" s="489"/>
      <c r="AO208" s="489"/>
      <c r="AP208" s="489"/>
      <c r="AQ208" s="489"/>
      <c r="AR208" s="489"/>
      <c r="AS208" s="489"/>
    </row>
    <row r="209" spans="1:45" s="484" customFormat="1" hidden="1">
      <c r="A209" s="483"/>
      <c r="B209" s="483"/>
      <c r="F209" s="578"/>
      <c r="Q209" s="603"/>
      <c r="R209" s="603"/>
      <c r="S209" s="603"/>
      <c r="T209" s="799"/>
      <c r="U209" s="600"/>
      <c r="V209" s="603"/>
      <c r="W209" s="488"/>
      <c r="X209" s="1003"/>
      <c r="AA209" s="657"/>
      <c r="AB209" s="657"/>
      <c r="AC209" s="657"/>
      <c r="AD209" s="657"/>
      <c r="AE209" s="657"/>
      <c r="AF209" s="657"/>
      <c r="AL209" s="489"/>
      <c r="AM209" s="489"/>
      <c r="AN209" s="489"/>
      <c r="AO209" s="489"/>
      <c r="AP209" s="489"/>
      <c r="AQ209" s="489"/>
      <c r="AR209" s="489"/>
      <c r="AS209" s="489"/>
    </row>
    <row r="210" spans="1:45" s="484" customFormat="1" hidden="1">
      <c r="A210" s="658" t="s">
        <v>1270</v>
      </c>
      <c r="B210" s="659"/>
      <c r="C210" s="634"/>
      <c r="D210" s="634"/>
      <c r="E210" s="634"/>
      <c r="F210" s="635"/>
      <c r="G210" s="634"/>
      <c r="H210" s="634"/>
      <c r="I210" s="634"/>
      <c r="J210" s="634"/>
      <c r="K210" s="634"/>
      <c r="L210" s="634"/>
      <c r="M210" s="634"/>
      <c r="N210" s="634"/>
      <c r="O210" s="634"/>
      <c r="P210" s="634"/>
      <c r="Q210" s="636"/>
      <c r="R210" s="636"/>
      <c r="S210" s="636"/>
      <c r="T210" s="812"/>
      <c r="U210" s="600"/>
      <c r="V210" s="636"/>
      <c r="W210" s="660"/>
      <c r="X210" s="1014"/>
      <c r="Y210" s="634"/>
      <c r="Z210" s="634"/>
      <c r="AA210" s="661"/>
      <c r="AB210" s="661"/>
      <c r="AC210" s="661"/>
      <c r="AD210" s="661"/>
      <c r="AE210" s="662"/>
      <c r="AF210" s="661"/>
      <c r="AL210" s="489"/>
      <c r="AM210" s="489"/>
      <c r="AN210" s="489"/>
      <c r="AO210" s="489"/>
      <c r="AP210" s="489"/>
      <c r="AQ210" s="489"/>
      <c r="AR210" s="489"/>
      <c r="AS210" s="489"/>
    </row>
    <row r="211" spans="1:45" s="484" customFormat="1" hidden="1">
      <c r="A211" s="637" t="s">
        <v>1265</v>
      </c>
      <c r="B211" s="663"/>
      <c r="C211" s="664"/>
      <c r="D211" s="664" t="e">
        <f>s</f>
        <v>#NAME?</v>
      </c>
      <c r="E211" s="664"/>
      <c r="F211" s="665"/>
      <c r="G211" s="664"/>
      <c r="H211" s="664"/>
      <c r="I211" s="664"/>
      <c r="J211" s="664"/>
      <c r="K211" s="664"/>
      <c r="L211" s="664"/>
      <c r="M211" s="664"/>
      <c r="N211" s="664"/>
      <c r="O211" s="664"/>
      <c r="P211" s="664"/>
      <c r="Q211" s="666"/>
      <c r="R211" s="666"/>
      <c r="S211" s="666"/>
      <c r="T211" s="817"/>
      <c r="U211" s="600"/>
      <c r="V211" s="666"/>
      <c r="W211" s="667"/>
      <c r="X211" s="1018"/>
      <c r="Y211" s="668"/>
      <c r="Z211" s="668"/>
      <c r="AA211" s="668"/>
      <c r="AB211" s="668"/>
      <c r="AC211" s="668"/>
      <c r="AD211" s="668"/>
      <c r="AE211" s="669"/>
      <c r="AF211" s="668"/>
      <c r="AL211" s="489"/>
      <c r="AM211" s="489"/>
      <c r="AN211" s="489"/>
      <c r="AO211" s="489"/>
      <c r="AP211" s="489"/>
      <c r="AQ211" s="489"/>
      <c r="AR211" s="489"/>
      <c r="AS211" s="489"/>
    </row>
    <row r="212" spans="1:45" s="484" customFormat="1" ht="14.5" hidden="1">
      <c r="A212" s="642"/>
      <c r="B212" s="638"/>
      <c r="C212" s="670"/>
      <c r="D212" s="670">
        <v>1.2999999999999999E-2</v>
      </c>
      <c r="E212" s="670"/>
      <c r="F212" s="671"/>
      <c r="G212" s="670"/>
      <c r="H212" s="670"/>
      <c r="I212" s="670"/>
      <c r="J212" s="670"/>
      <c r="K212" s="670"/>
      <c r="L212" s="670"/>
      <c r="M212" s="670"/>
      <c r="N212" s="670"/>
      <c r="O212" s="670"/>
      <c r="P212" s="670"/>
      <c r="Q212" s="672"/>
      <c r="R212" s="672"/>
      <c r="S212" s="672"/>
      <c r="T212" s="818"/>
      <c r="U212" s="600"/>
      <c r="V212" s="672"/>
      <c r="W212" s="673"/>
      <c r="X212" s="1019"/>
      <c r="Y212" s="673"/>
      <c r="Z212" s="673"/>
      <c r="AA212" s="673"/>
      <c r="AB212" s="673"/>
      <c r="AC212" s="673"/>
      <c r="AD212" s="673"/>
      <c r="AE212" s="674"/>
      <c r="AF212" s="673"/>
      <c r="AL212" s="489"/>
      <c r="AM212" s="489"/>
      <c r="AN212" s="489"/>
      <c r="AO212" s="489"/>
      <c r="AP212" s="489"/>
      <c r="AQ212" s="489"/>
      <c r="AR212" s="489"/>
      <c r="AS212" s="489"/>
    </row>
    <row r="213" spans="1:45" s="484" customFormat="1" hidden="1">
      <c r="A213" s="642" t="s">
        <v>1267</v>
      </c>
      <c r="B213" s="638"/>
      <c r="C213" s="675"/>
      <c r="D213" s="675">
        <v>14700653500</v>
      </c>
      <c r="E213" s="675"/>
      <c r="F213" s="676"/>
      <c r="G213" s="675"/>
      <c r="H213" s="675"/>
      <c r="I213" s="675"/>
      <c r="J213" s="675"/>
      <c r="K213" s="675"/>
      <c r="L213" s="675"/>
      <c r="M213" s="675"/>
      <c r="N213" s="675"/>
      <c r="O213" s="675"/>
      <c r="P213" s="675"/>
      <c r="Q213" s="677"/>
      <c r="R213" s="677"/>
      <c r="S213" s="677"/>
      <c r="T213" s="819"/>
      <c r="U213" s="600"/>
      <c r="V213" s="677"/>
      <c r="W213" s="667"/>
      <c r="X213" s="1020"/>
      <c r="Y213" s="668"/>
      <c r="Z213" s="668"/>
      <c r="AA213" s="668"/>
      <c r="AB213" s="668"/>
      <c r="AC213" s="668"/>
      <c r="AD213" s="668"/>
      <c r="AE213" s="669"/>
      <c r="AF213" s="668"/>
      <c r="AL213" s="489"/>
      <c r="AM213" s="489"/>
      <c r="AN213" s="489"/>
      <c r="AO213" s="489"/>
      <c r="AP213" s="489"/>
      <c r="AQ213" s="489"/>
      <c r="AR213" s="489"/>
      <c r="AS213" s="489"/>
    </row>
    <row r="214" spans="1:45" s="484" customFormat="1" ht="14.5" hidden="1">
      <c r="A214" s="642"/>
      <c r="B214" s="638"/>
      <c r="C214" s="670"/>
      <c r="D214" s="670">
        <v>1.2999999999999999E-2</v>
      </c>
      <c r="E214" s="670"/>
      <c r="F214" s="671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2"/>
      <c r="R214" s="672"/>
      <c r="S214" s="672"/>
      <c r="T214" s="818"/>
      <c r="U214" s="600"/>
      <c r="V214" s="672"/>
      <c r="W214" s="673"/>
      <c r="X214" s="1019"/>
      <c r="Y214" s="673"/>
      <c r="Z214" s="673"/>
      <c r="AA214" s="673"/>
      <c r="AB214" s="673"/>
      <c r="AC214" s="673"/>
      <c r="AD214" s="673"/>
      <c r="AE214" s="674"/>
      <c r="AF214" s="673"/>
      <c r="AL214" s="489"/>
      <c r="AM214" s="489"/>
      <c r="AN214" s="489"/>
      <c r="AO214" s="489"/>
      <c r="AP214" s="489"/>
      <c r="AQ214" s="489"/>
      <c r="AR214" s="489"/>
      <c r="AS214" s="489"/>
    </row>
    <row r="215" spans="1:45" s="484" customFormat="1" hidden="1">
      <c r="A215" s="642" t="s">
        <v>1268</v>
      </c>
      <c r="B215" s="638"/>
      <c r="C215" s="675"/>
      <c r="D215" s="675">
        <v>41152494500</v>
      </c>
      <c r="E215" s="675"/>
      <c r="F215" s="676"/>
      <c r="G215" s="675"/>
      <c r="H215" s="675"/>
      <c r="I215" s="675"/>
      <c r="J215" s="675"/>
      <c r="K215" s="675"/>
      <c r="L215" s="675"/>
      <c r="M215" s="675"/>
      <c r="N215" s="675"/>
      <c r="O215" s="675"/>
      <c r="P215" s="675"/>
      <c r="Q215" s="677"/>
      <c r="R215" s="677"/>
      <c r="S215" s="677"/>
      <c r="T215" s="819"/>
      <c r="U215" s="600"/>
      <c r="V215" s="677"/>
      <c r="W215" s="667"/>
      <c r="X215" s="1020"/>
      <c r="Y215" s="668"/>
      <c r="Z215" s="668"/>
      <c r="AA215" s="668"/>
      <c r="AB215" s="668"/>
      <c r="AC215" s="668"/>
      <c r="AD215" s="668"/>
      <c r="AE215" s="669"/>
      <c r="AF215" s="668"/>
      <c r="AL215" s="489"/>
      <c r="AM215" s="489"/>
      <c r="AN215" s="489"/>
      <c r="AO215" s="489"/>
      <c r="AP215" s="489"/>
      <c r="AQ215" s="489"/>
      <c r="AR215" s="489"/>
      <c r="AS215" s="489"/>
    </row>
    <row r="216" spans="1:45" s="484" customFormat="1" ht="14.5" hidden="1">
      <c r="A216" s="651"/>
      <c r="B216" s="678"/>
      <c r="C216" s="679"/>
      <c r="D216" s="679">
        <v>1.2999999999999999E-2</v>
      </c>
      <c r="E216" s="679"/>
      <c r="F216" s="680"/>
      <c r="G216" s="679"/>
      <c r="H216" s="679"/>
      <c r="I216" s="679"/>
      <c r="J216" s="679"/>
      <c r="K216" s="679"/>
      <c r="L216" s="679"/>
      <c r="M216" s="679"/>
      <c r="N216" s="679"/>
      <c r="O216" s="679"/>
      <c r="P216" s="679"/>
      <c r="Q216" s="681"/>
      <c r="R216" s="681"/>
      <c r="S216" s="681"/>
      <c r="T216" s="820"/>
      <c r="U216" s="600"/>
      <c r="V216" s="681"/>
      <c r="W216" s="673"/>
      <c r="X216" s="1021"/>
      <c r="Y216" s="673"/>
      <c r="Z216" s="673"/>
      <c r="AA216" s="673"/>
      <c r="AB216" s="673"/>
      <c r="AC216" s="673"/>
      <c r="AD216" s="673"/>
      <c r="AE216" s="674"/>
      <c r="AF216" s="673"/>
      <c r="AL216" s="489"/>
      <c r="AM216" s="489"/>
      <c r="AN216" s="489"/>
      <c r="AO216" s="489"/>
      <c r="AP216" s="489"/>
      <c r="AQ216" s="489"/>
      <c r="AR216" s="489"/>
      <c r="AS216" s="489"/>
    </row>
    <row r="217" spans="1:45" s="484" customFormat="1" hidden="1">
      <c r="A217" s="490" t="s">
        <v>1271</v>
      </c>
      <c r="B217" s="682"/>
      <c r="C217" s="683"/>
      <c r="D217" s="683">
        <v>73939541000</v>
      </c>
      <c r="E217" s="683"/>
      <c r="F217" s="684"/>
      <c r="G217" s="683"/>
      <c r="H217" s="683"/>
      <c r="I217" s="683"/>
      <c r="J217" s="683"/>
      <c r="K217" s="683"/>
      <c r="L217" s="683"/>
      <c r="M217" s="683"/>
      <c r="N217" s="683"/>
      <c r="O217" s="683"/>
      <c r="P217" s="683"/>
      <c r="Q217" s="685"/>
      <c r="R217" s="685"/>
      <c r="S217" s="685"/>
      <c r="T217" s="821"/>
      <c r="U217" s="600"/>
      <c r="V217" s="685"/>
      <c r="W217" s="686"/>
      <c r="X217" s="1017"/>
      <c r="Y217" s="654"/>
      <c r="Z217" s="654"/>
      <c r="AA217" s="654"/>
      <c r="AB217" s="654"/>
      <c r="AC217" s="654"/>
      <c r="AD217" s="654"/>
      <c r="AE217" s="687"/>
      <c r="AF217" s="654"/>
      <c r="AL217" s="489"/>
      <c r="AM217" s="489"/>
      <c r="AN217" s="489"/>
      <c r="AO217" s="489"/>
      <c r="AP217" s="489"/>
      <c r="AQ217" s="489"/>
      <c r="AR217" s="489"/>
      <c r="AS217" s="489"/>
    </row>
    <row r="218" spans="1:45" s="484" customFormat="1">
      <c r="A218" s="483"/>
      <c r="B218" s="483"/>
      <c r="F218" s="578"/>
      <c r="Q218" s="603"/>
      <c r="R218" s="603"/>
      <c r="S218" s="603"/>
      <c r="T218" s="799"/>
      <c r="U218" s="600"/>
      <c r="V218" s="603"/>
      <c r="W218" s="488"/>
      <c r="X218" s="1003"/>
      <c r="AA218" s="657"/>
      <c r="AB218" s="657"/>
      <c r="AC218" s="657"/>
      <c r="AD218" s="657"/>
      <c r="AE218" s="657"/>
      <c r="AF218" s="657"/>
      <c r="AL218" s="489"/>
      <c r="AM218" s="489"/>
      <c r="AN218" s="489"/>
      <c r="AO218" s="489"/>
      <c r="AP218" s="489"/>
      <c r="AQ218" s="489"/>
      <c r="AR218" s="489"/>
      <c r="AS218" s="489"/>
    </row>
    <row r="219" spans="1:45" s="484" customFormat="1">
      <c r="A219" s="483"/>
      <c r="B219" s="483"/>
      <c r="F219" s="688"/>
      <c r="Q219" s="603"/>
      <c r="R219" s="603"/>
      <c r="S219" s="603"/>
      <c r="T219" s="799"/>
      <c r="U219" s="600"/>
      <c r="V219" s="603"/>
      <c r="W219" s="488"/>
      <c r="X219" s="1003"/>
      <c r="Y219" s="600"/>
      <c r="Z219" s="600"/>
      <c r="AA219" s="600"/>
      <c r="AB219" s="600"/>
      <c r="AC219" s="600"/>
      <c r="AD219" s="600"/>
      <c r="AE219" s="600"/>
      <c r="AF219" s="600"/>
      <c r="AL219" s="489"/>
      <c r="AM219" s="489"/>
      <c r="AN219" s="489"/>
      <c r="AO219" s="489"/>
      <c r="AP219" s="489"/>
      <c r="AQ219" s="489"/>
      <c r="AR219" s="489"/>
      <c r="AS219" s="489"/>
    </row>
    <row r="220" spans="1:45" s="484" customFormat="1">
      <c r="A220" s="490" t="s">
        <v>1272</v>
      </c>
      <c r="B220" s="633" t="s">
        <v>1273</v>
      </c>
      <c r="C220" s="634"/>
      <c r="D220" s="689" t="s">
        <v>1274</v>
      </c>
      <c r="E220" s="690">
        <v>42613</v>
      </c>
      <c r="F220" s="691"/>
      <c r="G220" s="690">
        <v>42735</v>
      </c>
      <c r="H220" s="690">
        <v>42736</v>
      </c>
      <c r="I220" s="690">
        <v>42768</v>
      </c>
      <c r="J220" s="690">
        <v>42800</v>
      </c>
      <c r="K220" s="690">
        <v>42832</v>
      </c>
      <c r="L220" s="690">
        <v>42864</v>
      </c>
      <c r="M220" s="690">
        <v>42896</v>
      </c>
      <c r="N220" s="690">
        <v>42928</v>
      </c>
      <c r="O220" s="690">
        <v>42960</v>
      </c>
      <c r="P220" s="690">
        <v>42992</v>
      </c>
      <c r="Q220" s="690">
        <v>43024</v>
      </c>
      <c r="R220" s="690">
        <v>43056</v>
      </c>
      <c r="S220" s="690">
        <v>43088</v>
      </c>
      <c r="T220" s="822"/>
      <c r="V220" s="690" t="s">
        <v>1159</v>
      </c>
      <c r="W220" s="692"/>
      <c r="X220" s="1022"/>
      <c r="Y220" s="693"/>
      <c r="Z220" s="693"/>
      <c r="AA220" s="694"/>
      <c r="AB220" s="694"/>
      <c r="AC220" s="694"/>
      <c r="AD220" s="694"/>
      <c r="AE220" s="694"/>
      <c r="AF220" s="694"/>
      <c r="AL220" s="489"/>
      <c r="AM220" s="489"/>
      <c r="AN220" s="489"/>
      <c r="AO220" s="489"/>
      <c r="AP220" s="489"/>
      <c r="AQ220" s="489"/>
      <c r="AR220" s="489"/>
      <c r="AS220" s="489"/>
    </row>
    <row r="221" spans="1:45" s="484" customFormat="1">
      <c r="A221" s="695" t="s">
        <v>1275</v>
      </c>
      <c r="B221" s="643"/>
      <c r="C221" s="528"/>
      <c r="D221" s="696"/>
      <c r="E221" s="697">
        <f>E260+E298+E336+E375+E415+E454+E493+E533+E572+E611</f>
        <v>9778401216.9130783</v>
      </c>
      <c r="F221" s="698"/>
      <c r="G221" s="697">
        <f>SUMIF($A$260:$A$647,$A221,$G$260:$G$647)</f>
        <v>267337300708.4111</v>
      </c>
      <c r="H221" s="697">
        <f>SUMIF($A$260:$A$647,$A221,$H$260:$H$647)</f>
        <v>267337300708.4111</v>
      </c>
      <c r="I221" s="697">
        <f t="shared" ref="I221:I255" si="144">SUMIF($A$260:$A$647,$A221,$K$260:$K$647)</f>
        <v>267337300708.4111</v>
      </c>
      <c r="J221" s="697">
        <f t="shared" ref="J221:J255" si="145">SUMIF($A$260:$A$647,$A221,$J$260:$J$647)</f>
        <v>267337300708.4111</v>
      </c>
      <c r="K221" s="697">
        <f t="shared" ref="K221:K255" si="146">SUMIF($A$260:$A$647,$A221,$K$260:$K$647)</f>
        <v>267337300708.4111</v>
      </c>
      <c r="L221" s="697">
        <f t="shared" ref="L221:L255" si="147">SUMIF($A$260:$A$647,$A221,$L$260:$L$647)</f>
        <v>267337300708.4111</v>
      </c>
      <c r="M221" s="697">
        <f t="shared" ref="M221:M255" si="148">SUMIF($A$260:$A$647,$A221,$M$260:$M$647)</f>
        <v>267337300708.4111</v>
      </c>
      <c r="N221" s="697">
        <f t="shared" ref="N221:N255" si="149">SUMIF($A$260:$A$647,$A221,$N$260:$N$647)</f>
        <v>267337300708.4111</v>
      </c>
      <c r="O221" s="697">
        <f t="shared" ref="O221:O255" si="150">SUMIF($A$260:$A$647,$A221,$O$260:$O$647)</f>
        <v>267337300708.4111</v>
      </c>
      <c r="P221" s="697">
        <f t="shared" ref="P221:P255" si="151">SUMIF($A$260:$A$647,$A221,$P$260:$P$647)</f>
        <v>267337300708.4111</v>
      </c>
      <c r="Q221" s="697">
        <f t="shared" ref="Q221:Q255" si="152">SUMIF($A$260:$A$647,$A221,$Q$260:$Q$647)</f>
        <v>267337300708.4111</v>
      </c>
      <c r="R221" s="697">
        <f t="shared" ref="R221:R255" si="153">SUMIF($A$260:$A$647,$A221,$R$260:$R$647)</f>
        <v>267337300708.4111</v>
      </c>
      <c r="S221" s="697">
        <f t="shared" ref="S221:S255" si="154">SUMIF($A$260:$A$647,$A221,$S$260:$S$647)</f>
        <v>267337300708.4111</v>
      </c>
      <c r="T221" s="823"/>
      <c r="V221" s="697">
        <f t="shared" ref="V221:V255" si="155">SUMIF($A$260:$A$647,$A221,$V$260:$V$647)</f>
        <v>267337300708.4111</v>
      </c>
      <c r="W221" s="699"/>
      <c r="X221" s="1023"/>
      <c r="Y221" s="696"/>
      <c r="Z221" s="700"/>
      <c r="AA221" s="701"/>
      <c r="AB221" s="702"/>
      <c r="AC221" s="701"/>
      <c r="AD221" s="702"/>
      <c r="AE221" s="701"/>
      <c r="AF221" s="702"/>
      <c r="AL221" s="489"/>
      <c r="AM221" s="489"/>
      <c r="AN221" s="489"/>
      <c r="AO221" s="489"/>
      <c r="AP221" s="489"/>
      <c r="AQ221" s="489"/>
      <c r="AR221" s="489"/>
      <c r="AS221" s="489"/>
    </row>
    <row r="222" spans="1:45" s="484" customFormat="1">
      <c r="A222" s="695" t="s">
        <v>1276</v>
      </c>
      <c r="B222" s="643"/>
      <c r="C222" s="528"/>
      <c r="D222" s="696"/>
      <c r="E222" s="697">
        <f t="shared" ref="E222:E255" si="156">E261+E299+E337+E376+E416+E455+E494+E534+E573+E612</f>
        <v>403356452183.08673</v>
      </c>
      <c r="F222" s="698"/>
      <c r="G222" s="697">
        <f t="shared" ref="G222:G255" si="157">SUMIF($A$260:$A$647,$A222,$G$260:$G$647)</f>
        <v>64855567656.403587</v>
      </c>
      <c r="H222" s="697">
        <f t="shared" ref="H222:H255" si="158">SUMIF($A$260:$A$647,$A222,$H$260:$H$647)</f>
        <v>69675567656.403595</v>
      </c>
      <c r="I222" s="697">
        <f t="shared" si="144"/>
        <v>87068900989.736923</v>
      </c>
      <c r="J222" s="697">
        <f t="shared" si="145"/>
        <v>81715567656.403595</v>
      </c>
      <c r="K222" s="697">
        <f t="shared" si="146"/>
        <v>87068900989.736923</v>
      </c>
      <c r="L222" s="697">
        <f t="shared" si="147"/>
        <v>92822234323.070267</v>
      </c>
      <c r="M222" s="697">
        <f t="shared" si="148"/>
        <v>98575567656.403595</v>
      </c>
      <c r="N222" s="697">
        <f t="shared" si="149"/>
        <v>103241800989.73694</v>
      </c>
      <c r="O222" s="697">
        <f t="shared" si="150"/>
        <v>107971834323.07027</v>
      </c>
      <c r="P222" s="697">
        <f t="shared" si="151"/>
        <v>112638067656.40361</v>
      </c>
      <c r="Q222" s="697">
        <f t="shared" si="152"/>
        <v>115460567656.40361</v>
      </c>
      <c r="R222" s="697">
        <f t="shared" si="153"/>
        <v>118283067656.40361</v>
      </c>
      <c r="S222" s="697">
        <f t="shared" si="154"/>
        <v>121105567656.40361</v>
      </c>
      <c r="T222" s="823"/>
      <c r="V222" s="697">
        <f t="shared" si="155"/>
        <v>121105567656.40361</v>
      </c>
      <c r="W222" s="699"/>
      <c r="X222" s="1023"/>
      <c r="Y222" s="696"/>
      <c r="Z222" s="700"/>
      <c r="AA222" s="701"/>
      <c r="AB222" s="702"/>
      <c r="AC222" s="701"/>
      <c r="AD222" s="702"/>
      <c r="AE222" s="701"/>
      <c r="AF222" s="702"/>
      <c r="AL222" s="489"/>
      <c r="AM222" s="489"/>
      <c r="AN222" s="489"/>
      <c r="AO222" s="489"/>
      <c r="AP222" s="489"/>
      <c r="AQ222" s="489"/>
      <c r="AR222" s="489"/>
      <c r="AS222" s="489"/>
    </row>
    <row r="223" spans="1:45" s="484" customFormat="1">
      <c r="A223" s="695" t="s">
        <v>1277</v>
      </c>
      <c r="B223" s="643"/>
      <c r="C223" s="528"/>
      <c r="D223" s="696"/>
      <c r="E223" s="697">
        <f t="shared" si="156"/>
        <v>2644095817.7397242</v>
      </c>
      <c r="F223" s="698"/>
      <c r="G223" s="697">
        <f t="shared" si="157"/>
        <v>4372842478.4054613</v>
      </c>
      <c r="H223" s="697">
        <f t="shared" si="158"/>
        <v>4372842478.4054613</v>
      </c>
      <c r="I223" s="697">
        <f t="shared" si="144"/>
        <v>4372842478.4054613</v>
      </c>
      <c r="J223" s="697">
        <f t="shared" si="145"/>
        <v>4372842478.4054613</v>
      </c>
      <c r="K223" s="697">
        <f t="shared" si="146"/>
        <v>4372842478.4054613</v>
      </c>
      <c r="L223" s="697">
        <f t="shared" si="147"/>
        <v>4372842478.4054613</v>
      </c>
      <c r="M223" s="697">
        <f t="shared" si="148"/>
        <v>4372842478.4054613</v>
      </c>
      <c r="N223" s="697">
        <f t="shared" si="149"/>
        <v>4372842478.4054613</v>
      </c>
      <c r="O223" s="697">
        <f t="shared" si="150"/>
        <v>4372842478.4054613</v>
      </c>
      <c r="P223" s="697">
        <f t="shared" si="151"/>
        <v>4372842478.4054613</v>
      </c>
      <c r="Q223" s="697">
        <f t="shared" si="152"/>
        <v>4372842478.4054613</v>
      </c>
      <c r="R223" s="697">
        <f t="shared" si="153"/>
        <v>4372842478.4054613</v>
      </c>
      <c r="S223" s="697">
        <f t="shared" si="154"/>
        <v>4372842478.4054613</v>
      </c>
      <c r="T223" s="823"/>
      <c r="V223" s="697">
        <f t="shared" si="155"/>
        <v>4372842478.4054613</v>
      </c>
      <c r="W223" s="699"/>
      <c r="X223" s="1023"/>
      <c r="Y223" s="696"/>
      <c r="Z223" s="700"/>
      <c r="AA223" s="701"/>
      <c r="AB223" s="702"/>
      <c r="AC223" s="701"/>
      <c r="AD223" s="702"/>
      <c r="AE223" s="701"/>
      <c r="AF223" s="702"/>
      <c r="AL223" s="489"/>
      <c r="AM223" s="489"/>
      <c r="AN223" s="489"/>
      <c r="AO223" s="489"/>
      <c r="AP223" s="489"/>
      <c r="AQ223" s="489"/>
      <c r="AR223" s="489"/>
      <c r="AS223" s="489"/>
    </row>
    <row r="224" spans="1:45" s="484" customFormat="1">
      <c r="A224" s="695" t="s">
        <v>1278</v>
      </c>
      <c r="B224" s="643"/>
      <c r="C224" s="528"/>
      <c r="D224" s="696"/>
      <c r="E224" s="697">
        <f t="shared" si="156"/>
        <v>10785629990.106762</v>
      </c>
      <c r="F224" s="698"/>
      <c r="G224" s="697">
        <f t="shared" si="157"/>
        <v>11087506707.537846</v>
      </c>
      <c r="H224" s="697">
        <f t="shared" si="158"/>
        <v>11087506707.537846</v>
      </c>
      <c r="I224" s="697">
        <f t="shared" si="144"/>
        <v>11087506707.537846</v>
      </c>
      <c r="J224" s="697">
        <f t="shared" si="145"/>
        <v>11087506707.537846</v>
      </c>
      <c r="K224" s="697">
        <f t="shared" si="146"/>
        <v>11087506707.537846</v>
      </c>
      <c r="L224" s="697">
        <f t="shared" si="147"/>
        <v>11087506707.537846</v>
      </c>
      <c r="M224" s="697">
        <f t="shared" si="148"/>
        <v>11087506707.537846</v>
      </c>
      <c r="N224" s="697">
        <f t="shared" si="149"/>
        <v>11087506707.537846</v>
      </c>
      <c r="O224" s="697">
        <f t="shared" si="150"/>
        <v>11087506707.537846</v>
      </c>
      <c r="P224" s="697">
        <f t="shared" si="151"/>
        <v>11087506707.537846</v>
      </c>
      <c r="Q224" s="697">
        <f t="shared" si="152"/>
        <v>11087506707.537846</v>
      </c>
      <c r="R224" s="697">
        <f t="shared" si="153"/>
        <v>11087506707.537846</v>
      </c>
      <c r="S224" s="697">
        <f t="shared" si="154"/>
        <v>11087506707.537846</v>
      </c>
      <c r="T224" s="823"/>
      <c r="V224" s="697">
        <f t="shared" si="155"/>
        <v>11087506707.537846</v>
      </c>
      <c r="W224" s="699"/>
      <c r="X224" s="1023"/>
      <c r="Y224" s="696"/>
      <c r="Z224" s="700"/>
      <c r="AA224" s="701"/>
      <c r="AB224" s="702"/>
      <c r="AC224" s="701"/>
      <c r="AD224" s="702"/>
      <c r="AE224" s="701"/>
      <c r="AF224" s="702"/>
      <c r="AL224" s="489"/>
      <c r="AM224" s="489"/>
      <c r="AN224" s="489"/>
      <c r="AO224" s="489"/>
      <c r="AP224" s="489"/>
      <c r="AQ224" s="489"/>
      <c r="AR224" s="489"/>
      <c r="AS224" s="489"/>
    </row>
    <row r="225" spans="1:45" s="484" customFormat="1">
      <c r="A225" s="695" t="s">
        <v>1279</v>
      </c>
      <c r="B225" s="643"/>
      <c r="C225" s="528"/>
      <c r="D225" s="696"/>
      <c r="E225" s="697">
        <f t="shared" si="156"/>
        <v>93866813064.625931</v>
      </c>
      <c r="F225" s="698"/>
      <c r="G225" s="697">
        <f t="shared" si="157"/>
        <v>150145337225.65985</v>
      </c>
      <c r="H225" s="697">
        <f t="shared" si="158"/>
        <v>193270337225.65985</v>
      </c>
      <c r="I225" s="697">
        <f t="shared" si="144"/>
        <v>344312003892.32648</v>
      </c>
      <c r="J225" s="697">
        <f t="shared" si="145"/>
        <v>294520337225.65985</v>
      </c>
      <c r="K225" s="697">
        <f t="shared" si="146"/>
        <v>344312003892.32648</v>
      </c>
      <c r="L225" s="697">
        <f t="shared" si="147"/>
        <v>397203670558.99316</v>
      </c>
      <c r="M225" s="697">
        <f t="shared" si="148"/>
        <v>451095337225.65979</v>
      </c>
      <c r="N225" s="697">
        <f t="shared" si="149"/>
        <v>496680503892.32648</v>
      </c>
      <c r="O225" s="697">
        <f t="shared" si="150"/>
        <v>543222670558.9931</v>
      </c>
      <c r="P225" s="697">
        <f t="shared" si="151"/>
        <v>588807837225.65979</v>
      </c>
      <c r="Q225" s="697">
        <f t="shared" si="152"/>
        <v>620070337225.65979</v>
      </c>
      <c r="R225" s="697">
        <f t="shared" si="153"/>
        <v>651332837225.65979</v>
      </c>
      <c r="S225" s="697">
        <f t="shared" si="154"/>
        <v>682595337225.65979</v>
      </c>
      <c r="T225" s="823"/>
      <c r="V225" s="697">
        <f t="shared" si="155"/>
        <v>682595337225.65979</v>
      </c>
      <c r="W225" s="699"/>
      <c r="X225" s="1023"/>
      <c r="Y225" s="696"/>
      <c r="Z225" s="700"/>
      <c r="AA225" s="701"/>
      <c r="AB225" s="702"/>
      <c r="AC225" s="701"/>
      <c r="AD225" s="702"/>
      <c r="AE225" s="701"/>
      <c r="AF225" s="702"/>
      <c r="AL225" s="489"/>
      <c r="AM225" s="489"/>
      <c r="AN225" s="489"/>
      <c r="AO225" s="489"/>
      <c r="AP225" s="489"/>
      <c r="AQ225" s="489"/>
      <c r="AR225" s="489"/>
      <c r="AS225" s="489"/>
    </row>
    <row r="226" spans="1:45" s="484" customFormat="1">
      <c r="A226" s="695" t="s">
        <v>1280</v>
      </c>
      <c r="B226" s="643"/>
      <c r="C226" s="528"/>
      <c r="D226" s="696"/>
      <c r="E226" s="697">
        <f t="shared" si="156"/>
        <v>13228630073.227514</v>
      </c>
      <c r="F226" s="698"/>
      <c r="G226" s="697">
        <f t="shared" si="157"/>
        <v>27697693641.376781</v>
      </c>
      <c r="H226" s="697">
        <f t="shared" si="158"/>
        <v>50097693641.376778</v>
      </c>
      <c r="I226" s="697">
        <f t="shared" si="144"/>
        <v>123164360308.04346</v>
      </c>
      <c r="J226" s="697">
        <f t="shared" si="145"/>
        <v>99697693641.376785</v>
      </c>
      <c r="K226" s="697">
        <f t="shared" si="146"/>
        <v>123164360308.04346</v>
      </c>
      <c r="L226" s="697">
        <f t="shared" si="147"/>
        <v>147431026974.71011</v>
      </c>
      <c r="M226" s="697">
        <f t="shared" si="148"/>
        <v>171697693641.37677</v>
      </c>
      <c r="N226" s="697">
        <f t="shared" si="149"/>
        <v>191493360308.04343</v>
      </c>
      <c r="O226" s="697">
        <f t="shared" si="150"/>
        <v>212127026974.71011</v>
      </c>
      <c r="P226" s="697">
        <f t="shared" si="151"/>
        <v>232122693641.37677</v>
      </c>
      <c r="Q226" s="697">
        <f t="shared" si="152"/>
        <v>244347693641.3768</v>
      </c>
      <c r="R226" s="697">
        <f t="shared" si="153"/>
        <v>256572693641.3768</v>
      </c>
      <c r="S226" s="697">
        <f t="shared" si="154"/>
        <v>268797693641.3768</v>
      </c>
      <c r="T226" s="823"/>
      <c r="V226" s="697">
        <f t="shared" si="155"/>
        <v>268797693641.3768</v>
      </c>
      <c r="W226" s="699"/>
      <c r="X226" s="1023"/>
      <c r="Y226" s="696"/>
      <c r="Z226" s="700"/>
      <c r="AA226" s="701"/>
      <c r="AB226" s="702"/>
      <c r="AC226" s="701"/>
      <c r="AD226" s="702"/>
      <c r="AE226" s="701"/>
      <c r="AF226" s="702"/>
      <c r="AL226" s="489"/>
      <c r="AM226" s="489"/>
      <c r="AN226" s="489"/>
      <c r="AO226" s="489"/>
      <c r="AP226" s="489"/>
      <c r="AQ226" s="489"/>
      <c r="AR226" s="489"/>
      <c r="AS226" s="489"/>
    </row>
    <row r="227" spans="1:45" s="484" customFormat="1">
      <c r="A227" s="695" t="s">
        <v>1281</v>
      </c>
      <c r="B227" s="643"/>
      <c r="C227" s="528"/>
      <c r="D227" s="696"/>
      <c r="E227" s="697">
        <f t="shared" si="156"/>
        <v>7106432893.9655247</v>
      </c>
      <c r="F227" s="698"/>
      <c r="G227" s="697">
        <f t="shared" si="157"/>
        <v>11265297754.410591</v>
      </c>
      <c r="H227" s="697">
        <f t="shared" si="158"/>
        <v>16070297754.410591</v>
      </c>
      <c r="I227" s="697">
        <f t="shared" si="144"/>
        <v>33418631087.743919</v>
      </c>
      <c r="J227" s="697">
        <f t="shared" si="145"/>
        <v>28080297754.410587</v>
      </c>
      <c r="K227" s="697">
        <f t="shared" si="146"/>
        <v>33418631087.743919</v>
      </c>
      <c r="L227" s="697">
        <f t="shared" si="147"/>
        <v>39156964421.077248</v>
      </c>
      <c r="M227" s="697">
        <f t="shared" si="148"/>
        <v>44895297754.410583</v>
      </c>
      <c r="N227" s="697">
        <f t="shared" si="149"/>
        <v>49546531087.743912</v>
      </c>
      <c r="O227" s="697">
        <f t="shared" si="150"/>
        <v>54261564421.077248</v>
      </c>
      <c r="P227" s="697">
        <f t="shared" si="151"/>
        <v>58912797754.410583</v>
      </c>
      <c r="Q227" s="697">
        <f t="shared" si="152"/>
        <v>61720297754.410583</v>
      </c>
      <c r="R227" s="697">
        <f t="shared" si="153"/>
        <v>64527797754.410583</v>
      </c>
      <c r="S227" s="697">
        <f t="shared" si="154"/>
        <v>67335297754.410583</v>
      </c>
      <c r="T227" s="823"/>
      <c r="V227" s="697">
        <f t="shared" si="155"/>
        <v>67335297754.410583</v>
      </c>
      <c r="W227" s="699"/>
      <c r="X227" s="1023"/>
      <c r="Y227" s="696"/>
      <c r="Z227" s="700"/>
      <c r="AA227" s="701"/>
      <c r="AB227" s="702"/>
      <c r="AC227" s="701"/>
      <c r="AD227" s="702"/>
      <c r="AE227" s="701"/>
      <c r="AF227" s="702"/>
      <c r="AL227" s="489"/>
      <c r="AM227" s="489"/>
      <c r="AN227" s="489"/>
      <c r="AO227" s="489"/>
      <c r="AP227" s="489"/>
      <c r="AQ227" s="489"/>
      <c r="AR227" s="489"/>
      <c r="AS227" s="489"/>
    </row>
    <row r="228" spans="1:45" s="484" customFormat="1">
      <c r="A228" s="695" t="s">
        <v>1282</v>
      </c>
      <c r="B228" s="643"/>
      <c r="C228" s="528"/>
      <c r="D228" s="696"/>
      <c r="E228" s="697">
        <f t="shared" si="156"/>
        <v>279684276.618312</v>
      </c>
      <c r="F228" s="698"/>
      <c r="G228" s="697">
        <f>SUMIF($A$260:$A$647,$A228,$G$260:$G$647)</f>
        <v>10285584058.904987</v>
      </c>
      <c r="H228" s="697">
        <f t="shared" si="158"/>
        <v>10285584058.904987</v>
      </c>
      <c r="I228" s="697">
        <f t="shared" si="144"/>
        <v>10285584058.904987</v>
      </c>
      <c r="J228" s="697">
        <f t="shared" si="145"/>
        <v>10285584058.904987</v>
      </c>
      <c r="K228" s="697">
        <f t="shared" si="146"/>
        <v>10285584058.904987</v>
      </c>
      <c r="L228" s="697">
        <f t="shared" si="147"/>
        <v>10285584058.904987</v>
      </c>
      <c r="M228" s="697">
        <f t="shared" si="148"/>
        <v>10285584058.904987</v>
      </c>
      <c r="N228" s="697">
        <f t="shared" si="149"/>
        <v>10285584058.904987</v>
      </c>
      <c r="O228" s="697">
        <f t="shared" si="150"/>
        <v>10285584058.904987</v>
      </c>
      <c r="P228" s="697">
        <f t="shared" si="151"/>
        <v>10285584058.904987</v>
      </c>
      <c r="Q228" s="697">
        <f t="shared" si="152"/>
        <v>10285584058.904987</v>
      </c>
      <c r="R228" s="697">
        <f t="shared" si="153"/>
        <v>10285584058.904987</v>
      </c>
      <c r="S228" s="697">
        <f t="shared" si="154"/>
        <v>10285584058.904987</v>
      </c>
      <c r="T228" s="823"/>
      <c r="V228" s="697">
        <f t="shared" si="155"/>
        <v>10285584058.904987</v>
      </c>
      <c r="W228" s="699"/>
      <c r="X228" s="1023"/>
      <c r="Y228" s="696"/>
      <c r="Z228" s="700"/>
      <c r="AA228" s="701"/>
      <c r="AB228" s="702"/>
      <c r="AC228" s="701"/>
      <c r="AD228" s="702"/>
      <c r="AE228" s="701"/>
      <c r="AF228" s="702"/>
      <c r="AL228" s="489"/>
      <c r="AM228" s="489"/>
      <c r="AN228" s="489"/>
      <c r="AO228" s="489"/>
      <c r="AP228" s="489"/>
      <c r="AQ228" s="489"/>
      <c r="AR228" s="489"/>
      <c r="AS228" s="489"/>
    </row>
    <row r="229" spans="1:45" s="484" customFormat="1">
      <c r="A229" s="695" t="s">
        <v>1283</v>
      </c>
      <c r="B229" s="643"/>
      <c r="C229" s="528"/>
      <c r="D229" s="696"/>
      <c r="E229" s="697">
        <f t="shared" si="156"/>
        <v>258926991.15359399</v>
      </c>
      <c r="F229" s="698"/>
      <c r="G229" s="697">
        <f t="shared" si="157"/>
        <v>259524388.99293718</v>
      </c>
      <c r="H229" s="697">
        <f t="shared" si="158"/>
        <v>259524388.99293718</v>
      </c>
      <c r="I229" s="697">
        <f t="shared" si="144"/>
        <v>259524388.99293718</v>
      </c>
      <c r="J229" s="697">
        <f t="shared" si="145"/>
        <v>259524388.99293718</v>
      </c>
      <c r="K229" s="697">
        <f t="shared" si="146"/>
        <v>259524388.99293718</v>
      </c>
      <c r="L229" s="697">
        <f t="shared" si="147"/>
        <v>259524388.99293718</v>
      </c>
      <c r="M229" s="697">
        <f t="shared" si="148"/>
        <v>259524388.99293718</v>
      </c>
      <c r="N229" s="697">
        <f t="shared" si="149"/>
        <v>259524388.99293718</v>
      </c>
      <c r="O229" s="697">
        <f t="shared" si="150"/>
        <v>259524388.99293718</v>
      </c>
      <c r="P229" s="697">
        <f t="shared" si="151"/>
        <v>259524388.99293718</v>
      </c>
      <c r="Q229" s="697">
        <f t="shared" si="152"/>
        <v>259524388.99293718</v>
      </c>
      <c r="R229" s="697">
        <f t="shared" si="153"/>
        <v>259524388.99293718</v>
      </c>
      <c r="S229" s="697">
        <f t="shared" si="154"/>
        <v>259524388.99293718</v>
      </c>
      <c r="T229" s="823"/>
      <c r="V229" s="697">
        <f t="shared" si="155"/>
        <v>259524388.99293718</v>
      </c>
      <c r="W229" s="699"/>
      <c r="X229" s="1023"/>
      <c r="Y229" s="696"/>
      <c r="Z229" s="700"/>
      <c r="AA229" s="701"/>
      <c r="AB229" s="702"/>
      <c r="AC229" s="701"/>
      <c r="AD229" s="702"/>
      <c r="AE229" s="701"/>
      <c r="AF229" s="702"/>
      <c r="AL229" s="489"/>
      <c r="AM229" s="489"/>
      <c r="AN229" s="489"/>
      <c r="AO229" s="489"/>
      <c r="AP229" s="489"/>
      <c r="AQ229" s="489"/>
      <c r="AR229" s="489"/>
      <c r="AS229" s="489"/>
    </row>
    <row r="230" spans="1:45" s="484" customFormat="1">
      <c r="A230" s="695" t="s">
        <v>1284</v>
      </c>
      <c r="B230" s="643"/>
      <c r="C230" s="528"/>
      <c r="D230" s="696"/>
      <c r="E230" s="697">
        <f t="shared" si="156"/>
        <v>51619967525.49617</v>
      </c>
      <c r="F230" s="698"/>
      <c r="G230" s="697">
        <f t="shared" si="157"/>
        <v>103196549074.4485</v>
      </c>
      <c r="H230" s="697">
        <f t="shared" si="158"/>
        <v>131296549074.4485</v>
      </c>
      <c r="I230" s="697">
        <f t="shared" si="144"/>
        <v>224396549074.44849</v>
      </c>
      <c r="J230" s="697">
        <f t="shared" si="145"/>
        <v>194696549074.44849</v>
      </c>
      <c r="K230" s="697">
        <f t="shared" si="146"/>
        <v>224396549074.44849</v>
      </c>
      <c r="L230" s="697">
        <f t="shared" si="147"/>
        <v>255296549074.44849</v>
      </c>
      <c r="M230" s="697">
        <f t="shared" si="148"/>
        <v>286196549074.44849</v>
      </c>
      <c r="N230" s="697">
        <f t="shared" si="149"/>
        <v>311825549074.44849</v>
      </c>
      <c r="O230" s="697">
        <f t="shared" si="150"/>
        <v>338292549074.44849</v>
      </c>
      <c r="P230" s="697">
        <f t="shared" si="151"/>
        <v>364121549074.44849</v>
      </c>
      <c r="Q230" s="697">
        <f t="shared" si="152"/>
        <v>380846549074.44849</v>
      </c>
      <c r="R230" s="697">
        <f t="shared" si="153"/>
        <v>397571549074.44849</v>
      </c>
      <c r="S230" s="697">
        <f t="shared" si="154"/>
        <v>414296549074.44849</v>
      </c>
      <c r="T230" s="823"/>
      <c r="V230" s="697">
        <f t="shared" si="155"/>
        <v>414296549074.44849</v>
      </c>
      <c r="W230" s="699"/>
      <c r="X230" s="1023"/>
      <c r="Y230" s="696"/>
      <c r="Z230" s="700"/>
      <c r="AA230" s="701"/>
      <c r="AB230" s="702"/>
      <c r="AC230" s="701"/>
      <c r="AD230" s="702"/>
      <c r="AE230" s="701"/>
      <c r="AF230" s="702"/>
      <c r="AL230" s="489"/>
      <c r="AM230" s="489"/>
      <c r="AN230" s="489"/>
      <c r="AO230" s="489"/>
      <c r="AP230" s="489"/>
      <c r="AQ230" s="489"/>
      <c r="AR230" s="489"/>
      <c r="AS230" s="489"/>
    </row>
    <row r="231" spans="1:45" s="484" customFormat="1">
      <c r="A231" s="695" t="s">
        <v>1285</v>
      </c>
      <c r="B231" s="643"/>
      <c r="C231" s="528"/>
      <c r="D231" s="696"/>
      <c r="E231" s="697">
        <f t="shared" si="156"/>
        <v>245003638284.9873</v>
      </c>
      <c r="F231" s="698"/>
      <c r="G231" s="697">
        <f t="shared" si="157"/>
        <v>372113088584.89319</v>
      </c>
      <c r="H231" s="697">
        <f t="shared" si="158"/>
        <v>400463088584.89319</v>
      </c>
      <c r="I231" s="697">
        <f t="shared" si="144"/>
        <v>496313088584.89307</v>
      </c>
      <c r="J231" s="697">
        <f t="shared" si="145"/>
        <v>464363088584.89307</v>
      </c>
      <c r="K231" s="697">
        <f t="shared" si="146"/>
        <v>496313088584.89307</v>
      </c>
      <c r="L231" s="697">
        <f t="shared" si="147"/>
        <v>531163088584.89307</v>
      </c>
      <c r="M231" s="697">
        <f t="shared" si="148"/>
        <v>567013088584.89307</v>
      </c>
      <c r="N231" s="697">
        <f t="shared" si="149"/>
        <v>597592088584.89307</v>
      </c>
      <c r="O231" s="697">
        <f t="shared" si="150"/>
        <v>628809088584.89307</v>
      </c>
      <c r="P231" s="697">
        <f t="shared" si="151"/>
        <v>659388088584.89307</v>
      </c>
      <c r="Q231" s="697">
        <f t="shared" si="152"/>
        <v>680863088584.89307</v>
      </c>
      <c r="R231" s="697">
        <f t="shared" si="153"/>
        <v>702338088584.89307</v>
      </c>
      <c r="S231" s="697">
        <f t="shared" si="154"/>
        <v>723813088584.89307</v>
      </c>
      <c r="T231" s="823"/>
      <c r="V231" s="697">
        <f t="shared" si="155"/>
        <v>723813088584.89307</v>
      </c>
      <c r="W231" s="699"/>
      <c r="X231" s="1023"/>
      <c r="Y231" s="696"/>
      <c r="Z231" s="700"/>
      <c r="AA231" s="701"/>
      <c r="AB231" s="702"/>
      <c r="AC231" s="701"/>
      <c r="AD231" s="702"/>
      <c r="AE231" s="701"/>
      <c r="AF231" s="702"/>
      <c r="AL231" s="489"/>
      <c r="AM231" s="489"/>
      <c r="AN231" s="489"/>
      <c r="AO231" s="489"/>
      <c r="AP231" s="489"/>
      <c r="AQ231" s="489"/>
      <c r="AR231" s="489"/>
      <c r="AS231" s="489"/>
    </row>
    <row r="232" spans="1:45" s="484" customFormat="1">
      <c r="A232" s="695" t="s">
        <v>1286</v>
      </c>
      <c r="B232" s="643"/>
      <c r="C232" s="528"/>
      <c r="D232" s="696"/>
      <c r="E232" s="697">
        <f t="shared" si="156"/>
        <v>67096865567.040489</v>
      </c>
      <c r="F232" s="698"/>
      <c r="G232" s="697">
        <f t="shared" si="157"/>
        <v>71918520432.183655</v>
      </c>
      <c r="H232" s="697">
        <f t="shared" si="158"/>
        <v>73718520432.183655</v>
      </c>
      <c r="I232" s="697">
        <f t="shared" si="144"/>
        <v>80785187098.850327</v>
      </c>
      <c r="J232" s="697">
        <f t="shared" si="145"/>
        <v>78518520432.183655</v>
      </c>
      <c r="K232" s="697">
        <f t="shared" si="146"/>
        <v>80785187098.850327</v>
      </c>
      <c r="L232" s="697">
        <f t="shared" si="147"/>
        <v>83451853765.516983</v>
      </c>
      <c r="M232" s="697">
        <f t="shared" si="148"/>
        <v>86118520432.183655</v>
      </c>
      <c r="N232" s="697">
        <f t="shared" si="149"/>
        <v>88385187098.850327</v>
      </c>
      <c r="O232" s="697">
        <f t="shared" si="150"/>
        <v>90651853765.516998</v>
      </c>
      <c r="P232" s="697">
        <f t="shared" si="151"/>
        <v>92918520432.183655</v>
      </c>
      <c r="Q232" s="697">
        <f t="shared" si="152"/>
        <v>94518520432.183655</v>
      </c>
      <c r="R232" s="697">
        <f t="shared" si="153"/>
        <v>96118520432.183655</v>
      </c>
      <c r="S232" s="697">
        <f t="shared" si="154"/>
        <v>97718520432.183655</v>
      </c>
      <c r="T232" s="823"/>
      <c r="V232" s="697">
        <f t="shared" si="155"/>
        <v>97718520432.183655</v>
      </c>
      <c r="W232" s="699"/>
      <c r="X232" s="1023"/>
      <c r="Y232" s="696"/>
      <c r="Z232" s="700"/>
      <c r="AA232" s="701"/>
      <c r="AB232" s="702"/>
      <c r="AC232" s="701"/>
      <c r="AD232" s="702"/>
      <c r="AE232" s="701"/>
      <c r="AF232" s="702"/>
      <c r="AL232" s="489"/>
      <c r="AM232" s="489"/>
      <c r="AN232" s="489"/>
      <c r="AO232" s="489"/>
      <c r="AP232" s="489"/>
      <c r="AQ232" s="489"/>
      <c r="AR232" s="489"/>
      <c r="AS232" s="489"/>
    </row>
    <row r="233" spans="1:45" s="484" customFormat="1">
      <c r="A233" s="695" t="s">
        <v>1287</v>
      </c>
      <c r="B233" s="643"/>
      <c r="C233" s="528"/>
      <c r="D233" s="696"/>
      <c r="E233" s="697">
        <f t="shared" si="156"/>
        <v>0</v>
      </c>
      <c r="F233" s="698"/>
      <c r="G233" s="697">
        <f t="shared" si="157"/>
        <v>0</v>
      </c>
      <c r="H233" s="697">
        <f t="shared" si="158"/>
        <v>0</v>
      </c>
      <c r="I233" s="697">
        <f t="shared" si="144"/>
        <v>0</v>
      </c>
      <c r="J233" s="697">
        <f t="shared" si="145"/>
        <v>0</v>
      </c>
      <c r="K233" s="697">
        <f t="shared" si="146"/>
        <v>0</v>
      </c>
      <c r="L233" s="697">
        <f t="shared" si="147"/>
        <v>0</v>
      </c>
      <c r="M233" s="697">
        <f t="shared" si="148"/>
        <v>0</v>
      </c>
      <c r="N233" s="697">
        <f t="shared" si="149"/>
        <v>0</v>
      </c>
      <c r="O233" s="697">
        <f t="shared" si="150"/>
        <v>0</v>
      </c>
      <c r="P233" s="697">
        <f t="shared" si="151"/>
        <v>0</v>
      </c>
      <c r="Q233" s="697">
        <f t="shared" si="152"/>
        <v>0</v>
      </c>
      <c r="R233" s="697">
        <f t="shared" si="153"/>
        <v>0</v>
      </c>
      <c r="S233" s="697">
        <f t="shared" si="154"/>
        <v>0</v>
      </c>
      <c r="T233" s="823"/>
      <c r="V233" s="697">
        <f t="shared" si="155"/>
        <v>0</v>
      </c>
      <c r="W233" s="699"/>
      <c r="X233" s="1023"/>
      <c r="Y233" s="696"/>
      <c r="Z233" s="700"/>
      <c r="AA233" s="701"/>
      <c r="AB233" s="702"/>
      <c r="AC233" s="701"/>
      <c r="AD233" s="702"/>
      <c r="AE233" s="701"/>
      <c r="AF233" s="702"/>
      <c r="AL233" s="489"/>
      <c r="AM233" s="489"/>
      <c r="AN233" s="489"/>
      <c r="AO233" s="489"/>
      <c r="AP233" s="489"/>
      <c r="AQ233" s="489"/>
      <c r="AR233" s="489"/>
      <c r="AS233" s="489"/>
    </row>
    <row r="234" spans="1:45" s="484" customFormat="1">
      <c r="A234" s="695" t="s">
        <v>1288</v>
      </c>
      <c r="B234" s="643"/>
      <c r="C234" s="528"/>
      <c r="D234" s="696"/>
      <c r="E234" s="697">
        <f t="shared" si="156"/>
        <v>438804075760.72601</v>
      </c>
      <c r="F234" s="698"/>
      <c r="G234" s="697">
        <f t="shared" si="157"/>
        <v>123361444236.78003</v>
      </c>
      <c r="H234" s="697">
        <f t="shared" si="158"/>
        <v>123361444236.78003</v>
      </c>
      <c r="I234" s="697">
        <f t="shared" si="144"/>
        <v>123361444236.78003</v>
      </c>
      <c r="J234" s="697">
        <f t="shared" si="145"/>
        <v>123361444236.78003</v>
      </c>
      <c r="K234" s="697">
        <f t="shared" si="146"/>
        <v>123361444236.78003</v>
      </c>
      <c r="L234" s="697">
        <f t="shared" si="147"/>
        <v>123361444236.78003</v>
      </c>
      <c r="M234" s="697">
        <f t="shared" si="148"/>
        <v>123361444236.78003</v>
      </c>
      <c r="N234" s="697">
        <f t="shared" si="149"/>
        <v>123361444236.78003</v>
      </c>
      <c r="O234" s="697">
        <f t="shared" si="150"/>
        <v>123361444236.78003</v>
      </c>
      <c r="P234" s="697">
        <f t="shared" si="151"/>
        <v>123361444236.78003</v>
      </c>
      <c r="Q234" s="697">
        <f t="shared" si="152"/>
        <v>123361444236.78003</v>
      </c>
      <c r="R234" s="697">
        <f t="shared" si="153"/>
        <v>123361444236.78003</v>
      </c>
      <c r="S234" s="697">
        <f t="shared" si="154"/>
        <v>123361444236.78003</v>
      </c>
      <c r="T234" s="823"/>
      <c r="V234" s="697">
        <f t="shared" si="155"/>
        <v>123361444236.78003</v>
      </c>
      <c r="W234" s="699"/>
      <c r="X234" s="1023"/>
      <c r="Y234" s="696"/>
      <c r="Z234" s="700"/>
      <c r="AA234" s="701"/>
      <c r="AB234" s="702"/>
      <c r="AC234" s="701"/>
      <c r="AD234" s="702"/>
      <c r="AE234" s="701"/>
      <c r="AF234" s="702"/>
      <c r="AL234" s="489"/>
      <c r="AM234" s="489"/>
      <c r="AN234" s="489"/>
      <c r="AO234" s="489"/>
      <c r="AP234" s="489"/>
      <c r="AQ234" s="489"/>
      <c r="AR234" s="489"/>
      <c r="AS234" s="489"/>
    </row>
    <row r="235" spans="1:45" s="484" customFormat="1">
      <c r="A235" s="695" t="s">
        <v>1289</v>
      </c>
      <c r="B235" s="643"/>
      <c r="C235" s="528"/>
      <c r="D235" s="696"/>
      <c r="E235" s="697">
        <f t="shared" si="156"/>
        <v>26856480580.900322</v>
      </c>
      <c r="F235" s="698"/>
      <c r="G235" s="697">
        <f t="shared" si="157"/>
        <v>65926547922.679138</v>
      </c>
      <c r="H235" s="697">
        <f t="shared" si="158"/>
        <v>83476547922.679138</v>
      </c>
      <c r="I235" s="697">
        <f t="shared" si="144"/>
        <v>137593214589.34579</v>
      </c>
      <c r="J235" s="697">
        <f t="shared" si="145"/>
        <v>119776547922.67914</v>
      </c>
      <c r="K235" s="697">
        <f t="shared" si="146"/>
        <v>137593214589.34579</v>
      </c>
      <c r="L235" s="697">
        <f t="shared" si="147"/>
        <v>155609881256.01248</v>
      </c>
      <c r="M235" s="697">
        <f t="shared" si="148"/>
        <v>173626547922.67914</v>
      </c>
      <c r="N235" s="697">
        <f t="shared" si="149"/>
        <v>188372214589.34579</v>
      </c>
      <c r="O235" s="697">
        <f t="shared" si="150"/>
        <v>203755881256.01248</v>
      </c>
      <c r="P235" s="697">
        <f t="shared" si="151"/>
        <v>218501547922.67914</v>
      </c>
      <c r="Q235" s="697">
        <f t="shared" si="152"/>
        <v>227476547922.67914</v>
      </c>
      <c r="R235" s="697">
        <f t="shared" si="153"/>
        <v>236451547922.67914</v>
      </c>
      <c r="S235" s="697">
        <f t="shared" si="154"/>
        <v>245426547922.67914</v>
      </c>
      <c r="T235" s="823"/>
      <c r="V235" s="697">
        <f t="shared" si="155"/>
        <v>245426547922.67914</v>
      </c>
      <c r="W235" s="699"/>
      <c r="X235" s="1023"/>
      <c r="Y235" s="696"/>
      <c r="Z235" s="700"/>
      <c r="AA235" s="701"/>
      <c r="AB235" s="702"/>
      <c r="AC235" s="701"/>
      <c r="AD235" s="702"/>
      <c r="AE235" s="701"/>
      <c r="AF235" s="702"/>
      <c r="AL235" s="489"/>
      <c r="AM235" s="489"/>
      <c r="AN235" s="489"/>
      <c r="AO235" s="489"/>
      <c r="AP235" s="489"/>
      <c r="AQ235" s="489"/>
      <c r="AR235" s="489"/>
      <c r="AS235" s="489"/>
    </row>
    <row r="236" spans="1:45" s="484" customFormat="1">
      <c r="A236" s="695" t="s">
        <v>1290</v>
      </c>
      <c r="B236" s="638">
        <v>783374182305.89893</v>
      </c>
      <c r="C236" s="639"/>
      <c r="D236" s="639"/>
      <c r="E236" s="697">
        <f t="shared" si="156"/>
        <v>77470809215.530701</v>
      </c>
      <c r="F236" s="703"/>
      <c r="G236" s="697">
        <f t="shared" si="157"/>
        <v>131668963116.98</v>
      </c>
      <c r="H236" s="697">
        <f t="shared" si="158"/>
        <v>131668963116.98</v>
      </c>
      <c r="I236" s="697">
        <f t="shared" si="144"/>
        <v>131668963116.98</v>
      </c>
      <c r="J236" s="697">
        <f t="shared" si="145"/>
        <v>131668963116.98</v>
      </c>
      <c r="K236" s="697">
        <f t="shared" si="146"/>
        <v>131668963116.98</v>
      </c>
      <c r="L236" s="697">
        <f t="shared" si="147"/>
        <v>131668963116.98</v>
      </c>
      <c r="M236" s="697">
        <f t="shared" si="148"/>
        <v>131668963116.98</v>
      </c>
      <c r="N236" s="697">
        <f t="shared" si="149"/>
        <v>131668963116.98</v>
      </c>
      <c r="O236" s="697">
        <f t="shared" si="150"/>
        <v>131668963116.98</v>
      </c>
      <c r="P236" s="697">
        <f t="shared" si="151"/>
        <v>131668963116.98</v>
      </c>
      <c r="Q236" s="697">
        <f t="shared" si="152"/>
        <v>131668963116.98</v>
      </c>
      <c r="R236" s="697">
        <f t="shared" si="153"/>
        <v>131668963116.98</v>
      </c>
      <c r="S236" s="697">
        <f t="shared" si="154"/>
        <v>131668963116.98</v>
      </c>
      <c r="T236" s="823"/>
      <c r="V236" s="697">
        <f t="shared" si="155"/>
        <v>131668963116.98</v>
      </c>
      <c r="W236" s="704"/>
      <c r="X236" s="1015"/>
      <c r="Y236" s="675" t="e">
        <f>Y260+Y298+Y336+#REF!+#REF!+#REF!+#REF!</f>
        <v>#REF!</v>
      </c>
      <c r="Z236" s="664"/>
      <c r="AA236" s="675" t="e">
        <f>AA260+AA298+AA336+#REF!+#REF!+#REF!+#REF!</f>
        <v>#REF!</v>
      </c>
      <c r="AB236" s="664"/>
      <c r="AC236" s="675" t="e">
        <f>AC260+AC298+AC336+#REF!+#REF!+#REF!+#REF!</f>
        <v>#REF!</v>
      </c>
      <c r="AD236" s="664"/>
      <c r="AE236" s="675" t="e">
        <f>AE260+AE298+AE336+#REF!+#REF!+#REF!+#REF!</f>
        <v>#REF!</v>
      </c>
      <c r="AF236" s="664"/>
      <c r="AL236" s="489"/>
      <c r="AM236" s="489"/>
      <c r="AN236" s="489"/>
      <c r="AO236" s="489"/>
      <c r="AP236" s="489"/>
      <c r="AQ236" s="489"/>
      <c r="AR236" s="489"/>
      <c r="AS236" s="489"/>
    </row>
    <row r="237" spans="1:45" s="484" customFormat="1" ht="14.5">
      <c r="A237" s="695" t="s">
        <v>1291</v>
      </c>
      <c r="B237" s="647"/>
      <c r="C237" s="644"/>
      <c r="D237" s="644"/>
      <c r="E237" s="697">
        <f t="shared" si="156"/>
        <v>47144656773.544701</v>
      </c>
      <c r="F237" s="705"/>
      <c r="G237" s="697">
        <f t="shared" si="157"/>
        <v>47853491873.360001</v>
      </c>
      <c r="H237" s="697">
        <f t="shared" si="158"/>
        <v>47853491873.360001</v>
      </c>
      <c r="I237" s="697">
        <f t="shared" si="144"/>
        <v>47853491873.360001</v>
      </c>
      <c r="J237" s="697">
        <f t="shared" si="145"/>
        <v>47853491873.360001</v>
      </c>
      <c r="K237" s="697">
        <f t="shared" si="146"/>
        <v>47853491873.360001</v>
      </c>
      <c r="L237" s="697">
        <f t="shared" si="147"/>
        <v>47853491873.360001</v>
      </c>
      <c r="M237" s="697">
        <f t="shared" si="148"/>
        <v>47853491873.360001</v>
      </c>
      <c r="N237" s="697">
        <f t="shared" si="149"/>
        <v>47853491873.360001</v>
      </c>
      <c r="O237" s="697">
        <f t="shared" si="150"/>
        <v>47853491873.360001</v>
      </c>
      <c r="P237" s="697">
        <f t="shared" si="151"/>
        <v>47853491873.360001</v>
      </c>
      <c r="Q237" s="697">
        <f t="shared" si="152"/>
        <v>47853491873.360001</v>
      </c>
      <c r="R237" s="697">
        <f t="shared" si="153"/>
        <v>47853491873.360001</v>
      </c>
      <c r="S237" s="697">
        <f t="shared" si="154"/>
        <v>47853491873.360001</v>
      </c>
      <c r="T237" s="823"/>
      <c r="V237" s="697">
        <f t="shared" si="155"/>
        <v>47853491873.360001</v>
      </c>
      <c r="W237" s="704"/>
      <c r="X237" s="1016"/>
      <c r="Y237" s="675" t="e">
        <f>Y261+Y299+Y337+#REF!+#REF!+#REF!+#REF!</f>
        <v>#REF!</v>
      </c>
      <c r="Z237" s="670"/>
      <c r="AA237" s="675" t="e">
        <f>AA261+AA299+AA337+#REF!+#REF!+#REF!+#REF!</f>
        <v>#REF!</v>
      </c>
      <c r="AB237" s="670"/>
      <c r="AC237" s="675" t="e">
        <f>AC261+AC299+AC337+#REF!+#REF!+#REF!+#REF!</f>
        <v>#REF!</v>
      </c>
      <c r="AD237" s="670"/>
      <c r="AE237" s="675" t="e">
        <f>AE261+AE299+AE337+#REF!+#REF!+#REF!+#REF!</f>
        <v>#REF!</v>
      </c>
      <c r="AF237" s="670"/>
      <c r="AL237" s="489"/>
      <c r="AM237" s="489"/>
      <c r="AN237" s="489"/>
      <c r="AO237" s="489"/>
      <c r="AP237" s="489"/>
      <c r="AQ237" s="489"/>
      <c r="AR237" s="489"/>
      <c r="AS237" s="489"/>
    </row>
    <row r="238" spans="1:45" s="484" customFormat="1">
      <c r="A238" s="695" t="s">
        <v>1292</v>
      </c>
      <c r="B238" s="638">
        <v>421189267899.47174</v>
      </c>
      <c r="C238" s="639"/>
      <c r="D238" s="639"/>
      <c r="E238" s="697">
        <f t="shared" si="156"/>
        <v>11365389511.4128</v>
      </c>
      <c r="F238" s="703"/>
      <c r="G238" s="697">
        <f t="shared" si="157"/>
        <v>11418027962.01</v>
      </c>
      <c r="H238" s="697">
        <f t="shared" si="158"/>
        <v>11418027962.01</v>
      </c>
      <c r="I238" s="697">
        <f t="shared" si="144"/>
        <v>11418027962.01</v>
      </c>
      <c r="J238" s="697">
        <f t="shared" si="145"/>
        <v>11418027962.01</v>
      </c>
      <c r="K238" s="697">
        <f t="shared" si="146"/>
        <v>11418027962.01</v>
      </c>
      <c r="L238" s="697">
        <f t="shared" si="147"/>
        <v>11418027962.01</v>
      </c>
      <c r="M238" s="697">
        <f t="shared" si="148"/>
        <v>11418027962.01</v>
      </c>
      <c r="N238" s="697">
        <f t="shared" si="149"/>
        <v>11418027962.01</v>
      </c>
      <c r="O238" s="697">
        <f t="shared" si="150"/>
        <v>11418027962.01</v>
      </c>
      <c r="P238" s="697">
        <f t="shared" si="151"/>
        <v>11418027962.01</v>
      </c>
      <c r="Q238" s="697">
        <f t="shared" si="152"/>
        <v>11418027962.01</v>
      </c>
      <c r="R238" s="697">
        <f t="shared" si="153"/>
        <v>11418027962.01</v>
      </c>
      <c r="S238" s="697">
        <f t="shared" si="154"/>
        <v>11418027962.01</v>
      </c>
      <c r="T238" s="823"/>
      <c r="V238" s="697">
        <f t="shared" si="155"/>
        <v>11418027962.01</v>
      </c>
      <c r="W238" s="704"/>
      <c r="X238" s="1015"/>
      <c r="Y238" s="675" t="e">
        <f>Y262+Y300+Y338+#REF!+#REF!+#REF!+#REF!</f>
        <v>#REF!</v>
      </c>
      <c r="Z238" s="675"/>
      <c r="AA238" s="675" t="e">
        <f>AA262+AA300+AA338+#REF!+#REF!+#REF!+#REF!</f>
        <v>#REF!</v>
      </c>
      <c r="AB238" s="675"/>
      <c r="AC238" s="675" t="e">
        <f>AC262+AC300+AC338+#REF!+#REF!+#REF!+#REF!</f>
        <v>#REF!</v>
      </c>
      <c r="AD238" s="675"/>
      <c r="AE238" s="675" t="e">
        <f>AE262+AE300+AE338+#REF!+#REF!+#REF!+#REF!</f>
        <v>#REF!</v>
      </c>
      <c r="AF238" s="675"/>
      <c r="AL238" s="489"/>
      <c r="AM238" s="489"/>
      <c r="AN238" s="489"/>
      <c r="AO238" s="489"/>
      <c r="AP238" s="489"/>
      <c r="AQ238" s="489"/>
      <c r="AR238" s="489"/>
      <c r="AS238" s="489"/>
    </row>
    <row r="239" spans="1:45" s="484" customFormat="1" ht="14.5">
      <c r="A239" s="695" t="s">
        <v>1293</v>
      </c>
      <c r="B239" s="647"/>
      <c r="C239" s="644"/>
      <c r="D239" s="644"/>
      <c r="E239" s="697">
        <f t="shared" si="156"/>
        <v>10694182211.7153</v>
      </c>
      <c r="F239" s="705"/>
      <c r="G239" s="697">
        <f t="shared" si="157"/>
        <v>10591302240.93</v>
      </c>
      <c r="H239" s="697">
        <f t="shared" si="158"/>
        <v>10591302240.93</v>
      </c>
      <c r="I239" s="697">
        <f t="shared" si="144"/>
        <v>10591302240.93</v>
      </c>
      <c r="J239" s="697">
        <f t="shared" si="145"/>
        <v>10591302240.93</v>
      </c>
      <c r="K239" s="697">
        <f t="shared" si="146"/>
        <v>10591302240.93</v>
      </c>
      <c r="L239" s="697">
        <f t="shared" si="147"/>
        <v>10591302240.93</v>
      </c>
      <c r="M239" s="697">
        <f t="shared" si="148"/>
        <v>10591302240.93</v>
      </c>
      <c r="N239" s="697">
        <f t="shared" si="149"/>
        <v>10591302240.93</v>
      </c>
      <c r="O239" s="697">
        <f t="shared" si="150"/>
        <v>10591302240.93</v>
      </c>
      <c r="P239" s="697">
        <f t="shared" si="151"/>
        <v>10591302240.93</v>
      </c>
      <c r="Q239" s="697">
        <f t="shared" si="152"/>
        <v>10591302240.93</v>
      </c>
      <c r="R239" s="697">
        <f t="shared" si="153"/>
        <v>10591302240.93</v>
      </c>
      <c r="S239" s="697">
        <f t="shared" si="154"/>
        <v>10591302240.93</v>
      </c>
      <c r="T239" s="823"/>
      <c r="V239" s="697">
        <f t="shared" si="155"/>
        <v>10591302240.93</v>
      </c>
      <c r="W239" s="704"/>
      <c r="X239" s="1016"/>
      <c r="Y239" s="675" t="e">
        <f>Y263+Y301+Y339+#REF!+#REF!+#REF!+#REF!</f>
        <v>#REF!</v>
      </c>
      <c r="Z239" s="670"/>
      <c r="AA239" s="675" t="e">
        <f>AA263+AA301+AA339+#REF!+#REF!+#REF!+#REF!</f>
        <v>#REF!</v>
      </c>
      <c r="AB239" s="670"/>
      <c r="AC239" s="675" t="e">
        <f>AC263+AC301+AC339+#REF!+#REF!+#REF!+#REF!</f>
        <v>#REF!</v>
      </c>
      <c r="AD239" s="670"/>
      <c r="AE239" s="675" t="e">
        <f>AE263+AE301+AE339+#REF!+#REF!+#REF!+#REF!</f>
        <v>#REF!</v>
      </c>
      <c r="AF239" s="670"/>
      <c r="AL239" s="489"/>
      <c r="AM239" s="489"/>
      <c r="AN239" s="489"/>
      <c r="AO239" s="489"/>
      <c r="AP239" s="489"/>
      <c r="AQ239" s="489"/>
      <c r="AR239" s="489"/>
      <c r="AS239" s="489"/>
    </row>
    <row r="240" spans="1:45" s="484" customFormat="1">
      <c r="A240" s="695" t="s">
        <v>1294</v>
      </c>
      <c r="B240" s="638">
        <v>238198194854.80566</v>
      </c>
      <c r="C240" s="639"/>
      <c r="D240" s="639"/>
      <c r="E240" s="697">
        <f t="shared" si="156"/>
        <v>245672943742.59155</v>
      </c>
      <c r="F240" s="703"/>
      <c r="G240" s="697">
        <f t="shared" si="157"/>
        <v>328422944354.862</v>
      </c>
      <c r="H240" s="697">
        <f t="shared" si="158"/>
        <v>365697944354.862</v>
      </c>
      <c r="I240" s="697">
        <f t="shared" si="144"/>
        <v>489322944354.862</v>
      </c>
      <c r="J240" s="697">
        <f t="shared" si="145"/>
        <v>448447944354.862</v>
      </c>
      <c r="K240" s="697">
        <f t="shared" si="146"/>
        <v>489322944354.862</v>
      </c>
      <c r="L240" s="697">
        <f t="shared" si="147"/>
        <v>532897944354.862</v>
      </c>
      <c r="M240" s="697">
        <f t="shared" si="148"/>
        <v>577472944354.86206</v>
      </c>
      <c r="N240" s="697">
        <f t="shared" si="149"/>
        <v>615341444354.86206</v>
      </c>
      <c r="O240" s="697">
        <f t="shared" si="150"/>
        <v>654166944354.86206</v>
      </c>
      <c r="P240" s="697">
        <f t="shared" si="151"/>
        <v>692035444354.86206</v>
      </c>
      <c r="Q240" s="697">
        <f t="shared" si="152"/>
        <v>718247944354.86206</v>
      </c>
      <c r="R240" s="697">
        <f t="shared" si="153"/>
        <v>744460444354.86206</v>
      </c>
      <c r="S240" s="697">
        <f t="shared" si="154"/>
        <v>770672944354.86206</v>
      </c>
      <c r="T240" s="823"/>
      <c r="V240" s="697">
        <f t="shared" si="155"/>
        <v>770672944354.86206</v>
      </c>
      <c r="W240" s="704"/>
      <c r="X240" s="1015"/>
      <c r="Y240" s="675" t="e">
        <f>Y264+Y302+Y340+#REF!+#REF!+#REF!+#REF!</f>
        <v>#REF!</v>
      </c>
      <c r="Z240" s="675"/>
      <c r="AA240" s="675" t="e">
        <f>AA264+AA302+AA340+#REF!+#REF!+#REF!+#REF!</f>
        <v>#REF!</v>
      </c>
      <c r="AB240" s="675"/>
      <c r="AC240" s="675" t="e">
        <f>AC264+AC302+AC340+#REF!+#REF!+#REF!+#REF!</f>
        <v>#REF!</v>
      </c>
      <c r="AD240" s="675"/>
      <c r="AE240" s="675" t="e">
        <f>AE264+AE302+AE340+#REF!+#REF!+#REF!+#REF!</f>
        <v>#REF!</v>
      </c>
      <c r="AF240" s="675"/>
      <c r="AL240" s="489"/>
      <c r="AM240" s="489"/>
      <c r="AN240" s="489"/>
      <c r="AO240" s="489"/>
      <c r="AP240" s="489"/>
      <c r="AQ240" s="489"/>
      <c r="AR240" s="489"/>
      <c r="AS240" s="489"/>
    </row>
    <row r="241" spans="1:45" s="484" customFormat="1" ht="14.5">
      <c r="A241" s="695" t="s">
        <v>1295</v>
      </c>
      <c r="B241" s="647"/>
      <c r="C241" s="644"/>
      <c r="D241" s="644"/>
      <c r="E241" s="697">
        <f t="shared" si="156"/>
        <v>38703173300.773918</v>
      </c>
      <c r="F241" s="705"/>
      <c r="G241" s="697">
        <f t="shared" si="157"/>
        <v>58781633870.738579</v>
      </c>
      <c r="H241" s="697">
        <f t="shared" si="158"/>
        <v>66816633870.738579</v>
      </c>
      <c r="I241" s="697">
        <f t="shared" si="144"/>
        <v>93854967204.071915</v>
      </c>
      <c r="J241" s="697">
        <f t="shared" si="145"/>
        <v>85286633870.738586</v>
      </c>
      <c r="K241" s="697">
        <f t="shared" si="146"/>
        <v>93854967204.071915</v>
      </c>
      <c r="L241" s="697">
        <f t="shared" si="147"/>
        <v>103023300537.40524</v>
      </c>
      <c r="M241" s="697">
        <f t="shared" si="148"/>
        <v>112191633870.73857</v>
      </c>
      <c r="N241" s="697">
        <f t="shared" si="149"/>
        <v>119698667204.0719</v>
      </c>
      <c r="O241" s="697">
        <f t="shared" si="150"/>
        <v>127597100537.40524</v>
      </c>
      <c r="P241" s="697">
        <f t="shared" si="151"/>
        <v>135304133870.73859</v>
      </c>
      <c r="Q241" s="697">
        <f t="shared" si="152"/>
        <v>140146633870.73859</v>
      </c>
      <c r="R241" s="697">
        <f t="shared" si="153"/>
        <v>144989133870.73859</v>
      </c>
      <c r="S241" s="697">
        <f t="shared" si="154"/>
        <v>149831633870.73859</v>
      </c>
      <c r="T241" s="823"/>
      <c r="V241" s="697">
        <f t="shared" si="155"/>
        <v>149831633870.73859</v>
      </c>
      <c r="W241" s="704"/>
      <c r="X241" s="1016"/>
      <c r="Y241" s="675" t="e">
        <f>Y265+Y303+Y341+#REF!+#REF!+#REF!+#REF!</f>
        <v>#REF!</v>
      </c>
      <c r="Z241" s="670"/>
      <c r="AA241" s="675" t="e">
        <f>AA265+AA303+AA341+#REF!+#REF!+#REF!+#REF!</f>
        <v>#REF!</v>
      </c>
      <c r="AB241" s="670"/>
      <c r="AC241" s="675" t="e">
        <f>AC265+AC303+AC341+#REF!+#REF!+#REF!+#REF!</f>
        <v>#REF!</v>
      </c>
      <c r="AD241" s="670"/>
      <c r="AE241" s="675" t="e">
        <f>AE265+AE303+AE341+#REF!+#REF!+#REF!+#REF!</f>
        <v>#REF!</v>
      </c>
      <c r="AF241" s="670"/>
      <c r="AL241" s="489"/>
      <c r="AM241" s="489"/>
      <c r="AN241" s="489"/>
      <c r="AO241" s="489"/>
      <c r="AP241" s="489"/>
      <c r="AQ241" s="489"/>
      <c r="AR241" s="489"/>
      <c r="AS241" s="489"/>
    </row>
    <row r="242" spans="1:45" s="484" customFormat="1">
      <c r="A242" s="695" t="s">
        <v>1296</v>
      </c>
      <c r="B242" s="638">
        <v>20113828524.135494</v>
      </c>
      <c r="C242" s="639"/>
      <c r="D242" s="639"/>
      <c r="E242" s="697">
        <f t="shared" si="156"/>
        <v>28107913578.556587</v>
      </c>
      <c r="F242" s="703"/>
      <c r="G242" s="697">
        <f t="shared" si="157"/>
        <v>27984864354.47665</v>
      </c>
      <c r="H242" s="697">
        <f t="shared" si="158"/>
        <v>27984864354.47665</v>
      </c>
      <c r="I242" s="697">
        <f t="shared" si="144"/>
        <v>67234864354.476654</v>
      </c>
      <c r="J242" s="697">
        <f t="shared" si="145"/>
        <v>67234864354.476654</v>
      </c>
      <c r="K242" s="697">
        <f t="shared" si="146"/>
        <v>67234864354.476654</v>
      </c>
      <c r="L242" s="697">
        <f t="shared" si="147"/>
        <v>67234864354.476654</v>
      </c>
      <c r="M242" s="697">
        <f t="shared" si="148"/>
        <v>67234864354.476654</v>
      </c>
      <c r="N242" s="847">
        <f t="shared" si="149"/>
        <v>167234864354.47665</v>
      </c>
      <c r="O242" s="847">
        <f t="shared" si="150"/>
        <v>167234864354.47665</v>
      </c>
      <c r="P242" s="697">
        <f t="shared" si="151"/>
        <v>167234864354.47665</v>
      </c>
      <c r="Q242" s="697">
        <f t="shared" si="152"/>
        <v>267234864354.47665</v>
      </c>
      <c r="R242" s="697">
        <f t="shared" si="153"/>
        <v>267234864354.47665</v>
      </c>
      <c r="S242" s="697">
        <f t="shared" si="154"/>
        <v>267234864354.47665</v>
      </c>
      <c r="T242" s="823">
        <f>SUM(R242:R252)</f>
        <v>1362473424761.0166</v>
      </c>
      <c r="V242" s="697">
        <f t="shared" si="155"/>
        <v>267234864354.47665</v>
      </c>
      <c r="W242" s="704"/>
      <c r="X242" s="1015"/>
      <c r="Y242" s="675" t="e">
        <f>Y266+Y304+Y342+#REF!+#REF!+#REF!+#REF!</f>
        <v>#REF!</v>
      </c>
      <c r="Z242" s="675"/>
      <c r="AA242" s="675" t="e">
        <f>AA266+AA304+AA342+#REF!+#REF!+#REF!+#REF!</f>
        <v>#REF!</v>
      </c>
      <c r="AB242" s="675"/>
      <c r="AC242" s="675" t="e">
        <f>AC266+AC304+AC342+#REF!+#REF!+#REF!+#REF!</f>
        <v>#REF!</v>
      </c>
      <c r="AD242" s="675"/>
      <c r="AE242" s="675" t="e">
        <f>AE266+AE304+AE342+#REF!+#REF!+#REF!+#REF!</f>
        <v>#REF!</v>
      </c>
      <c r="AF242" s="675"/>
      <c r="AL242" s="489"/>
      <c r="AM242" s="489"/>
      <c r="AN242" s="489"/>
      <c r="AO242" s="489"/>
      <c r="AP242" s="489"/>
      <c r="AQ242" s="489"/>
      <c r="AR242" s="489"/>
      <c r="AS242" s="489"/>
    </row>
    <row r="243" spans="1:45" s="484" customFormat="1" ht="14.5">
      <c r="A243" s="695" t="s">
        <v>1297</v>
      </c>
      <c r="B243" s="647"/>
      <c r="C243" s="644"/>
      <c r="D243" s="644"/>
      <c r="E243" s="697">
        <f t="shared" si="156"/>
        <v>101573904253.99699</v>
      </c>
      <c r="F243" s="705"/>
      <c r="G243" s="697">
        <f t="shared" si="157"/>
        <v>102430470498.66129</v>
      </c>
      <c r="H243" s="697">
        <f t="shared" si="158"/>
        <v>102430470498.66129</v>
      </c>
      <c r="I243" s="697">
        <f t="shared" si="144"/>
        <v>102430470498.66129</v>
      </c>
      <c r="J243" s="697">
        <f t="shared" si="145"/>
        <v>102430470498.66129</v>
      </c>
      <c r="K243" s="697">
        <f t="shared" si="146"/>
        <v>102430470498.66129</v>
      </c>
      <c r="L243" s="697">
        <f t="shared" si="147"/>
        <v>102430470498.66129</v>
      </c>
      <c r="M243" s="697">
        <f t="shared" si="148"/>
        <v>102430470498.66129</v>
      </c>
      <c r="N243" s="847">
        <f t="shared" si="149"/>
        <v>102430470498.66129</v>
      </c>
      <c r="O243" s="847">
        <f t="shared" si="150"/>
        <v>102430470498.66129</v>
      </c>
      <c r="P243" s="697">
        <f t="shared" si="151"/>
        <v>102430470498.66129</v>
      </c>
      <c r="Q243" s="697">
        <f t="shared" si="152"/>
        <v>102430470498.66129</v>
      </c>
      <c r="R243" s="697">
        <f t="shared" si="153"/>
        <v>102430470498.66129</v>
      </c>
      <c r="S243" s="697">
        <f t="shared" si="154"/>
        <v>102430470498.66129</v>
      </c>
      <c r="T243" s="823"/>
      <c r="V243" s="697">
        <f t="shared" si="155"/>
        <v>102430470498.66129</v>
      </c>
      <c r="W243" s="704"/>
      <c r="X243" s="1016"/>
      <c r="Y243" s="675" t="e">
        <f>Y267+Y305+Y343+#REF!+#REF!+#REF!+#REF!</f>
        <v>#REF!</v>
      </c>
      <c r="Z243" s="670"/>
      <c r="AA243" s="675" t="e">
        <f>AA267+AA305+AA343+#REF!+#REF!+#REF!+#REF!</f>
        <v>#REF!</v>
      </c>
      <c r="AB243" s="670"/>
      <c r="AC243" s="675" t="e">
        <f>AC267+AC305+AC343+#REF!+#REF!+#REF!+#REF!</f>
        <v>#REF!</v>
      </c>
      <c r="AD243" s="670"/>
      <c r="AE243" s="675" t="e">
        <f>AE267+AE305+AE343+#REF!+#REF!+#REF!+#REF!</f>
        <v>#REF!</v>
      </c>
      <c r="AF243" s="670"/>
      <c r="AL243" s="489"/>
      <c r="AM243" s="489"/>
      <c r="AN243" s="489"/>
      <c r="AO243" s="489"/>
      <c r="AP243" s="489"/>
      <c r="AQ243" s="489"/>
      <c r="AR243" s="489"/>
      <c r="AS243" s="489"/>
    </row>
    <row r="244" spans="1:45" s="484" customFormat="1">
      <c r="A244" s="695" t="s">
        <v>1298</v>
      </c>
      <c r="B244" s="638">
        <v>24736360691.013569</v>
      </c>
      <c r="C244" s="639"/>
      <c r="D244" s="639"/>
      <c r="E244" s="697">
        <f t="shared" si="156"/>
        <v>239931864896</v>
      </c>
      <c r="F244" s="703"/>
      <c r="G244" s="697">
        <f t="shared" si="157"/>
        <v>227141049941.98001</v>
      </c>
      <c r="H244" s="697">
        <f t="shared" si="158"/>
        <v>227141049941.98001</v>
      </c>
      <c r="I244" s="697">
        <f t="shared" si="144"/>
        <v>227141049941.98001</v>
      </c>
      <c r="J244" s="697">
        <f t="shared" si="145"/>
        <v>227141049941.98001</v>
      </c>
      <c r="K244" s="697">
        <f t="shared" si="146"/>
        <v>227141049941.98001</v>
      </c>
      <c r="L244" s="697">
        <f t="shared" si="147"/>
        <v>227141049941.98001</v>
      </c>
      <c r="M244" s="697">
        <f t="shared" si="148"/>
        <v>227141049941.98001</v>
      </c>
      <c r="N244" s="847">
        <f t="shared" si="149"/>
        <v>227141049941.98001</v>
      </c>
      <c r="O244" s="847">
        <f t="shared" si="150"/>
        <v>227141049941.98001</v>
      </c>
      <c r="P244" s="697">
        <f t="shared" si="151"/>
        <v>227141049941.98001</v>
      </c>
      <c r="Q244" s="697">
        <f t="shared" si="152"/>
        <v>227141049941.98001</v>
      </c>
      <c r="R244" s="697">
        <f t="shared" si="153"/>
        <v>227141049941.98001</v>
      </c>
      <c r="S244" s="697">
        <f t="shared" si="154"/>
        <v>227141049941.98001</v>
      </c>
      <c r="T244" s="823"/>
      <c r="V244" s="697">
        <f t="shared" si="155"/>
        <v>227141049941.98001</v>
      </c>
      <c r="W244" s="704"/>
      <c r="X244" s="1015"/>
      <c r="Y244" s="675" t="e">
        <f>Y268+Y306+Y344+#REF!+#REF!+#REF!+#REF!</f>
        <v>#REF!</v>
      </c>
      <c r="Z244" s="675"/>
      <c r="AA244" s="675" t="e">
        <f>AA268+AA306+AA344+#REF!+#REF!+#REF!+#REF!</f>
        <v>#REF!</v>
      </c>
      <c r="AB244" s="675"/>
      <c r="AC244" s="675" t="e">
        <f>AC268+AC306+AC344+#REF!+#REF!+#REF!+#REF!</f>
        <v>#REF!</v>
      </c>
      <c r="AD244" s="675"/>
      <c r="AE244" s="675" t="e">
        <f>AE268+AE306+AE344+#REF!+#REF!+#REF!+#REF!</f>
        <v>#REF!</v>
      </c>
      <c r="AF244" s="675"/>
      <c r="AL244" s="489"/>
      <c r="AM244" s="489"/>
      <c r="AN244" s="489"/>
      <c r="AO244" s="489"/>
      <c r="AP244" s="489"/>
      <c r="AQ244" s="489"/>
      <c r="AR244" s="489"/>
      <c r="AS244" s="489"/>
    </row>
    <row r="245" spans="1:45" s="484" customFormat="1" ht="14.5">
      <c r="A245" s="695" t="s">
        <v>1299</v>
      </c>
      <c r="B245" s="647"/>
      <c r="C245" s="644"/>
      <c r="D245" s="644"/>
      <c r="E245" s="697">
        <f t="shared" si="156"/>
        <v>66944297630.387848</v>
      </c>
      <c r="F245" s="705"/>
      <c r="G245" s="697">
        <f t="shared" si="157"/>
        <v>67994083994.788513</v>
      </c>
      <c r="H245" s="697">
        <f t="shared" si="158"/>
        <v>67994083994.788513</v>
      </c>
      <c r="I245" s="697">
        <f t="shared" si="144"/>
        <v>67994083994.788513</v>
      </c>
      <c r="J245" s="697">
        <f t="shared" si="145"/>
        <v>67994083994.788513</v>
      </c>
      <c r="K245" s="697">
        <f t="shared" si="146"/>
        <v>67994083994.788513</v>
      </c>
      <c r="L245" s="697">
        <f t="shared" si="147"/>
        <v>67994083994.788513</v>
      </c>
      <c r="M245" s="697">
        <f t="shared" si="148"/>
        <v>67994083994.788513</v>
      </c>
      <c r="N245" s="847">
        <f t="shared" si="149"/>
        <v>67994083994.788513</v>
      </c>
      <c r="O245" s="847">
        <f t="shared" si="150"/>
        <v>67994083994.788513</v>
      </c>
      <c r="P245" s="697">
        <f t="shared" si="151"/>
        <v>67994083994.788513</v>
      </c>
      <c r="Q245" s="697">
        <f t="shared" si="152"/>
        <v>67994083994.788513</v>
      </c>
      <c r="R245" s="697">
        <f t="shared" si="153"/>
        <v>67994083994.788513</v>
      </c>
      <c r="S245" s="697">
        <f t="shared" si="154"/>
        <v>67994083994.788513</v>
      </c>
      <c r="T245" s="823"/>
      <c r="V245" s="697">
        <f t="shared" si="155"/>
        <v>67994083994.788513</v>
      </c>
      <c r="W245" s="704"/>
      <c r="X245" s="1016"/>
      <c r="Y245" s="675" t="e">
        <f>Y269+Y307+Y345+#REF!+#REF!+#REF!+#REF!</f>
        <v>#REF!</v>
      </c>
      <c r="Z245" s="670"/>
      <c r="AA245" s="675" t="e">
        <f>AA269+AA307+AA345+#REF!+#REF!+#REF!+#REF!</f>
        <v>#REF!</v>
      </c>
      <c r="AB245" s="670"/>
      <c r="AC245" s="675" t="e">
        <f>AC269+AC307+AC345+#REF!+#REF!+#REF!+#REF!</f>
        <v>#REF!</v>
      </c>
      <c r="AD245" s="670"/>
      <c r="AE245" s="675" t="e">
        <f>AE269+AE307+AE345+#REF!+#REF!+#REF!+#REF!</f>
        <v>#REF!</v>
      </c>
      <c r="AF245" s="670"/>
      <c r="AL245" s="489"/>
      <c r="AM245" s="489"/>
      <c r="AN245" s="489"/>
      <c r="AO245" s="489"/>
      <c r="AP245" s="489"/>
      <c r="AQ245" s="489"/>
      <c r="AR245" s="489"/>
      <c r="AS245" s="489"/>
    </row>
    <row r="246" spans="1:45" s="484" customFormat="1">
      <c r="A246" s="695" t="s">
        <v>1300</v>
      </c>
      <c r="B246" s="638">
        <v>71671965826.007294</v>
      </c>
      <c r="C246" s="639"/>
      <c r="D246" s="639"/>
      <c r="E246" s="697">
        <f t="shared" si="156"/>
        <v>104999714040</v>
      </c>
      <c r="F246" s="703"/>
      <c r="G246" s="697">
        <f t="shared" si="157"/>
        <v>105476849985</v>
      </c>
      <c r="H246" s="697">
        <f t="shared" si="158"/>
        <v>105476849985</v>
      </c>
      <c r="I246" s="697">
        <f t="shared" si="144"/>
        <v>105476849985</v>
      </c>
      <c r="J246" s="697">
        <f t="shared" si="145"/>
        <v>105476849985</v>
      </c>
      <c r="K246" s="697">
        <f t="shared" si="146"/>
        <v>105476849985</v>
      </c>
      <c r="L246" s="697">
        <f t="shared" si="147"/>
        <v>105476849985</v>
      </c>
      <c r="M246" s="697">
        <f t="shared" si="148"/>
        <v>105476849985</v>
      </c>
      <c r="N246" s="847">
        <f t="shared" si="149"/>
        <v>105476849985</v>
      </c>
      <c r="O246" s="847">
        <f t="shared" si="150"/>
        <v>105476849985</v>
      </c>
      <c r="P246" s="697">
        <f t="shared" si="151"/>
        <v>105476849985</v>
      </c>
      <c r="Q246" s="697">
        <f t="shared" si="152"/>
        <v>105476849985</v>
      </c>
      <c r="R246" s="697">
        <f t="shared" si="153"/>
        <v>105476849985</v>
      </c>
      <c r="S246" s="697">
        <f t="shared" si="154"/>
        <v>105476849985</v>
      </c>
      <c r="T246" s="823"/>
      <c r="V246" s="697">
        <f t="shared" si="155"/>
        <v>105476849985</v>
      </c>
      <c r="W246" s="704"/>
      <c r="X246" s="1015"/>
      <c r="Y246" s="675" t="e">
        <f>Y270+Y308+Y346+#REF!+#REF!+#REF!+#REF!</f>
        <v>#REF!</v>
      </c>
      <c r="Z246" s="675"/>
      <c r="AA246" s="675" t="e">
        <f>AA270+AA308+AA346+#REF!+#REF!+#REF!+#REF!</f>
        <v>#REF!</v>
      </c>
      <c r="AB246" s="675"/>
      <c r="AC246" s="675" t="e">
        <f>AC270+AC308+AC346+#REF!+#REF!+#REF!+#REF!</f>
        <v>#REF!</v>
      </c>
      <c r="AD246" s="675"/>
      <c r="AE246" s="675" t="e">
        <f>AE270+AE308+AE346+#REF!+#REF!+#REF!+#REF!</f>
        <v>#REF!</v>
      </c>
      <c r="AF246" s="675"/>
      <c r="AL246" s="489"/>
      <c r="AM246" s="489"/>
      <c r="AN246" s="489"/>
      <c r="AO246" s="489"/>
      <c r="AP246" s="489"/>
      <c r="AQ246" s="489"/>
      <c r="AR246" s="489"/>
      <c r="AS246" s="489"/>
    </row>
    <row r="247" spans="1:45" s="484" customFormat="1" ht="14.5">
      <c r="A247" s="695" t="s">
        <v>1301</v>
      </c>
      <c r="B247" s="647"/>
      <c r="C247" s="644"/>
      <c r="D247" s="644"/>
      <c r="E247" s="697">
        <f t="shared" si="156"/>
        <v>0</v>
      </c>
      <c r="F247" s="705"/>
      <c r="G247" s="697">
        <f t="shared" si="157"/>
        <v>0</v>
      </c>
      <c r="H247" s="697">
        <f t="shared" si="158"/>
        <v>0</v>
      </c>
      <c r="I247" s="697">
        <f t="shared" si="144"/>
        <v>0</v>
      </c>
      <c r="J247" s="697">
        <f t="shared" si="145"/>
        <v>0</v>
      </c>
      <c r="K247" s="697">
        <f t="shared" si="146"/>
        <v>0</v>
      </c>
      <c r="L247" s="697">
        <f t="shared" si="147"/>
        <v>0</v>
      </c>
      <c r="M247" s="697">
        <f t="shared" si="148"/>
        <v>0</v>
      </c>
      <c r="N247" s="847">
        <f t="shared" si="149"/>
        <v>0</v>
      </c>
      <c r="O247" s="847">
        <f t="shared" si="150"/>
        <v>0</v>
      </c>
      <c r="P247" s="697">
        <f t="shared" si="151"/>
        <v>0</v>
      </c>
      <c r="Q247" s="697">
        <f t="shared" si="152"/>
        <v>0</v>
      </c>
      <c r="R247" s="697">
        <f t="shared" si="153"/>
        <v>0</v>
      </c>
      <c r="S247" s="697">
        <f t="shared" si="154"/>
        <v>0</v>
      </c>
      <c r="T247" s="823"/>
      <c r="V247" s="697">
        <f t="shared" si="155"/>
        <v>0</v>
      </c>
      <c r="W247" s="704"/>
      <c r="X247" s="1016"/>
      <c r="Y247" s="675" t="e">
        <f>Y271+Y309+Y347+#REF!+#REF!+#REF!+#REF!</f>
        <v>#REF!</v>
      </c>
      <c r="Z247" s="670"/>
      <c r="AA247" s="675" t="e">
        <f>AA271+AA309+AA347+#REF!+#REF!+#REF!+#REF!</f>
        <v>#REF!</v>
      </c>
      <c r="AB247" s="670"/>
      <c r="AC247" s="675" t="e">
        <f>AC271+AC309+AC347+#REF!+#REF!+#REF!+#REF!</f>
        <v>#REF!</v>
      </c>
      <c r="AD247" s="670"/>
      <c r="AE247" s="675" t="e">
        <f>AE271+AE309+AE347+#REF!+#REF!+#REF!+#REF!</f>
        <v>#REF!</v>
      </c>
      <c r="AF247" s="670"/>
      <c r="AL247" s="489"/>
      <c r="AM247" s="489"/>
      <c r="AN247" s="489"/>
      <c r="AO247" s="489"/>
      <c r="AP247" s="489"/>
      <c r="AQ247" s="489"/>
      <c r="AR247" s="489"/>
      <c r="AS247" s="489"/>
    </row>
    <row r="248" spans="1:45" s="484" customFormat="1">
      <c r="A248" s="695" t="s">
        <v>1302</v>
      </c>
      <c r="B248" s="638">
        <v>15157716408.29517</v>
      </c>
      <c r="C248" s="639"/>
      <c r="D248" s="639"/>
      <c r="E248" s="697">
        <f t="shared" si="156"/>
        <v>143447023268.64001</v>
      </c>
      <c r="F248" s="703"/>
      <c r="G248" s="697">
        <f t="shared" si="157"/>
        <v>142932372660.10999</v>
      </c>
      <c r="H248" s="697">
        <f t="shared" si="158"/>
        <v>142932372660.10999</v>
      </c>
      <c r="I248" s="697">
        <f t="shared" si="144"/>
        <v>142932372660.10999</v>
      </c>
      <c r="J248" s="697">
        <f t="shared" si="145"/>
        <v>142932372660.10999</v>
      </c>
      <c r="K248" s="697">
        <f t="shared" si="146"/>
        <v>142932372660.10999</v>
      </c>
      <c r="L248" s="697">
        <f t="shared" si="147"/>
        <v>142932372660.10999</v>
      </c>
      <c r="M248" s="697">
        <f t="shared" si="148"/>
        <v>142932372660.10999</v>
      </c>
      <c r="N248" s="847">
        <f t="shared" si="149"/>
        <v>142932372660.10999</v>
      </c>
      <c r="O248" s="847">
        <f t="shared" si="150"/>
        <v>142932372660.10999</v>
      </c>
      <c r="P248" s="697">
        <f t="shared" si="151"/>
        <v>142932372660.10999</v>
      </c>
      <c r="Q248" s="697">
        <f t="shared" si="152"/>
        <v>142932372660.10999</v>
      </c>
      <c r="R248" s="697">
        <f t="shared" si="153"/>
        <v>142932372660.10999</v>
      </c>
      <c r="S248" s="697">
        <f t="shared" si="154"/>
        <v>142932372660.10999</v>
      </c>
      <c r="T248" s="823"/>
      <c r="V248" s="697">
        <f t="shared" si="155"/>
        <v>142932372660.10999</v>
      </c>
      <c r="W248" s="704"/>
      <c r="X248" s="1015"/>
      <c r="Y248" s="675"/>
      <c r="Z248" s="675"/>
      <c r="AA248" s="675" t="e">
        <f>AA272+AA310+AA348+#REF!+#REF!+#REF!+#REF!</f>
        <v>#REF!</v>
      </c>
      <c r="AB248" s="675"/>
      <c r="AC248" s="675" t="e">
        <f>AC272+AC310+AC348+#REF!+#REF!+#REF!+#REF!</f>
        <v>#REF!</v>
      </c>
      <c r="AD248" s="675"/>
      <c r="AE248" s="675" t="e">
        <f>AE272+AE310+AE348+#REF!+#REF!+#REF!+#REF!</f>
        <v>#REF!</v>
      </c>
      <c r="AF248" s="675"/>
      <c r="AL248" s="489"/>
      <c r="AM248" s="489"/>
      <c r="AN248" s="489"/>
      <c r="AO248" s="489"/>
      <c r="AP248" s="489"/>
      <c r="AQ248" s="489"/>
      <c r="AR248" s="489"/>
      <c r="AS248" s="489"/>
    </row>
    <row r="249" spans="1:45" s="484" customFormat="1" ht="14.5">
      <c r="A249" s="695" t="s">
        <v>1303</v>
      </c>
      <c r="B249" s="647"/>
      <c r="C249" s="644"/>
      <c r="D249" s="644"/>
      <c r="E249" s="697">
        <f t="shared" si="156"/>
        <v>241401675000</v>
      </c>
      <c r="F249" s="705"/>
      <c r="G249" s="697">
        <f t="shared" si="157"/>
        <v>239276015000</v>
      </c>
      <c r="H249" s="697">
        <f t="shared" si="158"/>
        <v>239276015000</v>
      </c>
      <c r="I249" s="697">
        <f t="shared" si="144"/>
        <v>239276015000</v>
      </c>
      <c r="J249" s="697">
        <f t="shared" si="145"/>
        <v>239276015000</v>
      </c>
      <c r="K249" s="697">
        <f t="shared" si="146"/>
        <v>239276015000</v>
      </c>
      <c r="L249" s="697">
        <f t="shared" si="147"/>
        <v>239276015000</v>
      </c>
      <c r="M249" s="697">
        <f t="shared" si="148"/>
        <v>239276015000</v>
      </c>
      <c r="N249" s="847">
        <f t="shared" si="149"/>
        <v>239276015000</v>
      </c>
      <c r="O249" s="847">
        <f t="shared" si="150"/>
        <v>239276015000</v>
      </c>
      <c r="P249" s="697">
        <f t="shared" si="151"/>
        <v>239276015000</v>
      </c>
      <c r="Q249" s="697">
        <f t="shared" si="152"/>
        <v>239276015000</v>
      </c>
      <c r="R249" s="697">
        <f t="shared" si="153"/>
        <v>239276015000</v>
      </c>
      <c r="S249" s="697">
        <f t="shared" si="154"/>
        <v>239276015000</v>
      </c>
      <c r="T249" s="823"/>
      <c r="V249" s="697">
        <f t="shared" si="155"/>
        <v>239276015000</v>
      </c>
      <c r="W249" s="704"/>
      <c r="X249" s="1016"/>
      <c r="Y249" s="675" t="e">
        <f>Y273+Y311+Y349+#REF!+#REF!+#REF!+#REF!</f>
        <v>#REF!</v>
      </c>
      <c r="Z249" s="670"/>
      <c r="AA249" s="675" t="e">
        <f>AA273+AA311+AA349+#REF!+#REF!+#REF!+#REF!</f>
        <v>#REF!</v>
      </c>
      <c r="AB249" s="670"/>
      <c r="AC249" s="675" t="e">
        <f>AC273+AC311+AC349+#REF!+#REF!+#REF!+#REF!</f>
        <v>#REF!</v>
      </c>
      <c r="AD249" s="670"/>
      <c r="AE249" s="675" t="e">
        <f>AE273+AE311+AE349+#REF!+#REF!+#REF!+#REF!</f>
        <v>#REF!</v>
      </c>
      <c r="AF249" s="670"/>
      <c r="AL249" s="489"/>
      <c r="AM249" s="489"/>
      <c r="AN249" s="489"/>
      <c r="AO249" s="489"/>
      <c r="AP249" s="489"/>
      <c r="AQ249" s="489"/>
      <c r="AR249" s="489"/>
      <c r="AS249" s="489"/>
    </row>
    <row r="250" spans="1:45" s="484" customFormat="1">
      <c r="A250" s="695" t="s">
        <v>1304</v>
      </c>
      <c r="B250" s="647">
        <v>206930279187.5722</v>
      </c>
      <c r="C250" s="648"/>
      <c r="D250" s="639"/>
      <c r="E250" s="697">
        <f t="shared" si="156"/>
        <v>118750393025</v>
      </c>
      <c r="F250" s="706"/>
      <c r="G250" s="697">
        <f t="shared" si="157"/>
        <v>118822512120</v>
      </c>
      <c r="H250" s="697">
        <f t="shared" si="158"/>
        <v>118822512120</v>
      </c>
      <c r="I250" s="697">
        <f t="shared" si="144"/>
        <v>118822512120</v>
      </c>
      <c r="J250" s="697">
        <f t="shared" si="145"/>
        <v>118822512120</v>
      </c>
      <c r="K250" s="697">
        <f t="shared" si="146"/>
        <v>118822512120</v>
      </c>
      <c r="L250" s="697">
        <f t="shared" si="147"/>
        <v>118822512120</v>
      </c>
      <c r="M250" s="697">
        <f t="shared" si="148"/>
        <v>118822512120</v>
      </c>
      <c r="N250" s="847">
        <f t="shared" si="149"/>
        <v>118822512120</v>
      </c>
      <c r="O250" s="847">
        <f t="shared" si="150"/>
        <v>118822512120</v>
      </c>
      <c r="P250" s="697">
        <f t="shared" si="151"/>
        <v>118822512120</v>
      </c>
      <c r="Q250" s="697">
        <f t="shared" si="152"/>
        <v>118822512120</v>
      </c>
      <c r="R250" s="697">
        <f t="shared" si="153"/>
        <v>118822512120</v>
      </c>
      <c r="S250" s="697">
        <f t="shared" si="154"/>
        <v>118822512120</v>
      </c>
      <c r="T250" s="823"/>
      <c r="V250" s="697">
        <f t="shared" si="155"/>
        <v>118822512120</v>
      </c>
      <c r="W250" s="704"/>
      <c r="X250" s="1015"/>
      <c r="Y250" s="675" t="e">
        <f>Y274+Y312+Y350+#REF!+#REF!+#REF!+#REF!</f>
        <v>#REF!</v>
      </c>
      <c r="Z250" s="675"/>
      <c r="AA250" s="675" t="e">
        <f>AA274+AA312+AA350+#REF!+#REF!+#REF!+#REF!</f>
        <v>#REF!</v>
      </c>
      <c r="AB250" s="675"/>
      <c r="AC250" s="675" t="e">
        <f>AC274+AC312+AC350+#REF!+#REF!+#REF!+#REF!</f>
        <v>#REF!</v>
      </c>
      <c r="AD250" s="675"/>
      <c r="AE250" s="675" t="e">
        <f>AE274+AE312+AE350+#REF!+#REF!+#REF!+#REF!</f>
        <v>#REF!</v>
      </c>
      <c r="AF250" s="675"/>
      <c r="AL250" s="489"/>
      <c r="AM250" s="489"/>
      <c r="AN250" s="489"/>
      <c r="AO250" s="489"/>
      <c r="AP250" s="489"/>
      <c r="AQ250" s="489"/>
      <c r="AR250" s="489"/>
      <c r="AS250" s="489"/>
    </row>
    <row r="251" spans="1:45" s="484" customFormat="1" ht="14.5">
      <c r="A251" s="695" t="s">
        <v>1305</v>
      </c>
      <c r="B251" s="647"/>
      <c r="C251" s="644"/>
      <c r="D251" s="644"/>
      <c r="E251" s="697">
        <f t="shared" si="156"/>
        <v>0</v>
      </c>
      <c r="F251" s="705"/>
      <c r="G251" s="697">
        <f t="shared" si="157"/>
        <v>31553527950</v>
      </c>
      <c r="H251" s="697">
        <f t="shared" si="158"/>
        <v>31553527950</v>
      </c>
      <c r="I251" s="697">
        <f t="shared" si="144"/>
        <v>31553527950</v>
      </c>
      <c r="J251" s="697">
        <f t="shared" si="145"/>
        <v>31553527950</v>
      </c>
      <c r="K251" s="697">
        <f t="shared" si="146"/>
        <v>31553527950</v>
      </c>
      <c r="L251" s="697">
        <f t="shared" si="147"/>
        <v>31553527950</v>
      </c>
      <c r="M251" s="697">
        <f t="shared" si="148"/>
        <v>31553527950</v>
      </c>
      <c r="N251" s="847">
        <f t="shared" si="149"/>
        <v>31553527950</v>
      </c>
      <c r="O251" s="847">
        <f t="shared" si="150"/>
        <v>31553527950</v>
      </c>
      <c r="P251" s="697">
        <f t="shared" si="151"/>
        <v>31553527950</v>
      </c>
      <c r="Q251" s="697">
        <f t="shared" si="152"/>
        <v>31553527950</v>
      </c>
      <c r="R251" s="697">
        <f t="shared" si="153"/>
        <v>31553527950</v>
      </c>
      <c r="S251" s="697">
        <f t="shared" si="154"/>
        <v>31553527950</v>
      </c>
      <c r="T251" s="823"/>
      <c r="V251" s="697">
        <f t="shared" si="155"/>
        <v>31553527950</v>
      </c>
      <c r="W251" s="704"/>
      <c r="X251" s="1016"/>
      <c r="Y251" s="675" t="e">
        <f>#REF!</f>
        <v>#REF!</v>
      </c>
      <c r="AA251" s="675" t="e">
        <f>#REF!</f>
        <v>#REF!</v>
      </c>
      <c r="AC251" s="675" t="e">
        <f>#REF!</f>
        <v>#REF!</v>
      </c>
      <c r="AE251" s="675" t="e">
        <f>#REF!</f>
        <v>#REF!</v>
      </c>
      <c r="AL251" s="489"/>
      <c r="AM251" s="489"/>
      <c r="AN251" s="489"/>
      <c r="AO251" s="489"/>
      <c r="AP251" s="489"/>
      <c r="AQ251" s="489"/>
      <c r="AR251" s="489"/>
      <c r="AS251" s="489"/>
    </row>
    <row r="252" spans="1:45" s="484" customFormat="1">
      <c r="A252" s="695" t="s">
        <v>1306</v>
      </c>
      <c r="B252" s="647">
        <v>367444141064.95557</v>
      </c>
      <c r="C252" s="648"/>
      <c r="D252" s="639"/>
      <c r="E252" s="697">
        <f t="shared" si="156"/>
        <v>47858128755</v>
      </c>
      <c r="F252" s="706"/>
      <c r="G252" s="697">
        <f t="shared" si="157"/>
        <v>59611678256</v>
      </c>
      <c r="H252" s="697">
        <f t="shared" si="158"/>
        <v>59611678256</v>
      </c>
      <c r="I252" s="697">
        <f t="shared" si="144"/>
        <v>59611678256</v>
      </c>
      <c r="J252" s="697">
        <f t="shared" si="145"/>
        <v>59611678256</v>
      </c>
      <c r="K252" s="697">
        <f t="shared" si="146"/>
        <v>59611678256</v>
      </c>
      <c r="L252" s="697">
        <f t="shared" si="147"/>
        <v>59611678256</v>
      </c>
      <c r="M252" s="697">
        <f t="shared" si="148"/>
        <v>59611678256</v>
      </c>
      <c r="N252" s="847">
        <f t="shared" si="149"/>
        <v>59611678256</v>
      </c>
      <c r="O252" s="847">
        <f t="shared" si="150"/>
        <v>59611678256</v>
      </c>
      <c r="P252" s="697">
        <f t="shared" si="151"/>
        <v>59611678256</v>
      </c>
      <c r="Q252" s="697">
        <f t="shared" si="152"/>
        <v>59611678256</v>
      </c>
      <c r="R252" s="697">
        <f t="shared" si="153"/>
        <v>59611678256</v>
      </c>
      <c r="S252" s="697">
        <f t="shared" si="154"/>
        <v>59611678256</v>
      </c>
      <c r="T252" s="823"/>
      <c r="V252" s="697">
        <f t="shared" si="155"/>
        <v>59611678256</v>
      </c>
      <c r="W252" s="704"/>
      <c r="X252" s="1015"/>
      <c r="Y252" s="675" t="e">
        <f>#REF!</f>
        <v>#REF!</v>
      </c>
      <c r="Z252" s="675"/>
      <c r="AA252" s="675" t="e">
        <f>#REF!</f>
        <v>#REF!</v>
      </c>
      <c r="AB252" s="675"/>
      <c r="AC252" s="675" t="e">
        <f>#REF!</f>
        <v>#REF!</v>
      </c>
      <c r="AD252" s="675"/>
      <c r="AE252" s="675" t="e">
        <f>#REF!</f>
        <v>#REF!</v>
      </c>
      <c r="AF252" s="675"/>
      <c r="AL252" s="489"/>
      <c r="AM252" s="489"/>
      <c r="AN252" s="489"/>
      <c r="AO252" s="489"/>
      <c r="AP252" s="489"/>
      <c r="AQ252" s="489"/>
      <c r="AR252" s="489"/>
      <c r="AS252" s="489"/>
    </row>
    <row r="253" spans="1:45" s="484" customFormat="1" ht="14.5">
      <c r="A253" s="695" t="s">
        <v>1307</v>
      </c>
      <c r="B253" s="647"/>
      <c r="C253" s="644"/>
      <c r="D253" s="644"/>
      <c r="E253" s="697">
        <f t="shared" si="156"/>
        <v>0</v>
      </c>
      <c r="F253" s="705"/>
      <c r="G253" s="697">
        <f t="shared" si="157"/>
        <v>0</v>
      </c>
      <c r="H253" s="697">
        <f t="shared" si="158"/>
        <v>0</v>
      </c>
      <c r="I253" s="697">
        <f t="shared" si="144"/>
        <v>0</v>
      </c>
      <c r="J253" s="697">
        <f t="shared" si="145"/>
        <v>0</v>
      </c>
      <c r="K253" s="697">
        <f t="shared" si="146"/>
        <v>0</v>
      </c>
      <c r="L253" s="697">
        <f t="shared" si="147"/>
        <v>0</v>
      </c>
      <c r="M253" s="697">
        <f t="shared" si="148"/>
        <v>0</v>
      </c>
      <c r="N253" s="697">
        <f t="shared" si="149"/>
        <v>25000000000</v>
      </c>
      <c r="O253" s="697">
        <f t="shared" si="150"/>
        <v>25000000000</v>
      </c>
      <c r="P253" s="697">
        <f t="shared" si="151"/>
        <v>25000000000</v>
      </c>
      <c r="Q253" s="697">
        <f t="shared" si="152"/>
        <v>25000000000</v>
      </c>
      <c r="R253" s="697">
        <f t="shared" si="153"/>
        <v>25000000000</v>
      </c>
      <c r="S253" s="697">
        <f t="shared" si="154"/>
        <v>25000000000</v>
      </c>
      <c r="T253" s="823"/>
      <c r="V253" s="697">
        <f t="shared" si="155"/>
        <v>25000000000</v>
      </c>
      <c r="W253" s="704"/>
      <c r="X253" s="1016"/>
      <c r="Y253" s="675" t="e">
        <f>Y275+Y313+Y351+#REF!+#REF!</f>
        <v>#REF!</v>
      </c>
      <c r="AA253" s="675" t="e">
        <f>AA275+AA313+AA351+#REF!+#REF!</f>
        <v>#REF!</v>
      </c>
      <c r="AC253" s="675" t="e">
        <f>AC275+AC313+AC351+#REF!+#REF!</f>
        <v>#REF!</v>
      </c>
      <c r="AE253" s="675" t="e">
        <f>AE275+AE313+AE351+#REF!+#REF!</f>
        <v>#REF!</v>
      </c>
      <c r="AL253" s="489"/>
      <c r="AM253" s="489"/>
      <c r="AN253" s="489"/>
      <c r="AO253" s="489"/>
      <c r="AP253" s="489"/>
      <c r="AQ253" s="489"/>
      <c r="AR253" s="489"/>
      <c r="AS253" s="489"/>
    </row>
    <row r="254" spans="1:45" s="484" customFormat="1" ht="14.5">
      <c r="A254" s="695" t="s">
        <v>1308</v>
      </c>
      <c r="B254" s="647"/>
      <c r="C254" s="644"/>
      <c r="D254" s="644"/>
      <c r="E254" s="697">
        <f t="shared" si="156"/>
        <v>0</v>
      </c>
      <c r="F254" s="705"/>
      <c r="G254" s="697">
        <f t="shared" si="157"/>
        <v>100000000000</v>
      </c>
      <c r="H254" s="697">
        <f t="shared" si="158"/>
        <v>179750000000</v>
      </c>
      <c r="I254" s="697">
        <f t="shared" si="144"/>
        <v>179750000000</v>
      </c>
      <c r="J254" s="697">
        <f t="shared" si="145"/>
        <v>179750000000</v>
      </c>
      <c r="K254" s="697">
        <f t="shared" si="146"/>
        <v>179750000000</v>
      </c>
      <c r="L254" s="697">
        <f t="shared" si="147"/>
        <v>179750000000</v>
      </c>
      <c r="M254" s="697">
        <f t="shared" si="148"/>
        <v>179750000000</v>
      </c>
      <c r="N254" s="697">
        <f t="shared" si="149"/>
        <v>259500000000</v>
      </c>
      <c r="O254" s="697">
        <f t="shared" si="150"/>
        <v>259500000000</v>
      </c>
      <c r="P254" s="697">
        <f t="shared" si="151"/>
        <v>259500000000</v>
      </c>
      <c r="Q254" s="697">
        <f t="shared" si="152"/>
        <v>259500000000</v>
      </c>
      <c r="R254" s="697">
        <f t="shared" si="153"/>
        <v>259500000000</v>
      </c>
      <c r="S254" s="697">
        <f t="shared" si="154"/>
        <v>259500000000</v>
      </c>
      <c r="T254" s="823"/>
      <c r="V254" s="697">
        <f t="shared" si="155"/>
        <v>259500000000</v>
      </c>
      <c r="W254" s="704"/>
      <c r="X254" s="1016"/>
      <c r="Y254" s="675">
        <f>Y352</f>
        <v>0</v>
      </c>
      <c r="AA254" s="675">
        <f>AA352</f>
        <v>0</v>
      </c>
      <c r="AC254" s="675">
        <f>AC352</f>
        <v>0</v>
      </c>
      <c r="AE254" s="675">
        <f>AE352</f>
        <v>0</v>
      </c>
      <c r="AL254" s="489"/>
      <c r="AM254" s="489"/>
      <c r="AN254" s="489"/>
      <c r="AO254" s="489"/>
      <c r="AP254" s="489"/>
      <c r="AQ254" s="489"/>
      <c r="AR254" s="489"/>
      <c r="AS254" s="489"/>
    </row>
    <row r="255" spans="1:45" s="484" customFormat="1" ht="14.5">
      <c r="A255" s="695" t="s">
        <v>1309</v>
      </c>
      <c r="B255" s="647"/>
      <c r="C255" s="644"/>
      <c r="D255" s="644"/>
      <c r="E255" s="697">
        <f t="shared" si="156"/>
        <v>0</v>
      </c>
      <c r="F255" s="705"/>
      <c r="G255" s="697">
        <f t="shared" si="157"/>
        <v>417155348554.15997</v>
      </c>
      <c r="H255" s="697">
        <f t="shared" si="158"/>
        <v>417155348554.15997</v>
      </c>
      <c r="I255" s="697">
        <f t="shared" si="144"/>
        <v>417155348554.15997</v>
      </c>
      <c r="J255" s="697">
        <f t="shared" si="145"/>
        <v>417155348554.15997</v>
      </c>
      <c r="K255" s="697">
        <f t="shared" si="146"/>
        <v>417155348554.15997</v>
      </c>
      <c r="L255" s="697">
        <f t="shared" si="147"/>
        <v>417155348554.15997</v>
      </c>
      <c r="M255" s="697">
        <f t="shared" si="148"/>
        <v>417155348554.15997</v>
      </c>
      <c r="N255" s="697">
        <f t="shared" si="149"/>
        <v>417155348554.15997</v>
      </c>
      <c r="O255" s="697">
        <f t="shared" si="150"/>
        <v>417155348554.15997</v>
      </c>
      <c r="P255" s="697">
        <f t="shared" si="151"/>
        <v>417155348554.15997</v>
      </c>
      <c r="Q255" s="697">
        <f t="shared" si="152"/>
        <v>417155348554.15997</v>
      </c>
      <c r="R255" s="697">
        <f t="shared" si="153"/>
        <v>417155348554.15997</v>
      </c>
      <c r="S255" s="697">
        <f t="shared" si="154"/>
        <v>417155348554.15997</v>
      </c>
      <c r="T255" s="823"/>
      <c r="V255" s="697">
        <f t="shared" si="155"/>
        <v>417155348554.15997</v>
      </c>
      <c r="W255" s="704"/>
      <c r="X255" s="1016"/>
      <c r="Y255" s="675">
        <f>Y353</f>
        <v>0</v>
      </c>
      <c r="AA255" s="675">
        <f>AA353</f>
        <v>0</v>
      </c>
      <c r="AC255" s="675">
        <f>AC353</f>
        <v>0</v>
      </c>
      <c r="AE255" s="675">
        <f>AE353</f>
        <v>0</v>
      </c>
      <c r="AL255" s="489"/>
      <c r="AM255" s="489"/>
      <c r="AN255" s="489"/>
      <c r="AO255" s="489"/>
      <c r="AP255" s="489"/>
      <c r="AQ255" s="489"/>
      <c r="AR255" s="489"/>
      <c r="AS255" s="489"/>
    </row>
    <row r="256" spans="1:45" s="484" customFormat="1">
      <c r="A256" s="490" t="s">
        <v>1310</v>
      </c>
      <c r="B256" s="653">
        <v>2148815936762.1558</v>
      </c>
      <c r="C256" s="654"/>
      <c r="D256" s="654">
        <f>SUM(D236:D251)</f>
        <v>0</v>
      </c>
      <c r="E256" s="654">
        <f>SUM(E221:E255)</f>
        <v>2894752163429.7383</v>
      </c>
      <c r="F256" s="707"/>
      <c r="G256" s="654">
        <f>SUM(G221:G255)</f>
        <v>3512937941605.145</v>
      </c>
      <c r="H256" s="654">
        <f>SUM(H221:H255)</f>
        <v>3788947941605.1445</v>
      </c>
      <c r="I256" s="654">
        <f t="shared" ref="I256:Q256" si="159">SUM(I221:I255)</f>
        <v>4487844608271.8105</v>
      </c>
      <c r="J256" s="654">
        <f t="shared" si="159"/>
        <v>4272717941605.1445</v>
      </c>
      <c r="K256" s="654">
        <f t="shared" si="159"/>
        <v>4487844608271.8105</v>
      </c>
      <c r="L256" s="654">
        <f t="shared" si="159"/>
        <v>4715671274938.4775</v>
      </c>
      <c r="M256" s="654">
        <f t="shared" si="159"/>
        <v>4946497941605.1445</v>
      </c>
      <c r="N256" s="654">
        <f t="shared" si="159"/>
        <v>5344542108271.8105</v>
      </c>
      <c r="O256" s="654">
        <f t="shared" si="159"/>
        <v>5543221274938.4766</v>
      </c>
      <c r="P256" s="654">
        <f t="shared" si="159"/>
        <v>5737115441605.1455</v>
      </c>
      <c r="Q256" s="654">
        <f t="shared" si="159"/>
        <v>5966062941605.1445</v>
      </c>
      <c r="R256" s="654">
        <f>SUM(R221:R255)</f>
        <v>6095010441605.1455</v>
      </c>
      <c r="S256" s="654">
        <f>SUM(S221:S255)</f>
        <v>6223957941605.1455</v>
      </c>
      <c r="T256" s="816"/>
      <c r="V256" s="654">
        <f>SUM(V221:V255)</f>
        <v>6223957941605.1455</v>
      </c>
      <c r="W256" s="708"/>
      <c r="X256" s="1017"/>
      <c r="Y256" s="709" t="e">
        <f t="shared" ref="Y256:AE256" si="160">SUM(Y236:Y253)-Y245</f>
        <v>#REF!</v>
      </c>
      <c r="Z256" s="708" t="e">
        <f>Y256/V256-1</f>
        <v>#REF!</v>
      </c>
      <c r="AA256" s="709" t="e">
        <f t="shared" si="160"/>
        <v>#REF!</v>
      </c>
      <c r="AB256" s="708" t="e">
        <f>+AA256/Y256-1</f>
        <v>#REF!</v>
      </c>
      <c r="AC256" s="709" t="e">
        <f t="shared" si="160"/>
        <v>#REF!</v>
      </c>
      <c r="AD256" s="708" t="e">
        <f>+AC256/AA256-1</f>
        <v>#REF!</v>
      </c>
      <c r="AE256" s="709" t="e">
        <f t="shared" si="160"/>
        <v>#REF!</v>
      </c>
      <c r="AF256" s="708" t="e">
        <f>+AE256/AC256-1</f>
        <v>#REF!</v>
      </c>
      <c r="AL256" s="489"/>
      <c r="AM256" s="489"/>
      <c r="AN256" s="489"/>
      <c r="AO256" s="489"/>
      <c r="AP256" s="489"/>
      <c r="AQ256" s="489"/>
      <c r="AR256" s="489"/>
      <c r="AS256" s="489"/>
    </row>
    <row r="257" spans="1:45" s="484" customFormat="1">
      <c r="A257" s="483"/>
      <c r="B257" s="613">
        <v>0</v>
      </c>
      <c r="F257" s="688"/>
      <c r="G257" s="486">
        <f t="shared" ref="G257:Q257" si="161">+G256-G13</f>
        <v>69862822076.305176</v>
      </c>
      <c r="H257" s="486">
        <f t="shared" si="161"/>
        <v>69862822076.304687</v>
      </c>
      <c r="I257" s="486">
        <f t="shared" si="161"/>
        <v>547499488742.9707</v>
      </c>
      <c r="J257" s="486">
        <f t="shared" si="161"/>
        <v>69862822076.304687</v>
      </c>
      <c r="K257" s="486">
        <f t="shared" si="161"/>
        <v>69862822076.303711</v>
      </c>
      <c r="L257" s="486">
        <f t="shared" si="161"/>
        <v>69862822076.303711</v>
      </c>
      <c r="M257" s="486">
        <f t="shared" si="161"/>
        <v>69862822076.304687</v>
      </c>
      <c r="N257" s="486">
        <f t="shared" si="161"/>
        <v>69862822076.304687</v>
      </c>
      <c r="O257" s="486">
        <f t="shared" si="161"/>
        <v>69862822076.304687</v>
      </c>
      <c r="P257" s="486">
        <f t="shared" si="161"/>
        <v>69862822076.306641</v>
      </c>
      <c r="Q257" s="486">
        <f t="shared" si="161"/>
        <v>69862822076.305664</v>
      </c>
      <c r="R257" s="486">
        <f>+R256-R13</f>
        <v>69862822076.306641</v>
      </c>
      <c r="S257" s="486">
        <f>+S256-S13</f>
        <v>69862822076.306641</v>
      </c>
      <c r="T257" s="786"/>
      <c r="V257" s="486">
        <f>+V256-V13</f>
        <v>69862822076.306641</v>
      </c>
      <c r="W257" s="667"/>
      <c r="X257" s="1003"/>
      <c r="Y257" s="486"/>
      <c r="Z257" s="710"/>
      <c r="AA257" s="486"/>
      <c r="AB257" s="710"/>
      <c r="AC257" s="486"/>
      <c r="AD257" s="710"/>
      <c r="AE257" s="486"/>
      <c r="AF257" s="710"/>
      <c r="AL257" s="489"/>
      <c r="AM257" s="489"/>
      <c r="AN257" s="489"/>
      <c r="AO257" s="489"/>
      <c r="AP257" s="489"/>
      <c r="AQ257" s="489"/>
      <c r="AR257" s="489"/>
      <c r="AS257" s="489"/>
    </row>
    <row r="258" spans="1:45" s="484" customFormat="1">
      <c r="A258" s="483"/>
      <c r="B258" s="613"/>
      <c r="F258" s="688"/>
      <c r="Q258" s="603"/>
      <c r="R258" s="603"/>
      <c r="S258" s="603"/>
      <c r="T258" s="799"/>
      <c r="V258" s="603"/>
      <c r="W258" s="667"/>
      <c r="X258" s="1003"/>
      <c r="Y258" s="668"/>
      <c r="Z258" s="668"/>
      <c r="AA258" s="668"/>
      <c r="AB258" s="668"/>
      <c r="AC258" s="668"/>
      <c r="AD258" s="668"/>
      <c r="AE258" s="668"/>
      <c r="AF258" s="668"/>
      <c r="AL258" s="489"/>
      <c r="AM258" s="489"/>
      <c r="AN258" s="489"/>
      <c r="AO258" s="489"/>
      <c r="AP258" s="489"/>
      <c r="AQ258" s="489"/>
      <c r="AR258" s="489"/>
      <c r="AS258" s="489"/>
    </row>
    <row r="259" spans="1:45" s="484" customFormat="1">
      <c r="A259" s="490" t="s">
        <v>1311</v>
      </c>
      <c r="B259" s="633" t="s">
        <v>1273</v>
      </c>
      <c r="C259" s="634"/>
      <c r="D259" s="693" t="s">
        <v>1274</v>
      </c>
      <c r="E259" s="690">
        <v>42613</v>
      </c>
      <c r="F259" s="711"/>
      <c r="G259" s="690">
        <v>42735</v>
      </c>
      <c r="H259" s="690">
        <v>42736</v>
      </c>
      <c r="I259" s="690">
        <v>42768</v>
      </c>
      <c r="J259" s="690">
        <v>42800</v>
      </c>
      <c r="K259" s="690">
        <v>42832</v>
      </c>
      <c r="L259" s="690">
        <v>42864</v>
      </c>
      <c r="M259" s="690">
        <v>42896</v>
      </c>
      <c r="N259" s="690">
        <v>42928</v>
      </c>
      <c r="O259" s="690">
        <v>42960</v>
      </c>
      <c r="P259" s="690">
        <v>42992</v>
      </c>
      <c r="Q259" s="690">
        <v>43024</v>
      </c>
      <c r="R259" s="690">
        <v>43056</v>
      </c>
      <c r="S259" s="690">
        <v>43088</v>
      </c>
      <c r="T259" s="822"/>
      <c r="V259" s="690" t="s">
        <v>1159</v>
      </c>
      <c r="W259" s="712"/>
      <c r="X259" s="1014"/>
      <c r="Y259" s="634"/>
      <c r="Z259" s="634"/>
      <c r="AA259" s="661"/>
      <c r="AB259" s="661"/>
      <c r="AC259" s="661"/>
      <c r="AD259" s="661"/>
      <c r="AE259" s="661"/>
      <c r="AF259" s="661"/>
      <c r="AL259" s="489"/>
      <c r="AM259" s="489"/>
      <c r="AN259" s="489"/>
      <c r="AO259" s="489"/>
      <c r="AP259" s="489"/>
      <c r="AQ259" s="489"/>
      <c r="AR259" s="489"/>
      <c r="AS259" s="489"/>
    </row>
    <row r="260" spans="1:45" s="484" customFormat="1">
      <c r="A260" s="695" t="s">
        <v>1275</v>
      </c>
      <c r="B260" s="638">
        <v>743175365583.34973</v>
      </c>
      <c r="C260" s="639"/>
      <c r="D260" s="639"/>
      <c r="E260" s="639">
        <v>911289641</v>
      </c>
      <c r="F260" s="703"/>
      <c r="G260" s="639">
        <v>258241242950.70352</v>
      </c>
      <c r="H260" s="639">
        <v>258241242950.70352</v>
      </c>
      <c r="I260" s="639">
        <v>258241242950.70352</v>
      </c>
      <c r="J260" s="639">
        <v>258241242950.70352</v>
      </c>
      <c r="K260" s="639">
        <v>258241242950.70352</v>
      </c>
      <c r="L260" s="639">
        <v>258241242950.70352</v>
      </c>
      <c r="M260" s="639">
        <v>258241242950.70352</v>
      </c>
      <c r="N260" s="639">
        <v>258241242950.70352</v>
      </c>
      <c r="O260" s="639">
        <v>258241242950.70352</v>
      </c>
      <c r="P260" s="639">
        <v>258241242950.70352</v>
      </c>
      <c r="Q260" s="639">
        <v>258241242950.70352</v>
      </c>
      <c r="R260" s="639">
        <v>258241242950.70352</v>
      </c>
      <c r="S260" s="639">
        <v>258241242950.70352</v>
      </c>
      <c r="T260" s="813"/>
      <c r="V260" s="641">
        <f t="shared" ref="V260:V294" si="162">+S260</f>
        <v>258241242950.70352</v>
      </c>
      <c r="W260" s="713">
        <f>+V260/$V$256</f>
        <v>4.1491482650363745E-2</v>
      </c>
      <c r="X260" s="1015"/>
      <c r="Y260" s="664">
        <f>V260</f>
        <v>258241242950.70352</v>
      </c>
      <c r="Z260" s="664"/>
      <c r="AA260" s="664">
        <f>Y260</f>
        <v>258241242950.70352</v>
      </c>
      <c r="AB260" s="664"/>
      <c r="AC260" s="664">
        <f>AA260</f>
        <v>258241242950.70352</v>
      </c>
      <c r="AD260" s="664"/>
      <c r="AE260" s="664">
        <f>+AC260</f>
        <v>258241242950.70352</v>
      </c>
      <c r="AF260" s="664"/>
      <c r="AL260" s="489"/>
      <c r="AM260" s="489"/>
      <c r="AN260" s="489"/>
      <c r="AO260" s="489"/>
      <c r="AP260" s="489"/>
      <c r="AQ260" s="489"/>
      <c r="AR260" s="489"/>
      <c r="AS260" s="489"/>
    </row>
    <row r="261" spans="1:45" s="484" customFormat="1" ht="14.5">
      <c r="A261" s="695" t="s">
        <v>1276</v>
      </c>
      <c r="B261" s="647"/>
      <c r="C261" s="644"/>
      <c r="D261" s="644"/>
      <c r="E261" s="639">
        <v>345132710883</v>
      </c>
      <c r="F261" s="705"/>
      <c r="G261" s="639">
        <v>908298970.22334039</v>
      </c>
      <c r="H261" s="639">
        <v>908298970.22334039</v>
      </c>
      <c r="I261" s="639">
        <v>908298970.22334039</v>
      </c>
      <c r="J261" s="639">
        <v>908298970.22334039</v>
      </c>
      <c r="K261" s="639">
        <v>908298970.22334039</v>
      </c>
      <c r="L261" s="639">
        <v>908298970.22334039</v>
      </c>
      <c r="M261" s="639">
        <v>908298970.22334039</v>
      </c>
      <c r="N261" s="639">
        <v>908298970.22334039</v>
      </c>
      <c r="O261" s="639">
        <v>908298970.22334039</v>
      </c>
      <c r="P261" s="639">
        <v>908298970.22334039</v>
      </c>
      <c r="Q261" s="639">
        <v>908298970.22334039</v>
      </c>
      <c r="R261" s="639">
        <v>908298970.22334039</v>
      </c>
      <c r="S261" s="639">
        <f t="shared" ref="S261:S294" si="163">R261</f>
        <v>908298970.22334039</v>
      </c>
      <c r="T261" s="813"/>
      <c r="V261" s="641">
        <f t="shared" si="162"/>
        <v>908298970.22334039</v>
      </c>
      <c r="W261" s="713">
        <f t="shared" ref="W261:W295" si="164">+V261/$V$256</f>
        <v>1.4593591067697543E-4</v>
      </c>
      <c r="X261" s="1016"/>
      <c r="Y261" s="675">
        <f t="shared" ref="Y261:Y294" si="165">V261</f>
        <v>908298970.22334039</v>
      </c>
      <c r="Z261" s="670"/>
      <c r="AA261" s="675">
        <f t="shared" ref="AA261:AA294" si="166">Y261</f>
        <v>908298970.22334039</v>
      </c>
      <c r="AB261" s="670"/>
      <c r="AC261" s="675">
        <f t="shared" ref="AC261:AC294" si="167">AA261</f>
        <v>908298970.22334039</v>
      </c>
      <c r="AD261" s="670"/>
      <c r="AE261" s="675">
        <f t="shared" ref="AE261:AE294" si="168">+AC261</f>
        <v>908298970.22334039</v>
      </c>
      <c r="AF261" s="670"/>
      <c r="AL261" s="489"/>
      <c r="AM261" s="489"/>
      <c r="AN261" s="489"/>
      <c r="AO261" s="489"/>
      <c r="AP261" s="489"/>
      <c r="AQ261" s="489"/>
      <c r="AR261" s="489"/>
      <c r="AS261" s="489"/>
    </row>
    <row r="262" spans="1:45" s="484" customFormat="1">
      <c r="A262" s="695" t="s">
        <v>1277</v>
      </c>
      <c r="B262" s="638">
        <v>341083227480.39178</v>
      </c>
      <c r="C262" s="639"/>
      <c r="D262" s="639"/>
      <c r="E262" s="639">
        <v>407853084</v>
      </c>
      <c r="F262" s="703"/>
      <c r="G262" s="639">
        <v>0</v>
      </c>
      <c r="H262" s="639">
        <v>0</v>
      </c>
      <c r="I262" s="639">
        <v>0</v>
      </c>
      <c r="J262" s="639">
        <v>0</v>
      </c>
      <c r="K262" s="639">
        <v>0</v>
      </c>
      <c r="L262" s="639">
        <v>0</v>
      </c>
      <c r="M262" s="639">
        <v>0</v>
      </c>
      <c r="N262" s="639">
        <v>0</v>
      </c>
      <c r="O262" s="639">
        <v>0</v>
      </c>
      <c r="P262" s="639">
        <v>0</v>
      </c>
      <c r="Q262" s="639">
        <v>0</v>
      </c>
      <c r="R262" s="639">
        <v>0</v>
      </c>
      <c r="S262" s="639">
        <f t="shared" si="163"/>
        <v>0</v>
      </c>
      <c r="T262" s="813"/>
      <c r="V262" s="641">
        <f t="shared" si="162"/>
        <v>0</v>
      </c>
      <c r="W262" s="713">
        <f t="shared" si="164"/>
        <v>0</v>
      </c>
      <c r="X262" s="1015"/>
      <c r="Y262" s="675">
        <f t="shared" si="165"/>
        <v>0</v>
      </c>
      <c r="Z262" s="675"/>
      <c r="AA262" s="675">
        <f t="shared" si="166"/>
        <v>0</v>
      </c>
      <c r="AB262" s="675"/>
      <c r="AC262" s="675">
        <f t="shared" si="167"/>
        <v>0</v>
      </c>
      <c r="AD262" s="675"/>
      <c r="AE262" s="675">
        <f t="shared" si="168"/>
        <v>0</v>
      </c>
      <c r="AF262" s="675"/>
      <c r="AL262" s="489"/>
      <c r="AM262" s="489"/>
      <c r="AN262" s="489"/>
      <c r="AO262" s="489"/>
      <c r="AP262" s="489"/>
      <c r="AQ262" s="489"/>
      <c r="AR262" s="489"/>
      <c r="AS262" s="489"/>
    </row>
    <row r="263" spans="1:45" s="484" customFormat="1" ht="14.5">
      <c r="A263" s="695" t="s">
        <v>1278</v>
      </c>
      <c r="B263" s="647"/>
      <c r="C263" s="644"/>
      <c r="D263" s="644"/>
      <c r="E263" s="639">
        <v>6917604495</v>
      </c>
      <c r="F263" s="705"/>
      <c r="G263" s="639">
        <v>6708958730.5018158</v>
      </c>
      <c r="H263" s="639">
        <v>6708958730.5018158</v>
      </c>
      <c r="I263" s="639">
        <v>6708958730.5018158</v>
      </c>
      <c r="J263" s="639">
        <v>6708958730.5018158</v>
      </c>
      <c r="K263" s="639">
        <v>6708958730.5018158</v>
      </c>
      <c r="L263" s="639">
        <v>6708958730.5018158</v>
      </c>
      <c r="M263" s="639">
        <v>6708958730.5018158</v>
      </c>
      <c r="N263" s="639">
        <v>6708958730.5018158</v>
      </c>
      <c r="O263" s="639">
        <v>6708958730.5018158</v>
      </c>
      <c r="P263" s="639">
        <v>6708958730.5018158</v>
      </c>
      <c r="Q263" s="639">
        <v>6708958730.5018158</v>
      </c>
      <c r="R263" s="639">
        <v>6708958730.5018158</v>
      </c>
      <c r="S263" s="639">
        <f t="shared" si="163"/>
        <v>6708958730.5018158</v>
      </c>
      <c r="T263" s="813"/>
      <c r="V263" s="641">
        <f t="shared" si="162"/>
        <v>6708958730.5018158</v>
      </c>
      <c r="W263" s="713">
        <f t="shared" si="164"/>
        <v>1.0779248178485585E-3</v>
      </c>
      <c r="X263" s="1016"/>
      <c r="Y263" s="675">
        <f t="shared" si="165"/>
        <v>6708958730.5018158</v>
      </c>
      <c r="Z263" s="670"/>
      <c r="AA263" s="675">
        <f t="shared" si="166"/>
        <v>6708958730.5018158</v>
      </c>
      <c r="AB263" s="670"/>
      <c r="AC263" s="675">
        <f t="shared" si="167"/>
        <v>6708958730.5018158</v>
      </c>
      <c r="AD263" s="670"/>
      <c r="AE263" s="675">
        <f t="shared" si="168"/>
        <v>6708958730.5018158</v>
      </c>
      <c r="AF263" s="670"/>
      <c r="AL263" s="489"/>
      <c r="AM263" s="489"/>
      <c r="AN263" s="489"/>
      <c r="AO263" s="489"/>
      <c r="AP263" s="489"/>
      <c r="AQ263" s="489"/>
      <c r="AR263" s="489"/>
      <c r="AS263" s="489"/>
    </row>
    <row r="264" spans="1:45" s="484" customFormat="1">
      <c r="A264" s="695" t="s">
        <v>1279</v>
      </c>
      <c r="B264" s="638">
        <v>209721944470.22217</v>
      </c>
      <c r="C264" s="639"/>
      <c r="D264" s="639"/>
      <c r="E264" s="639">
        <v>13251647709</v>
      </c>
      <c r="F264" s="703"/>
      <c r="G264" s="639">
        <v>13199167037.694412</v>
      </c>
      <c r="H264" s="639">
        <v>13199167037.694412</v>
      </c>
      <c r="I264" s="639">
        <v>13199167037.694412</v>
      </c>
      <c r="J264" s="639">
        <v>13199167037.694412</v>
      </c>
      <c r="K264" s="639">
        <v>13199167037.694412</v>
      </c>
      <c r="L264" s="639">
        <v>13199167037.694412</v>
      </c>
      <c r="M264" s="639">
        <v>13199167037.694412</v>
      </c>
      <c r="N264" s="639">
        <v>13199167037.694412</v>
      </c>
      <c r="O264" s="639">
        <v>13199167037.694412</v>
      </c>
      <c r="P264" s="639">
        <v>13199167037.694412</v>
      </c>
      <c r="Q264" s="639">
        <v>13199167037.694412</v>
      </c>
      <c r="R264" s="639">
        <v>13199167037.694412</v>
      </c>
      <c r="S264" s="639">
        <f t="shared" si="163"/>
        <v>13199167037.694412</v>
      </c>
      <c r="T264" s="813"/>
      <c r="V264" s="641">
        <f t="shared" si="162"/>
        <v>13199167037.694412</v>
      </c>
      <c r="W264" s="713">
        <f t="shared" si="164"/>
        <v>2.1207031219575329E-3</v>
      </c>
      <c r="X264" s="1015"/>
      <c r="Y264" s="675">
        <f t="shared" si="165"/>
        <v>13199167037.694412</v>
      </c>
      <c r="Z264" s="675"/>
      <c r="AA264" s="675">
        <f t="shared" si="166"/>
        <v>13199167037.694412</v>
      </c>
      <c r="AB264" s="675"/>
      <c r="AC264" s="675">
        <f t="shared" si="167"/>
        <v>13199167037.694412</v>
      </c>
      <c r="AD264" s="675"/>
      <c r="AE264" s="675">
        <f t="shared" si="168"/>
        <v>13199167037.694412</v>
      </c>
      <c r="AF264" s="675"/>
      <c r="AL264" s="489"/>
      <c r="AM264" s="489"/>
      <c r="AN264" s="489"/>
      <c r="AO264" s="489"/>
      <c r="AP264" s="489"/>
      <c r="AQ264" s="489"/>
      <c r="AR264" s="489"/>
      <c r="AS264" s="489"/>
    </row>
    <row r="265" spans="1:45" s="484" customFormat="1" ht="14.5">
      <c r="A265" s="695" t="s">
        <v>1280</v>
      </c>
      <c r="B265" s="647"/>
      <c r="C265" s="644"/>
      <c r="D265" s="644"/>
      <c r="E265" s="639">
        <v>0</v>
      </c>
      <c r="F265" s="705"/>
      <c r="G265" s="639">
        <v>0</v>
      </c>
      <c r="H265" s="639">
        <v>0</v>
      </c>
      <c r="I265" s="639">
        <v>0</v>
      </c>
      <c r="J265" s="639">
        <v>0</v>
      </c>
      <c r="K265" s="639">
        <v>0</v>
      </c>
      <c r="L265" s="639">
        <v>0</v>
      </c>
      <c r="M265" s="639">
        <v>0</v>
      </c>
      <c r="N265" s="639">
        <v>0</v>
      </c>
      <c r="O265" s="639">
        <v>0</v>
      </c>
      <c r="P265" s="639">
        <v>0</v>
      </c>
      <c r="Q265" s="639">
        <v>0</v>
      </c>
      <c r="R265" s="639">
        <v>0</v>
      </c>
      <c r="S265" s="639">
        <f t="shared" si="163"/>
        <v>0</v>
      </c>
      <c r="T265" s="813"/>
      <c r="V265" s="641">
        <f t="shared" si="162"/>
        <v>0</v>
      </c>
      <c r="W265" s="713">
        <f t="shared" si="164"/>
        <v>0</v>
      </c>
      <c r="X265" s="1016"/>
      <c r="Y265" s="675">
        <f t="shared" si="165"/>
        <v>0</v>
      </c>
      <c r="Z265" s="670"/>
      <c r="AA265" s="675">
        <f t="shared" si="166"/>
        <v>0</v>
      </c>
      <c r="AB265" s="670"/>
      <c r="AC265" s="675">
        <f t="shared" si="167"/>
        <v>0</v>
      </c>
      <c r="AD265" s="670"/>
      <c r="AE265" s="675">
        <f t="shared" si="168"/>
        <v>0</v>
      </c>
      <c r="AF265" s="670"/>
      <c r="AL265" s="489"/>
      <c r="AM265" s="489"/>
      <c r="AN265" s="489"/>
      <c r="AO265" s="489"/>
      <c r="AP265" s="489"/>
      <c r="AQ265" s="489"/>
      <c r="AR265" s="489"/>
      <c r="AS265" s="489"/>
    </row>
    <row r="266" spans="1:45" s="484" customFormat="1">
      <c r="A266" s="695" t="s">
        <v>1281</v>
      </c>
      <c r="B266" s="638">
        <v>11972112255.884733</v>
      </c>
      <c r="C266" s="639"/>
      <c r="D266" s="639"/>
      <c r="E266" s="639">
        <v>0</v>
      </c>
      <c r="F266" s="703"/>
      <c r="G266" s="639">
        <v>0</v>
      </c>
      <c r="H266" s="639">
        <v>0</v>
      </c>
      <c r="I266" s="639">
        <v>0</v>
      </c>
      <c r="J266" s="639">
        <v>0</v>
      </c>
      <c r="K266" s="639">
        <v>0</v>
      </c>
      <c r="L266" s="639">
        <v>0</v>
      </c>
      <c r="M266" s="639">
        <v>0</v>
      </c>
      <c r="N266" s="639">
        <v>0</v>
      </c>
      <c r="O266" s="639">
        <v>0</v>
      </c>
      <c r="P266" s="639">
        <v>0</v>
      </c>
      <c r="Q266" s="639">
        <v>0</v>
      </c>
      <c r="R266" s="639">
        <v>0</v>
      </c>
      <c r="S266" s="639">
        <f t="shared" si="163"/>
        <v>0</v>
      </c>
      <c r="T266" s="813"/>
      <c r="V266" s="641">
        <f t="shared" si="162"/>
        <v>0</v>
      </c>
      <c r="W266" s="713">
        <f t="shared" si="164"/>
        <v>0</v>
      </c>
      <c r="X266" s="1015"/>
      <c r="Y266" s="675">
        <f t="shared" si="165"/>
        <v>0</v>
      </c>
      <c r="Z266" s="675"/>
      <c r="AA266" s="675">
        <f t="shared" si="166"/>
        <v>0</v>
      </c>
      <c r="AB266" s="675"/>
      <c r="AC266" s="675">
        <f t="shared" si="167"/>
        <v>0</v>
      </c>
      <c r="AD266" s="675"/>
      <c r="AE266" s="675">
        <f t="shared" si="168"/>
        <v>0</v>
      </c>
      <c r="AF266" s="675"/>
      <c r="AL266" s="489"/>
      <c r="AM266" s="489"/>
      <c r="AN266" s="489"/>
      <c r="AO266" s="489"/>
      <c r="AP266" s="489"/>
      <c r="AQ266" s="489"/>
      <c r="AR266" s="489"/>
      <c r="AS266" s="489"/>
    </row>
    <row r="267" spans="1:45" s="484" customFormat="1" ht="14.5">
      <c r="A267" s="695" t="s">
        <v>1282</v>
      </c>
      <c r="B267" s="647"/>
      <c r="C267" s="644"/>
      <c r="D267" s="644"/>
      <c r="E267" s="639">
        <v>279684276.618312</v>
      </c>
      <c r="F267" s="705"/>
      <c r="G267" s="639">
        <v>285584058.90498823</v>
      </c>
      <c r="H267" s="639">
        <v>285584058.90498823</v>
      </c>
      <c r="I267" s="639">
        <v>285584058.90498823</v>
      </c>
      <c r="J267" s="639">
        <v>285584058.90498823</v>
      </c>
      <c r="K267" s="639">
        <v>285584058.90498823</v>
      </c>
      <c r="L267" s="639">
        <v>285584058.90498823</v>
      </c>
      <c r="M267" s="639">
        <v>285584058.90498823</v>
      </c>
      <c r="N267" s="639">
        <v>285584058.90498823</v>
      </c>
      <c r="O267" s="639">
        <v>285584058.90498823</v>
      </c>
      <c r="P267" s="639">
        <v>285584058.90498823</v>
      </c>
      <c r="Q267" s="639">
        <v>285584058.90498823</v>
      </c>
      <c r="R267" s="639">
        <v>285584058.90498823</v>
      </c>
      <c r="S267" s="639">
        <f t="shared" si="163"/>
        <v>285584058.90498823</v>
      </c>
      <c r="T267" s="813"/>
      <c r="V267" s="641">
        <f t="shared" si="162"/>
        <v>285584058.90498823</v>
      </c>
      <c r="W267" s="713">
        <f t="shared" si="164"/>
        <v>4.5884638293577013E-5</v>
      </c>
      <c r="X267" s="1016"/>
      <c r="Y267" s="675">
        <f t="shared" si="165"/>
        <v>285584058.90498823</v>
      </c>
      <c r="Z267" s="670"/>
      <c r="AA267" s="675">
        <f t="shared" si="166"/>
        <v>285584058.90498823</v>
      </c>
      <c r="AB267" s="670"/>
      <c r="AC267" s="675">
        <f t="shared" si="167"/>
        <v>285584058.90498823</v>
      </c>
      <c r="AD267" s="670"/>
      <c r="AE267" s="675">
        <f t="shared" si="168"/>
        <v>285584058.90498823</v>
      </c>
      <c r="AF267" s="670"/>
      <c r="AL267" s="489"/>
      <c r="AM267" s="489"/>
      <c r="AN267" s="489"/>
      <c r="AO267" s="489"/>
      <c r="AP267" s="489"/>
      <c r="AQ267" s="489"/>
      <c r="AR267" s="489"/>
      <c r="AS267" s="489"/>
    </row>
    <row r="268" spans="1:45" s="484" customFormat="1">
      <c r="A268" s="695" t="s">
        <v>1283</v>
      </c>
      <c r="B268" s="638">
        <v>5188868820.7959547</v>
      </c>
      <c r="C268" s="639"/>
      <c r="D268" s="639"/>
      <c r="E268" s="639">
        <v>258926991.15359399</v>
      </c>
      <c r="F268" s="703"/>
      <c r="G268" s="639">
        <v>259524388.99293718</v>
      </c>
      <c r="H268" s="639">
        <v>259524388.99293718</v>
      </c>
      <c r="I268" s="639">
        <v>259524388.99293718</v>
      </c>
      <c r="J268" s="639">
        <v>259524388.99293718</v>
      </c>
      <c r="K268" s="639">
        <v>259524388.99293718</v>
      </c>
      <c r="L268" s="639">
        <v>259524388.99293718</v>
      </c>
      <c r="M268" s="639">
        <v>259524388.99293718</v>
      </c>
      <c r="N268" s="639">
        <v>259524388.99293718</v>
      </c>
      <c r="O268" s="639">
        <v>259524388.99293718</v>
      </c>
      <c r="P268" s="639">
        <v>259524388.99293718</v>
      </c>
      <c r="Q268" s="639">
        <v>259524388.99293718</v>
      </c>
      <c r="R268" s="639">
        <v>259524388.99293718</v>
      </c>
      <c r="S268" s="639">
        <f t="shared" si="163"/>
        <v>259524388.99293718</v>
      </c>
      <c r="T268" s="813"/>
      <c r="V268" s="641">
        <f t="shared" si="162"/>
        <v>259524388.99293718</v>
      </c>
      <c r="W268" s="713">
        <f t="shared" si="164"/>
        <v>4.1697645039999479E-5</v>
      </c>
      <c r="X268" s="1015"/>
      <c r="Y268" s="675">
        <f t="shared" si="165"/>
        <v>259524388.99293718</v>
      </c>
      <c r="Z268" s="675"/>
      <c r="AA268" s="675">
        <f t="shared" si="166"/>
        <v>259524388.99293718</v>
      </c>
      <c r="AB268" s="675"/>
      <c r="AC268" s="675">
        <f t="shared" si="167"/>
        <v>259524388.99293718</v>
      </c>
      <c r="AD268" s="675"/>
      <c r="AE268" s="675">
        <f t="shared" si="168"/>
        <v>259524388.99293718</v>
      </c>
      <c r="AF268" s="675"/>
      <c r="AL268" s="489"/>
      <c r="AM268" s="489"/>
      <c r="AN268" s="489"/>
      <c r="AO268" s="489"/>
      <c r="AP268" s="489"/>
      <c r="AQ268" s="489"/>
      <c r="AR268" s="489"/>
      <c r="AS268" s="489"/>
    </row>
    <row r="269" spans="1:45" s="484" customFormat="1" ht="14.5">
      <c r="A269" s="695" t="s">
        <v>1284</v>
      </c>
      <c r="B269" s="647"/>
      <c r="C269" s="644"/>
      <c r="D269" s="644"/>
      <c r="E269" s="639">
        <v>0</v>
      </c>
      <c r="F269" s="705"/>
      <c r="G269" s="639">
        <v>0</v>
      </c>
      <c r="H269" s="639">
        <v>0</v>
      </c>
      <c r="I269" s="639">
        <v>0</v>
      </c>
      <c r="J269" s="639">
        <v>0</v>
      </c>
      <c r="K269" s="639">
        <v>0</v>
      </c>
      <c r="L269" s="639">
        <v>0</v>
      </c>
      <c r="M269" s="639">
        <v>0</v>
      </c>
      <c r="N269" s="639">
        <v>0</v>
      </c>
      <c r="O269" s="639">
        <v>0</v>
      </c>
      <c r="P269" s="639">
        <v>0</v>
      </c>
      <c r="Q269" s="639">
        <v>0</v>
      </c>
      <c r="R269" s="639">
        <v>0</v>
      </c>
      <c r="S269" s="639">
        <f t="shared" si="163"/>
        <v>0</v>
      </c>
      <c r="T269" s="813"/>
      <c r="V269" s="641">
        <f t="shared" si="162"/>
        <v>0</v>
      </c>
      <c r="W269" s="713">
        <f t="shared" si="164"/>
        <v>0</v>
      </c>
      <c r="X269" s="1016"/>
      <c r="Y269" s="675">
        <f t="shared" si="165"/>
        <v>0</v>
      </c>
      <c r="Z269" s="670"/>
      <c r="AA269" s="675">
        <f t="shared" si="166"/>
        <v>0</v>
      </c>
      <c r="AB269" s="670"/>
      <c r="AC269" s="675">
        <f t="shared" si="167"/>
        <v>0</v>
      </c>
      <c r="AD269" s="670"/>
      <c r="AE269" s="675">
        <f t="shared" si="168"/>
        <v>0</v>
      </c>
      <c r="AF269" s="670"/>
      <c r="AL269" s="489"/>
      <c r="AM269" s="489"/>
      <c r="AN269" s="489"/>
      <c r="AO269" s="489"/>
      <c r="AP269" s="489"/>
      <c r="AQ269" s="489"/>
      <c r="AR269" s="489"/>
      <c r="AS269" s="489"/>
    </row>
    <row r="270" spans="1:45" s="484" customFormat="1">
      <c r="A270" s="695" t="s">
        <v>1285</v>
      </c>
      <c r="B270" s="638">
        <v>62659915872.042984</v>
      </c>
      <c r="C270" s="639"/>
      <c r="D270" s="639"/>
      <c r="E270" s="639">
        <v>5079819576</v>
      </c>
      <c r="F270" s="703"/>
      <c r="G270" s="639">
        <v>5110381376.3620863</v>
      </c>
      <c r="H270" s="639">
        <v>5110381376.3620863</v>
      </c>
      <c r="I270" s="639">
        <v>5110381376.3620863</v>
      </c>
      <c r="J270" s="639">
        <v>5110381376.3620863</v>
      </c>
      <c r="K270" s="639">
        <v>5110381376.3620863</v>
      </c>
      <c r="L270" s="639">
        <v>5110381376.3620863</v>
      </c>
      <c r="M270" s="639">
        <v>5110381376.3620863</v>
      </c>
      <c r="N270" s="639">
        <v>5110381376.3620863</v>
      </c>
      <c r="O270" s="639">
        <v>5110381376.3620863</v>
      </c>
      <c r="P270" s="639">
        <v>5110381376.3620863</v>
      </c>
      <c r="Q270" s="639">
        <v>5110381376.3620863</v>
      </c>
      <c r="R270" s="639">
        <v>5110381376.3620863</v>
      </c>
      <c r="S270" s="639">
        <f t="shared" si="163"/>
        <v>5110381376.3620863</v>
      </c>
      <c r="T270" s="813"/>
      <c r="V270" s="641">
        <f t="shared" si="162"/>
        <v>5110381376.3620863</v>
      </c>
      <c r="W270" s="713">
        <f t="shared" si="164"/>
        <v>8.2108224771263957E-4</v>
      </c>
      <c r="X270" s="1015"/>
      <c r="Y270" s="675">
        <f t="shared" si="165"/>
        <v>5110381376.3620863</v>
      </c>
      <c r="Z270" s="675"/>
      <c r="AA270" s="675">
        <f t="shared" si="166"/>
        <v>5110381376.3620863</v>
      </c>
      <c r="AB270" s="675"/>
      <c r="AC270" s="675">
        <f t="shared" si="167"/>
        <v>5110381376.3620863</v>
      </c>
      <c r="AD270" s="675"/>
      <c r="AE270" s="675">
        <f t="shared" si="168"/>
        <v>5110381376.3620863</v>
      </c>
      <c r="AF270" s="675"/>
      <c r="AL270" s="489"/>
      <c r="AM270" s="489"/>
      <c r="AN270" s="489"/>
      <c r="AO270" s="489"/>
      <c r="AP270" s="489"/>
      <c r="AQ270" s="489"/>
      <c r="AR270" s="489"/>
      <c r="AS270" s="489"/>
    </row>
    <row r="271" spans="1:45" s="484" customFormat="1" ht="14.5">
      <c r="A271" s="695" t="s">
        <v>1286</v>
      </c>
      <c r="B271" s="647"/>
      <c r="C271" s="644"/>
      <c r="D271" s="644"/>
      <c r="E271" s="639">
        <v>63036315429</v>
      </c>
      <c r="F271" s="705"/>
      <c r="G271" s="639">
        <v>61664570544.775345</v>
      </c>
      <c r="H271" s="639">
        <v>61664570544.775345</v>
      </c>
      <c r="I271" s="639">
        <v>61664570544.775345</v>
      </c>
      <c r="J271" s="639">
        <v>61664570544.775345</v>
      </c>
      <c r="K271" s="639">
        <v>61664570544.775345</v>
      </c>
      <c r="L271" s="639">
        <v>61664570544.775345</v>
      </c>
      <c r="M271" s="639">
        <v>61664570544.775345</v>
      </c>
      <c r="N271" s="639">
        <v>61664570544.775345</v>
      </c>
      <c r="O271" s="639">
        <v>61664570544.775345</v>
      </c>
      <c r="P271" s="639">
        <v>61664570544.775345</v>
      </c>
      <c r="Q271" s="639">
        <v>61664570544.775345</v>
      </c>
      <c r="R271" s="639">
        <v>61664570544.775345</v>
      </c>
      <c r="S271" s="639">
        <f t="shared" si="163"/>
        <v>61664570544.775345</v>
      </c>
      <c r="T271" s="813"/>
      <c r="V271" s="641">
        <f t="shared" si="162"/>
        <v>61664570544.775345</v>
      </c>
      <c r="W271" s="713">
        <f t="shared" si="164"/>
        <v>9.9076136316037164E-3</v>
      </c>
      <c r="X271" s="1016"/>
      <c r="Y271" s="675">
        <f t="shared" si="165"/>
        <v>61664570544.775345</v>
      </c>
      <c r="Z271" s="670"/>
      <c r="AA271" s="675">
        <f t="shared" si="166"/>
        <v>61664570544.775345</v>
      </c>
      <c r="AB271" s="670"/>
      <c r="AC271" s="675">
        <f t="shared" si="167"/>
        <v>61664570544.775345</v>
      </c>
      <c r="AD271" s="670"/>
      <c r="AE271" s="675">
        <f t="shared" si="168"/>
        <v>61664570544.775345</v>
      </c>
      <c r="AF271" s="670"/>
      <c r="AL271" s="489"/>
      <c r="AM271" s="489"/>
      <c r="AN271" s="489"/>
      <c r="AO271" s="489"/>
      <c r="AP271" s="489"/>
      <c r="AQ271" s="489"/>
      <c r="AR271" s="489"/>
      <c r="AS271" s="489"/>
    </row>
    <row r="272" spans="1:45" s="484" customFormat="1">
      <c r="A272" s="695" t="s">
        <v>1287</v>
      </c>
      <c r="B272" s="638">
        <v>0</v>
      </c>
      <c r="C272" s="639"/>
      <c r="D272" s="639"/>
      <c r="E272" s="639">
        <v>0</v>
      </c>
      <c r="F272" s="703"/>
      <c r="G272" s="639">
        <v>0</v>
      </c>
      <c r="H272" s="639">
        <v>0</v>
      </c>
      <c r="I272" s="639">
        <v>0</v>
      </c>
      <c r="J272" s="639">
        <v>0</v>
      </c>
      <c r="K272" s="639">
        <v>0</v>
      </c>
      <c r="L272" s="639">
        <v>0</v>
      </c>
      <c r="M272" s="639">
        <v>0</v>
      </c>
      <c r="N272" s="639">
        <v>0</v>
      </c>
      <c r="O272" s="639">
        <v>0</v>
      </c>
      <c r="P272" s="639">
        <v>0</v>
      </c>
      <c r="Q272" s="639">
        <v>0</v>
      </c>
      <c r="R272" s="639">
        <v>0</v>
      </c>
      <c r="S272" s="639">
        <f t="shared" si="163"/>
        <v>0</v>
      </c>
      <c r="T272" s="813"/>
      <c r="V272" s="641">
        <f t="shared" si="162"/>
        <v>0</v>
      </c>
      <c r="W272" s="713">
        <f t="shared" si="164"/>
        <v>0</v>
      </c>
      <c r="X272" s="1015"/>
      <c r="Y272" s="675">
        <f t="shared" si="165"/>
        <v>0</v>
      </c>
      <c r="Z272" s="675"/>
      <c r="AA272" s="675">
        <f t="shared" si="166"/>
        <v>0</v>
      </c>
      <c r="AB272" s="675"/>
      <c r="AC272" s="675">
        <f t="shared" si="167"/>
        <v>0</v>
      </c>
      <c r="AD272" s="675"/>
      <c r="AE272" s="675">
        <f t="shared" si="168"/>
        <v>0</v>
      </c>
      <c r="AF272" s="675"/>
      <c r="AL272" s="489"/>
      <c r="AM272" s="489"/>
      <c r="AN272" s="489"/>
      <c r="AO272" s="489"/>
      <c r="AP272" s="489"/>
      <c r="AQ272" s="489"/>
      <c r="AR272" s="489"/>
      <c r="AS272" s="489"/>
    </row>
    <row r="273" spans="1:45" s="484" customFormat="1" ht="14.5">
      <c r="A273" s="695" t="s">
        <v>1288</v>
      </c>
      <c r="B273" s="647"/>
      <c r="C273" s="644"/>
      <c r="D273" s="644"/>
      <c r="E273" s="639">
        <v>0</v>
      </c>
      <c r="F273" s="705"/>
      <c r="G273" s="639">
        <v>0</v>
      </c>
      <c r="H273" s="639">
        <v>0</v>
      </c>
      <c r="I273" s="639">
        <v>0</v>
      </c>
      <c r="J273" s="639">
        <v>0</v>
      </c>
      <c r="K273" s="639">
        <v>0</v>
      </c>
      <c r="L273" s="639">
        <v>0</v>
      </c>
      <c r="M273" s="639">
        <v>0</v>
      </c>
      <c r="N273" s="639">
        <v>0</v>
      </c>
      <c r="O273" s="639">
        <v>0</v>
      </c>
      <c r="P273" s="639">
        <v>0</v>
      </c>
      <c r="Q273" s="639">
        <v>0</v>
      </c>
      <c r="R273" s="639">
        <v>0</v>
      </c>
      <c r="S273" s="639">
        <f t="shared" si="163"/>
        <v>0</v>
      </c>
      <c r="T273" s="813"/>
      <c r="V273" s="641">
        <f t="shared" si="162"/>
        <v>0</v>
      </c>
      <c r="W273" s="713">
        <f t="shared" si="164"/>
        <v>0</v>
      </c>
      <c r="X273" s="1016"/>
      <c r="Y273" s="675">
        <f t="shared" si="165"/>
        <v>0</v>
      </c>
      <c r="Z273" s="670"/>
      <c r="AA273" s="675">
        <f t="shared" si="166"/>
        <v>0</v>
      </c>
      <c r="AB273" s="670"/>
      <c r="AC273" s="675">
        <f t="shared" si="167"/>
        <v>0</v>
      </c>
      <c r="AD273" s="670"/>
      <c r="AE273" s="675">
        <f t="shared" si="168"/>
        <v>0</v>
      </c>
      <c r="AF273" s="670"/>
      <c r="AL273" s="489"/>
      <c r="AM273" s="489"/>
      <c r="AN273" s="489"/>
      <c r="AO273" s="489"/>
      <c r="AP273" s="489"/>
      <c r="AQ273" s="489"/>
      <c r="AR273" s="489"/>
      <c r="AS273" s="489"/>
    </row>
    <row r="274" spans="1:45" s="484" customFormat="1">
      <c r="A274" s="695" t="s">
        <v>1289</v>
      </c>
      <c r="B274" s="647">
        <v>19218040847.040077</v>
      </c>
      <c r="C274" s="648"/>
      <c r="D274" s="648"/>
      <c r="E274" s="639">
        <v>0</v>
      </c>
      <c r="F274" s="706"/>
      <c r="G274" s="639">
        <v>0</v>
      </c>
      <c r="H274" s="639">
        <v>0</v>
      </c>
      <c r="I274" s="639">
        <v>0</v>
      </c>
      <c r="J274" s="639">
        <v>0</v>
      </c>
      <c r="K274" s="639">
        <v>0</v>
      </c>
      <c r="L274" s="639">
        <v>0</v>
      </c>
      <c r="M274" s="639">
        <v>0</v>
      </c>
      <c r="N274" s="639">
        <v>0</v>
      </c>
      <c r="O274" s="639">
        <v>0</v>
      </c>
      <c r="P274" s="639">
        <v>0</v>
      </c>
      <c r="Q274" s="639">
        <v>0</v>
      </c>
      <c r="R274" s="639">
        <v>0</v>
      </c>
      <c r="S274" s="639">
        <f t="shared" si="163"/>
        <v>0</v>
      </c>
      <c r="T274" s="813"/>
      <c r="V274" s="641">
        <f t="shared" si="162"/>
        <v>0</v>
      </c>
      <c r="W274" s="713">
        <f t="shared" si="164"/>
        <v>0</v>
      </c>
      <c r="X274" s="1015"/>
      <c r="Y274" s="675">
        <f t="shared" si="165"/>
        <v>0</v>
      </c>
      <c r="Z274" s="675"/>
      <c r="AA274" s="675">
        <f t="shared" si="166"/>
        <v>0</v>
      </c>
      <c r="AB274" s="648"/>
      <c r="AC274" s="675">
        <f t="shared" si="167"/>
        <v>0</v>
      </c>
      <c r="AD274" s="648"/>
      <c r="AE274" s="675">
        <f t="shared" si="168"/>
        <v>0</v>
      </c>
      <c r="AF274" s="648"/>
      <c r="AL274" s="489"/>
      <c r="AM274" s="489"/>
      <c r="AN274" s="489"/>
      <c r="AO274" s="489"/>
      <c r="AP274" s="489"/>
      <c r="AQ274" s="489"/>
      <c r="AR274" s="489"/>
      <c r="AS274" s="489"/>
    </row>
    <row r="275" spans="1:45" s="484" customFormat="1" ht="14.5">
      <c r="A275" s="695" t="s">
        <v>1290</v>
      </c>
      <c r="B275" s="647"/>
      <c r="C275" s="644"/>
      <c r="D275" s="644"/>
      <c r="E275" s="639">
        <v>0</v>
      </c>
      <c r="F275" s="705"/>
      <c r="G275" s="639">
        <v>0</v>
      </c>
      <c r="H275" s="639">
        <v>0</v>
      </c>
      <c r="I275" s="639">
        <v>0</v>
      </c>
      <c r="J275" s="639">
        <v>0</v>
      </c>
      <c r="K275" s="639">
        <v>0</v>
      </c>
      <c r="L275" s="639">
        <v>0</v>
      </c>
      <c r="M275" s="639">
        <v>0</v>
      </c>
      <c r="N275" s="639">
        <v>0</v>
      </c>
      <c r="O275" s="639">
        <v>0</v>
      </c>
      <c r="P275" s="639">
        <v>0</v>
      </c>
      <c r="Q275" s="639">
        <v>0</v>
      </c>
      <c r="R275" s="639">
        <v>0</v>
      </c>
      <c r="S275" s="639">
        <f t="shared" si="163"/>
        <v>0</v>
      </c>
      <c r="T275" s="813"/>
      <c r="V275" s="641">
        <f t="shared" si="162"/>
        <v>0</v>
      </c>
      <c r="W275" s="713">
        <f t="shared" si="164"/>
        <v>0</v>
      </c>
      <c r="X275" s="1016"/>
      <c r="Y275" s="675">
        <f t="shared" si="165"/>
        <v>0</v>
      </c>
      <c r="Z275" s="528"/>
      <c r="AA275" s="675">
        <f t="shared" si="166"/>
        <v>0</v>
      </c>
      <c r="AB275" s="528"/>
      <c r="AC275" s="675">
        <f t="shared" si="167"/>
        <v>0</v>
      </c>
      <c r="AD275" s="528"/>
      <c r="AE275" s="675">
        <f t="shared" si="168"/>
        <v>0</v>
      </c>
      <c r="AL275" s="489"/>
      <c r="AM275" s="489"/>
      <c r="AN275" s="489"/>
      <c r="AO275" s="489"/>
      <c r="AP275" s="489"/>
      <c r="AQ275" s="489"/>
      <c r="AR275" s="489"/>
      <c r="AS275" s="489"/>
    </row>
    <row r="276" spans="1:45" s="484" customFormat="1" ht="14.5">
      <c r="A276" s="695" t="s">
        <v>1291</v>
      </c>
      <c r="B276" s="647"/>
      <c r="C276" s="644"/>
      <c r="D276" s="644"/>
      <c r="E276" s="639">
        <v>0</v>
      </c>
      <c r="F276" s="705"/>
      <c r="G276" s="639">
        <v>0</v>
      </c>
      <c r="H276" s="639">
        <v>0</v>
      </c>
      <c r="I276" s="639">
        <v>0</v>
      </c>
      <c r="J276" s="639">
        <v>0</v>
      </c>
      <c r="K276" s="639">
        <v>0</v>
      </c>
      <c r="L276" s="639">
        <v>0</v>
      </c>
      <c r="M276" s="639">
        <v>0</v>
      </c>
      <c r="N276" s="639">
        <v>0</v>
      </c>
      <c r="O276" s="639">
        <v>0</v>
      </c>
      <c r="P276" s="639">
        <v>0</v>
      </c>
      <c r="Q276" s="639">
        <v>0</v>
      </c>
      <c r="R276" s="639">
        <v>0</v>
      </c>
      <c r="S276" s="639">
        <f t="shared" si="163"/>
        <v>0</v>
      </c>
      <c r="T276" s="813"/>
      <c r="V276" s="641">
        <f t="shared" si="162"/>
        <v>0</v>
      </c>
      <c r="W276" s="713">
        <f t="shared" si="164"/>
        <v>0</v>
      </c>
      <c r="X276" s="1016"/>
      <c r="Y276" s="675"/>
      <c r="Z276" s="528"/>
      <c r="AA276" s="675"/>
      <c r="AB276" s="528"/>
      <c r="AC276" s="675"/>
      <c r="AD276" s="528"/>
      <c r="AE276" s="675"/>
      <c r="AL276" s="489"/>
      <c r="AM276" s="489"/>
      <c r="AN276" s="489"/>
      <c r="AO276" s="489"/>
      <c r="AP276" s="489"/>
      <c r="AQ276" s="489"/>
      <c r="AR276" s="489"/>
      <c r="AS276" s="489"/>
    </row>
    <row r="277" spans="1:45" s="484" customFormat="1" ht="14.5">
      <c r="A277" s="695" t="s">
        <v>1292</v>
      </c>
      <c r="B277" s="647"/>
      <c r="C277" s="644"/>
      <c r="D277" s="644"/>
      <c r="E277" s="639">
        <v>0</v>
      </c>
      <c r="F277" s="705"/>
      <c r="G277" s="639">
        <v>0</v>
      </c>
      <c r="H277" s="639">
        <v>0</v>
      </c>
      <c r="I277" s="639">
        <v>0</v>
      </c>
      <c r="J277" s="639">
        <v>0</v>
      </c>
      <c r="K277" s="639">
        <v>0</v>
      </c>
      <c r="L277" s="639">
        <v>0</v>
      </c>
      <c r="M277" s="639">
        <v>0</v>
      </c>
      <c r="N277" s="639">
        <v>0</v>
      </c>
      <c r="O277" s="639">
        <v>0</v>
      </c>
      <c r="P277" s="639">
        <v>0</v>
      </c>
      <c r="Q277" s="639">
        <v>0</v>
      </c>
      <c r="R277" s="639">
        <v>0</v>
      </c>
      <c r="S277" s="639">
        <f t="shared" si="163"/>
        <v>0</v>
      </c>
      <c r="T277" s="813"/>
      <c r="V277" s="641">
        <f t="shared" si="162"/>
        <v>0</v>
      </c>
      <c r="W277" s="713">
        <f t="shared" si="164"/>
        <v>0</v>
      </c>
      <c r="X277" s="1016"/>
      <c r="Y277" s="675"/>
      <c r="Z277" s="528"/>
      <c r="AA277" s="675"/>
      <c r="AB277" s="528"/>
      <c r="AC277" s="675"/>
      <c r="AD277" s="528"/>
      <c r="AE277" s="675"/>
      <c r="AL277" s="489"/>
      <c r="AM277" s="489"/>
      <c r="AN277" s="489"/>
      <c r="AO277" s="489"/>
      <c r="AP277" s="489"/>
      <c r="AQ277" s="489"/>
      <c r="AR277" s="489"/>
      <c r="AS277" s="489"/>
    </row>
    <row r="278" spans="1:45" s="484" customFormat="1" ht="14.5">
      <c r="A278" s="695" t="s">
        <v>1293</v>
      </c>
      <c r="B278" s="647"/>
      <c r="C278" s="644"/>
      <c r="D278" s="644"/>
      <c r="E278" s="639">
        <v>0</v>
      </c>
      <c r="F278" s="705"/>
      <c r="G278" s="639">
        <v>0</v>
      </c>
      <c r="H278" s="639">
        <v>0</v>
      </c>
      <c r="I278" s="639">
        <v>0</v>
      </c>
      <c r="J278" s="639">
        <v>0</v>
      </c>
      <c r="K278" s="639">
        <v>0</v>
      </c>
      <c r="L278" s="639">
        <v>0</v>
      </c>
      <c r="M278" s="639">
        <v>0</v>
      </c>
      <c r="N278" s="639">
        <v>0</v>
      </c>
      <c r="O278" s="639">
        <v>0</v>
      </c>
      <c r="P278" s="639">
        <v>0</v>
      </c>
      <c r="Q278" s="639">
        <v>0</v>
      </c>
      <c r="R278" s="639">
        <v>0</v>
      </c>
      <c r="S278" s="639">
        <f t="shared" si="163"/>
        <v>0</v>
      </c>
      <c r="T278" s="813"/>
      <c r="V278" s="641">
        <f t="shared" si="162"/>
        <v>0</v>
      </c>
      <c r="W278" s="713">
        <f t="shared" si="164"/>
        <v>0</v>
      </c>
      <c r="X278" s="1016"/>
      <c r="Y278" s="675"/>
      <c r="Z278" s="528"/>
      <c r="AA278" s="675"/>
      <c r="AB278" s="528"/>
      <c r="AC278" s="675"/>
      <c r="AD278" s="528"/>
      <c r="AE278" s="675"/>
      <c r="AL278" s="489"/>
      <c r="AM278" s="489"/>
      <c r="AN278" s="489"/>
      <c r="AO278" s="489"/>
      <c r="AP278" s="489"/>
      <c r="AQ278" s="489"/>
      <c r="AR278" s="489"/>
      <c r="AS278" s="489"/>
    </row>
    <row r="279" spans="1:45" s="484" customFormat="1" ht="14.5">
      <c r="A279" s="695" t="s">
        <v>1294</v>
      </c>
      <c r="B279" s="647"/>
      <c r="C279" s="644"/>
      <c r="D279" s="644"/>
      <c r="E279" s="639">
        <v>10243735355</v>
      </c>
      <c r="F279" s="705"/>
      <c r="G279" s="639">
        <v>16354518867.267313</v>
      </c>
      <c r="H279" s="639">
        <v>16354518867.267313</v>
      </c>
      <c r="I279" s="639">
        <v>16354518867.267313</v>
      </c>
      <c r="J279" s="639">
        <v>16354518867.267313</v>
      </c>
      <c r="K279" s="639">
        <v>16354518867.267313</v>
      </c>
      <c r="L279" s="639">
        <v>16354518867.267313</v>
      </c>
      <c r="M279" s="639">
        <v>16354518867.267313</v>
      </c>
      <c r="N279" s="639">
        <v>16354518867.267313</v>
      </c>
      <c r="O279" s="639">
        <v>16354518867.267313</v>
      </c>
      <c r="P279" s="639">
        <v>16354518867.267313</v>
      </c>
      <c r="Q279" s="639">
        <v>16354518867.267313</v>
      </c>
      <c r="R279" s="639">
        <v>16354518867.267313</v>
      </c>
      <c r="S279" s="639">
        <f t="shared" si="163"/>
        <v>16354518867.267313</v>
      </c>
      <c r="T279" s="813"/>
      <c r="V279" s="641">
        <f t="shared" si="162"/>
        <v>16354518867.267313</v>
      </c>
      <c r="W279" s="713">
        <f t="shared" si="164"/>
        <v>2.6276718160228307E-3</v>
      </c>
      <c r="X279" s="1016"/>
      <c r="Y279" s="675"/>
      <c r="Z279" s="528"/>
      <c r="AA279" s="675"/>
      <c r="AB279" s="528"/>
      <c r="AC279" s="675"/>
      <c r="AD279" s="528"/>
      <c r="AE279" s="675"/>
      <c r="AL279" s="489"/>
      <c r="AM279" s="489"/>
      <c r="AN279" s="489"/>
      <c r="AO279" s="489"/>
      <c r="AP279" s="489"/>
      <c r="AQ279" s="489"/>
      <c r="AR279" s="489"/>
      <c r="AS279" s="489"/>
    </row>
    <row r="280" spans="1:45" s="484" customFormat="1" ht="14.5">
      <c r="A280" s="695" t="s">
        <v>1295</v>
      </c>
      <c r="B280" s="647"/>
      <c r="C280" s="644"/>
      <c r="D280" s="644"/>
      <c r="E280" s="639">
        <v>0</v>
      </c>
      <c r="F280" s="705"/>
      <c r="G280" s="639">
        <v>0</v>
      </c>
      <c r="H280" s="639">
        <v>0</v>
      </c>
      <c r="I280" s="639">
        <v>0</v>
      </c>
      <c r="J280" s="639">
        <v>0</v>
      </c>
      <c r="K280" s="639">
        <v>0</v>
      </c>
      <c r="L280" s="639">
        <v>0</v>
      </c>
      <c r="M280" s="639">
        <v>0</v>
      </c>
      <c r="N280" s="639">
        <v>0</v>
      </c>
      <c r="O280" s="639">
        <v>0</v>
      </c>
      <c r="P280" s="639">
        <v>0</v>
      </c>
      <c r="Q280" s="639">
        <v>0</v>
      </c>
      <c r="R280" s="639">
        <v>0</v>
      </c>
      <c r="S280" s="639">
        <f t="shared" si="163"/>
        <v>0</v>
      </c>
      <c r="T280" s="813"/>
      <c r="V280" s="641">
        <f t="shared" si="162"/>
        <v>0</v>
      </c>
      <c r="W280" s="713">
        <f t="shared" si="164"/>
        <v>0</v>
      </c>
      <c r="X280" s="1016"/>
      <c r="Y280" s="675"/>
      <c r="Z280" s="528"/>
      <c r="AA280" s="675"/>
      <c r="AB280" s="528"/>
      <c r="AC280" s="675"/>
      <c r="AD280" s="528"/>
      <c r="AE280" s="675"/>
      <c r="AL280" s="489"/>
      <c r="AM280" s="489"/>
      <c r="AN280" s="489"/>
      <c r="AO280" s="489"/>
      <c r="AP280" s="489"/>
      <c r="AQ280" s="489"/>
      <c r="AR280" s="489"/>
      <c r="AS280" s="489"/>
    </row>
    <row r="281" spans="1:45" s="484" customFormat="1" ht="14.5">
      <c r="A281" s="695" t="s">
        <v>1296</v>
      </c>
      <c r="B281" s="647"/>
      <c r="C281" s="644"/>
      <c r="D281" s="644"/>
      <c r="E281" s="639">
        <v>4902543065</v>
      </c>
      <c r="F281" s="705"/>
      <c r="G281" s="639">
        <v>4881080990.8816118</v>
      </c>
      <c r="H281" s="639">
        <v>4881080990.8816118</v>
      </c>
      <c r="I281" s="639">
        <v>4881080990.8816118</v>
      </c>
      <c r="J281" s="639">
        <v>4881080990.8816118</v>
      </c>
      <c r="K281" s="639">
        <v>4881080990.8816118</v>
      </c>
      <c r="L281" s="639">
        <v>4881080990.8816118</v>
      </c>
      <c r="M281" s="639">
        <v>4881080990.8816118</v>
      </c>
      <c r="N281" s="639">
        <v>4881080990.8816118</v>
      </c>
      <c r="O281" s="639">
        <v>4881080990.8816118</v>
      </c>
      <c r="P281" s="639">
        <v>4881080990.8816118</v>
      </c>
      <c r="Q281" s="639">
        <v>4881080990.8816118</v>
      </c>
      <c r="R281" s="639">
        <v>4881080990.8816118</v>
      </c>
      <c r="S281" s="639">
        <f t="shared" si="163"/>
        <v>4881080990.8816118</v>
      </c>
      <c r="T281" s="813"/>
      <c r="V281" s="641">
        <f t="shared" si="162"/>
        <v>4881080990.8816118</v>
      </c>
      <c r="W281" s="713">
        <f t="shared" si="164"/>
        <v>7.8424067718278821E-4</v>
      </c>
      <c r="X281" s="1016"/>
      <c r="Y281" s="675"/>
      <c r="Z281" s="528"/>
      <c r="AA281" s="675"/>
      <c r="AB281" s="528"/>
      <c r="AC281" s="675"/>
      <c r="AD281" s="528"/>
      <c r="AE281" s="675"/>
      <c r="AL281" s="489"/>
      <c r="AM281" s="489"/>
      <c r="AN281" s="489"/>
      <c r="AO281" s="489"/>
      <c r="AP281" s="489"/>
      <c r="AQ281" s="489"/>
      <c r="AR281" s="489"/>
      <c r="AS281" s="489"/>
    </row>
    <row r="282" spans="1:45" s="484" customFormat="1" ht="14.5">
      <c r="A282" s="695" t="s">
        <v>1297</v>
      </c>
      <c r="B282" s="647"/>
      <c r="C282" s="644"/>
      <c r="D282" s="644"/>
      <c r="E282" s="639">
        <v>0</v>
      </c>
      <c r="F282" s="705"/>
      <c r="G282" s="639">
        <v>0</v>
      </c>
      <c r="H282" s="639">
        <v>0</v>
      </c>
      <c r="I282" s="639">
        <v>0</v>
      </c>
      <c r="J282" s="639">
        <v>0</v>
      </c>
      <c r="K282" s="639">
        <v>0</v>
      </c>
      <c r="L282" s="639">
        <v>0</v>
      </c>
      <c r="M282" s="639">
        <v>0</v>
      </c>
      <c r="N282" s="639">
        <v>0</v>
      </c>
      <c r="O282" s="639">
        <v>0</v>
      </c>
      <c r="P282" s="639">
        <v>0</v>
      </c>
      <c r="Q282" s="639">
        <v>0</v>
      </c>
      <c r="R282" s="639">
        <v>0</v>
      </c>
      <c r="S282" s="639">
        <f t="shared" si="163"/>
        <v>0</v>
      </c>
      <c r="T282" s="813"/>
      <c r="V282" s="641">
        <f t="shared" si="162"/>
        <v>0</v>
      </c>
      <c r="W282" s="713">
        <f t="shared" si="164"/>
        <v>0</v>
      </c>
      <c r="X282" s="1016"/>
      <c r="Y282" s="675"/>
      <c r="Z282" s="528"/>
      <c r="AA282" s="675"/>
      <c r="AB282" s="528"/>
      <c r="AC282" s="675"/>
      <c r="AD282" s="528"/>
      <c r="AE282" s="675"/>
      <c r="AL282" s="489"/>
      <c r="AM282" s="489"/>
      <c r="AN282" s="489"/>
      <c r="AO282" s="489"/>
      <c r="AP282" s="489"/>
      <c r="AQ282" s="489"/>
      <c r="AR282" s="489"/>
      <c r="AS282" s="489"/>
    </row>
    <row r="283" spans="1:45" s="484" customFormat="1" ht="14.5">
      <c r="A283" s="695" t="s">
        <v>1298</v>
      </c>
      <c r="B283" s="647"/>
      <c r="C283" s="644"/>
      <c r="D283" s="644"/>
      <c r="E283" s="639">
        <v>0</v>
      </c>
      <c r="F283" s="705"/>
      <c r="G283" s="639">
        <v>0</v>
      </c>
      <c r="H283" s="639">
        <v>0</v>
      </c>
      <c r="I283" s="639">
        <v>0</v>
      </c>
      <c r="J283" s="639">
        <v>0</v>
      </c>
      <c r="K283" s="639">
        <v>0</v>
      </c>
      <c r="L283" s="639">
        <v>0</v>
      </c>
      <c r="M283" s="639">
        <v>0</v>
      </c>
      <c r="N283" s="639">
        <v>0</v>
      </c>
      <c r="O283" s="639">
        <v>0</v>
      </c>
      <c r="P283" s="639">
        <v>0</v>
      </c>
      <c r="Q283" s="639">
        <v>0</v>
      </c>
      <c r="R283" s="639">
        <v>0</v>
      </c>
      <c r="S283" s="639">
        <f t="shared" si="163"/>
        <v>0</v>
      </c>
      <c r="T283" s="813"/>
      <c r="V283" s="641">
        <f t="shared" si="162"/>
        <v>0</v>
      </c>
      <c r="W283" s="713">
        <f t="shared" si="164"/>
        <v>0</v>
      </c>
      <c r="X283" s="1016"/>
      <c r="Y283" s="675"/>
      <c r="Z283" s="528"/>
      <c r="AA283" s="675"/>
      <c r="AB283" s="528"/>
      <c r="AC283" s="675"/>
      <c r="AD283" s="528"/>
      <c r="AE283" s="675"/>
      <c r="AL283" s="489"/>
      <c r="AM283" s="489"/>
      <c r="AN283" s="489"/>
      <c r="AO283" s="489"/>
      <c r="AP283" s="489"/>
      <c r="AQ283" s="489"/>
      <c r="AR283" s="489"/>
      <c r="AS283" s="489"/>
    </row>
    <row r="284" spans="1:45" s="484" customFormat="1" ht="14.5">
      <c r="A284" s="695" t="s">
        <v>1299</v>
      </c>
      <c r="B284" s="647"/>
      <c r="C284" s="644"/>
      <c r="D284" s="644"/>
      <c r="E284" s="639">
        <v>0</v>
      </c>
      <c r="F284" s="705"/>
      <c r="G284" s="639">
        <v>0</v>
      </c>
      <c r="H284" s="639">
        <v>0</v>
      </c>
      <c r="I284" s="639">
        <v>0</v>
      </c>
      <c r="J284" s="639">
        <v>0</v>
      </c>
      <c r="K284" s="639">
        <v>0</v>
      </c>
      <c r="L284" s="639">
        <v>0</v>
      </c>
      <c r="M284" s="639">
        <v>0</v>
      </c>
      <c r="N284" s="639">
        <v>0</v>
      </c>
      <c r="O284" s="639">
        <v>0</v>
      </c>
      <c r="P284" s="639">
        <v>0</v>
      </c>
      <c r="Q284" s="639">
        <v>0</v>
      </c>
      <c r="R284" s="639">
        <v>0</v>
      </c>
      <c r="S284" s="639">
        <f t="shared" si="163"/>
        <v>0</v>
      </c>
      <c r="T284" s="813"/>
      <c r="V284" s="641">
        <f t="shared" si="162"/>
        <v>0</v>
      </c>
      <c r="W284" s="713">
        <f t="shared" si="164"/>
        <v>0</v>
      </c>
      <c r="X284" s="1016"/>
      <c r="Y284" s="675"/>
      <c r="Z284" s="528"/>
      <c r="AA284" s="675"/>
      <c r="AB284" s="528"/>
      <c r="AC284" s="675"/>
      <c r="AD284" s="528"/>
      <c r="AE284" s="675"/>
      <c r="AL284" s="489"/>
      <c r="AM284" s="489"/>
      <c r="AN284" s="489"/>
      <c r="AO284" s="489"/>
      <c r="AP284" s="489"/>
      <c r="AQ284" s="489"/>
      <c r="AR284" s="489"/>
      <c r="AS284" s="489"/>
    </row>
    <row r="285" spans="1:45" s="484" customFormat="1" ht="14.5">
      <c r="A285" s="695" t="s">
        <v>1300</v>
      </c>
      <c r="B285" s="647"/>
      <c r="C285" s="644"/>
      <c r="D285" s="644"/>
      <c r="E285" s="639">
        <v>0</v>
      </c>
      <c r="F285" s="705"/>
      <c r="G285" s="639">
        <v>0</v>
      </c>
      <c r="H285" s="639">
        <v>0</v>
      </c>
      <c r="I285" s="639">
        <v>0</v>
      </c>
      <c r="J285" s="639">
        <v>0</v>
      </c>
      <c r="K285" s="639">
        <v>0</v>
      </c>
      <c r="L285" s="639">
        <v>0</v>
      </c>
      <c r="M285" s="639">
        <v>0</v>
      </c>
      <c r="N285" s="639">
        <v>0</v>
      </c>
      <c r="O285" s="639">
        <v>0</v>
      </c>
      <c r="P285" s="639">
        <v>0</v>
      </c>
      <c r="Q285" s="639">
        <v>0</v>
      </c>
      <c r="R285" s="639">
        <v>0</v>
      </c>
      <c r="S285" s="639">
        <f t="shared" si="163"/>
        <v>0</v>
      </c>
      <c r="T285" s="813"/>
      <c r="V285" s="641">
        <f t="shared" si="162"/>
        <v>0</v>
      </c>
      <c r="W285" s="713">
        <f t="shared" si="164"/>
        <v>0</v>
      </c>
      <c r="X285" s="1016"/>
      <c r="Y285" s="675"/>
      <c r="Z285" s="528"/>
      <c r="AA285" s="675"/>
      <c r="AB285" s="528"/>
      <c r="AC285" s="675"/>
      <c r="AD285" s="528"/>
      <c r="AE285" s="675"/>
      <c r="AL285" s="489"/>
      <c r="AM285" s="489"/>
      <c r="AN285" s="489"/>
      <c r="AO285" s="489"/>
      <c r="AP285" s="489"/>
      <c r="AQ285" s="489"/>
      <c r="AR285" s="489"/>
      <c r="AS285" s="489"/>
    </row>
    <row r="286" spans="1:45" s="484" customFormat="1" ht="14.5">
      <c r="A286" s="695" t="s">
        <v>1301</v>
      </c>
      <c r="B286" s="647"/>
      <c r="C286" s="644"/>
      <c r="D286" s="644"/>
      <c r="E286" s="639">
        <v>0</v>
      </c>
      <c r="F286" s="705"/>
      <c r="G286" s="639">
        <v>0</v>
      </c>
      <c r="H286" s="639">
        <v>0</v>
      </c>
      <c r="I286" s="639">
        <v>0</v>
      </c>
      <c r="J286" s="639">
        <v>0</v>
      </c>
      <c r="K286" s="639">
        <v>0</v>
      </c>
      <c r="L286" s="639">
        <v>0</v>
      </c>
      <c r="M286" s="639">
        <v>0</v>
      </c>
      <c r="N286" s="639">
        <v>0</v>
      </c>
      <c r="O286" s="639">
        <v>0</v>
      </c>
      <c r="P286" s="639">
        <v>0</v>
      </c>
      <c r="Q286" s="639">
        <v>0</v>
      </c>
      <c r="R286" s="639">
        <v>0</v>
      </c>
      <c r="S286" s="639">
        <f t="shared" si="163"/>
        <v>0</v>
      </c>
      <c r="T286" s="813"/>
      <c r="V286" s="641">
        <f t="shared" si="162"/>
        <v>0</v>
      </c>
      <c r="W286" s="713">
        <f t="shared" si="164"/>
        <v>0</v>
      </c>
      <c r="X286" s="1016"/>
      <c r="Y286" s="675"/>
      <c r="Z286" s="528"/>
      <c r="AA286" s="675"/>
      <c r="AB286" s="528"/>
      <c r="AC286" s="675"/>
      <c r="AD286" s="528"/>
      <c r="AE286" s="675"/>
      <c r="AL286" s="489"/>
      <c r="AM286" s="489"/>
      <c r="AN286" s="489"/>
      <c r="AO286" s="489"/>
      <c r="AP286" s="489"/>
      <c r="AQ286" s="489"/>
      <c r="AR286" s="489"/>
      <c r="AS286" s="489"/>
    </row>
    <row r="287" spans="1:45" s="484" customFormat="1" ht="14.5">
      <c r="A287" s="695" t="s">
        <v>1302</v>
      </c>
      <c r="B287" s="647"/>
      <c r="C287" s="644"/>
      <c r="D287" s="644"/>
      <c r="E287" s="639">
        <v>0</v>
      </c>
      <c r="F287" s="705"/>
      <c r="G287" s="639">
        <v>0</v>
      </c>
      <c r="H287" s="639">
        <v>0</v>
      </c>
      <c r="I287" s="639">
        <v>0</v>
      </c>
      <c r="J287" s="639">
        <v>0</v>
      </c>
      <c r="K287" s="639">
        <v>0</v>
      </c>
      <c r="L287" s="639">
        <v>0</v>
      </c>
      <c r="M287" s="639">
        <v>0</v>
      </c>
      <c r="N287" s="639">
        <v>0</v>
      </c>
      <c r="O287" s="639">
        <v>0</v>
      </c>
      <c r="P287" s="639">
        <v>0</v>
      </c>
      <c r="Q287" s="639">
        <v>0</v>
      </c>
      <c r="R287" s="639">
        <v>0</v>
      </c>
      <c r="S287" s="639">
        <f t="shared" si="163"/>
        <v>0</v>
      </c>
      <c r="T287" s="813"/>
      <c r="V287" s="641">
        <f t="shared" si="162"/>
        <v>0</v>
      </c>
      <c r="W287" s="713">
        <f t="shared" si="164"/>
        <v>0</v>
      </c>
      <c r="X287" s="1016"/>
      <c r="Y287" s="675"/>
      <c r="Z287" s="528"/>
      <c r="AA287" s="675"/>
      <c r="AB287" s="528"/>
      <c r="AC287" s="675"/>
      <c r="AD287" s="528"/>
      <c r="AE287" s="675"/>
      <c r="AL287" s="489"/>
      <c r="AM287" s="489"/>
      <c r="AN287" s="489"/>
      <c r="AO287" s="489"/>
      <c r="AP287" s="489"/>
      <c r="AQ287" s="489"/>
      <c r="AR287" s="489"/>
      <c r="AS287" s="489"/>
    </row>
    <row r="288" spans="1:45" s="484" customFormat="1" ht="14.5">
      <c r="A288" s="695" t="s">
        <v>1303</v>
      </c>
      <c r="B288" s="647"/>
      <c r="C288" s="644"/>
      <c r="D288" s="644"/>
      <c r="E288" s="639">
        <v>0</v>
      </c>
      <c r="F288" s="705"/>
      <c r="G288" s="639">
        <v>0</v>
      </c>
      <c r="H288" s="639">
        <v>0</v>
      </c>
      <c r="I288" s="639">
        <v>0</v>
      </c>
      <c r="J288" s="639">
        <v>0</v>
      </c>
      <c r="K288" s="639">
        <v>0</v>
      </c>
      <c r="L288" s="639">
        <v>0</v>
      </c>
      <c r="M288" s="639">
        <v>0</v>
      </c>
      <c r="N288" s="639">
        <v>0</v>
      </c>
      <c r="O288" s="639">
        <v>0</v>
      </c>
      <c r="P288" s="639">
        <v>0</v>
      </c>
      <c r="Q288" s="639">
        <v>0</v>
      </c>
      <c r="R288" s="639">
        <v>0</v>
      </c>
      <c r="S288" s="639">
        <f t="shared" si="163"/>
        <v>0</v>
      </c>
      <c r="T288" s="813"/>
      <c r="V288" s="641">
        <f t="shared" si="162"/>
        <v>0</v>
      </c>
      <c r="W288" s="713">
        <f t="shared" si="164"/>
        <v>0</v>
      </c>
      <c r="X288" s="1016"/>
      <c r="Y288" s="675"/>
      <c r="Z288" s="528"/>
      <c r="AA288" s="675"/>
      <c r="AB288" s="528"/>
      <c r="AC288" s="675"/>
      <c r="AD288" s="528"/>
      <c r="AE288" s="675"/>
      <c r="AL288" s="489"/>
      <c r="AM288" s="489"/>
      <c r="AN288" s="489"/>
      <c r="AO288" s="489"/>
      <c r="AP288" s="489"/>
      <c r="AQ288" s="489"/>
      <c r="AR288" s="489"/>
      <c r="AS288" s="489"/>
    </row>
    <row r="289" spans="1:45" s="484" customFormat="1" ht="14.5">
      <c r="A289" s="695" t="s">
        <v>1304</v>
      </c>
      <c r="B289" s="647"/>
      <c r="C289" s="644"/>
      <c r="D289" s="644"/>
      <c r="E289" s="639">
        <v>0</v>
      </c>
      <c r="F289" s="705"/>
      <c r="G289" s="639">
        <v>0</v>
      </c>
      <c r="H289" s="639">
        <v>0</v>
      </c>
      <c r="I289" s="639">
        <v>0</v>
      </c>
      <c r="J289" s="639">
        <v>0</v>
      </c>
      <c r="K289" s="639">
        <v>0</v>
      </c>
      <c r="L289" s="639">
        <v>0</v>
      </c>
      <c r="M289" s="639">
        <v>0</v>
      </c>
      <c r="N289" s="639">
        <v>0</v>
      </c>
      <c r="O289" s="639">
        <v>0</v>
      </c>
      <c r="P289" s="639">
        <v>0</v>
      </c>
      <c r="Q289" s="639">
        <v>0</v>
      </c>
      <c r="R289" s="639">
        <v>0</v>
      </c>
      <c r="S289" s="639">
        <f t="shared" si="163"/>
        <v>0</v>
      </c>
      <c r="T289" s="813"/>
      <c r="V289" s="641">
        <f t="shared" si="162"/>
        <v>0</v>
      </c>
      <c r="W289" s="713">
        <f t="shared" si="164"/>
        <v>0</v>
      </c>
      <c r="X289" s="1016"/>
      <c r="Y289" s="675"/>
      <c r="Z289" s="528"/>
      <c r="AA289" s="675"/>
      <c r="AB289" s="528"/>
      <c r="AC289" s="675"/>
      <c r="AD289" s="528"/>
      <c r="AE289" s="675"/>
      <c r="AL289" s="489"/>
      <c r="AM289" s="489"/>
      <c r="AN289" s="489"/>
      <c r="AO289" s="489"/>
      <c r="AP289" s="489"/>
      <c r="AQ289" s="489"/>
      <c r="AR289" s="489"/>
      <c r="AS289" s="489"/>
    </row>
    <row r="290" spans="1:45" s="484" customFormat="1" ht="14.5">
      <c r="A290" s="695" t="s">
        <v>1305</v>
      </c>
      <c r="B290" s="647"/>
      <c r="C290" s="644"/>
      <c r="D290" s="644"/>
      <c r="E290" s="639">
        <v>0</v>
      </c>
      <c r="F290" s="705"/>
      <c r="G290" s="639">
        <v>0</v>
      </c>
      <c r="H290" s="639">
        <v>0</v>
      </c>
      <c r="I290" s="639">
        <v>0</v>
      </c>
      <c r="J290" s="639">
        <v>0</v>
      </c>
      <c r="K290" s="639">
        <v>0</v>
      </c>
      <c r="L290" s="639">
        <v>0</v>
      </c>
      <c r="M290" s="639">
        <v>0</v>
      </c>
      <c r="N290" s="639">
        <v>0</v>
      </c>
      <c r="O290" s="639">
        <v>0</v>
      </c>
      <c r="P290" s="639">
        <v>0</v>
      </c>
      <c r="Q290" s="639">
        <v>0</v>
      </c>
      <c r="R290" s="639">
        <v>0</v>
      </c>
      <c r="S290" s="639">
        <f t="shared" si="163"/>
        <v>0</v>
      </c>
      <c r="T290" s="813"/>
      <c r="V290" s="641">
        <f t="shared" si="162"/>
        <v>0</v>
      </c>
      <c r="W290" s="713">
        <f t="shared" si="164"/>
        <v>0</v>
      </c>
      <c r="X290" s="1016"/>
      <c r="Y290" s="675"/>
      <c r="Z290" s="528"/>
      <c r="AA290" s="675"/>
      <c r="AB290" s="528"/>
      <c r="AC290" s="675"/>
      <c r="AD290" s="528"/>
      <c r="AE290" s="675"/>
      <c r="AL290" s="489"/>
      <c r="AM290" s="489"/>
      <c r="AN290" s="489"/>
      <c r="AO290" s="489"/>
      <c r="AP290" s="489"/>
      <c r="AQ290" s="489"/>
      <c r="AR290" s="489"/>
      <c r="AS290" s="489"/>
    </row>
    <row r="291" spans="1:45" s="484" customFormat="1" ht="14.5">
      <c r="A291" s="695" t="s">
        <v>1306</v>
      </c>
      <c r="B291" s="647"/>
      <c r="C291" s="644"/>
      <c r="D291" s="644"/>
      <c r="E291" s="639">
        <v>0</v>
      </c>
      <c r="F291" s="705"/>
      <c r="G291" s="639">
        <v>0</v>
      </c>
      <c r="H291" s="639">
        <v>0</v>
      </c>
      <c r="I291" s="639">
        <v>0</v>
      </c>
      <c r="J291" s="639">
        <v>0</v>
      </c>
      <c r="K291" s="639">
        <v>0</v>
      </c>
      <c r="L291" s="639">
        <v>0</v>
      </c>
      <c r="M291" s="639">
        <v>0</v>
      </c>
      <c r="N291" s="639">
        <v>0</v>
      </c>
      <c r="O291" s="639">
        <v>0</v>
      </c>
      <c r="P291" s="639">
        <v>0</v>
      </c>
      <c r="Q291" s="639">
        <v>0</v>
      </c>
      <c r="R291" s="639">
        <v>0</v>
      </c>
      <c r="S291" s="639">
        <f t="shared" si="163"/>
        <v>0</v>
      </c>
      <c r="T291" s="813"/>
      <c r="V291" s="641">
        <f t="shared" si="162"/>
        <v>0</v>
      </c>
      <c r="W291" s="713">
        <f t="shared" si="164"/>
        <v>0</v>
      </c>
      <c r="X291" s="1016"/>
      <c r="Y291" s="675"/>
      <c r="Z291" s="528"/>
      <c r="AA291" s="675"/>
      <c r="AB291" s="528"/>
      <c r="AC291" s="675"/>
      <c r="AD291" s="528"/>
      <c r="AE291" s="675"/>
      <c r="AL291" s="489"/>
      <c r="AM291" s="489"/>
      <c r="AN291" s="489"/>
      <c r="AO291" s="489"/>
      <c r="AP291" s="489"/>
      <c r="AQ291" s="489"/>
      <c r="AR291" s="489"/>
      <c r="AS291" s="489"/>
    </row>
    <row r="292" spans="1:45" s="484" customFormat="1" ht="14.5">
      <c r="A292" s="695" t="s">
        <v>1307</v>
      </c>
      <c r="B292" s="647"/>
      <c r="C292" s="644"/>
      <c r="D292" s="644"/>
      <c r="E292" s="639">
        <v>0</v>
      </c>
      <c r="F292" s="705"/>
      <c r="G292" s="639">
        <v>0</v>
      </c>
      <c r="H292" s="639">
        <v>0</v>
      </c>
      <c r="I292" s="639">
        <v>0</v>
      </c>
      <c r="J292" s="639">
        <v>0</v>
      </c>
      <c r="K292" s="639">
        <v>0</v>
      </c>
      <c r="L292" s="639">
        <v>0</v>
      </c>
      <c r="M292" s="639">
        <v>0</v>
      </c>
      <c r="N292" s="639">
        <v>0</v>
      </c>
      <c r="O292" s="639">
        <v>0</v>
      </c>
      <c r="P292" s="639">
        <v>0</v>
      </c>
      <c r="Q292" s="639">
        <v>0</v>
      </c>
      <c r="R292" s="639">
        <v>0</v>
      </c>
      <c r="S292" s="639">
        <f t="shared" si="163"/>
        <v>0</v>
      </c>
      <c r="T292" s="813"/>
      <c r="V292" s="641">
        <f t="shared" si="162"/>
        <v>0</v>
      </c>
      <c r="W292" s="713">
        <f t="shared" si="164"/>
        <v>0</v>
      </c>
      <c r="X292" s="1016"/>
      <c r="Y292" s="675"/>
      <c r="Z292" s="528"/>
      <c r="AA292" s="675"/>
      <c r="AB292" s="528"/>
      <c r="AC292" s="675"/>
      <c r="AD292" s="528"/>
      <c r="AE292" s="675"/>
      <c r="AL292" s="489"/>
      <c r="AM292" s="489"/>
      <c r="AN292" s="489"/>
      <c r="AO292" s="489"/>
      <c r="AP292" s="489"/>
      <c r="AQ292" s="489"/>
      <c r="AR292" s="489"/>
      <c r="AS292" s="489"/>
    </row>
    <row r="293" spans="1:45" s="484" customFormat="1" ht="14.5">
      <c r="A293" s="695" t="s">
        <v>1308</v>
      </c>
      <c r="B293" s="647"/>
      <c r="C293" s="644"/>
      <c r="D293" s="644"/>
      <c r="E293" s="639">
        <v>0</v>
      </c>
      <c r="F293" s="705"/>
      <c r="G293" s="639">
        <v>0</v>
      </c>
      <c r="H293" s="639">
        <v>0</v>
      </c>
      <c r="I293" s="639">
        <v>0</v>
      </c>
      <c r="J293" s="639">
        <v>0</v>
      </c>
      <c r="K293" s="639">
        <v>0</v>
      </c>
      <c r="L293" s="639">
        <v>0</v>
      </c>
      <c r="M293" s="639">
        <v>0</v>
      </c>
      <c r="N293" s="639">
        <v>0</v>
      </c>
      <c r="O293" s="639">
        <v>0</v>
      </c>
      <c r="P293" s="639">
        <v>0</v>
      </c>
      <c r="Q293" s="639">
        <v>0</v>
      </c>
      <c r="R293" s="639">
        <v>0</v>
      </c>
      <c r="S293" s="639">
        <f t="shared" si="163"/>
        <v>0</v>
      </c>
      <c r="T293" s="813"/>
      <c r="V293" s="641">
        <f t="shared" si="162"/>
        <v>0</v>
      </c>
      <c r="W293" s="713">
        <f t="shared" si="164"/>
        <v>0</v>
      </c>
      <c r="X293" s="1016"/>
      <c r="Y293" s="675"/>
      <c r="Z293" s="528"/>
      <c r="AA293" s="675"/>
      <c r="AB293" s="528"/>
      <c r="AC293" s="675"/>
      <c r="AD293" s="528"/>
      <c r="AE293" s="675"/>
      <c r="AL293" s="489"/>
      <c r="AM293" s="489"/>
      <c r="AN293" s="489"/>
      <c r="AO293" s="489"/>
      <c r="AP293" s="489"/>
      <c r="AQ293" s="489"/>
      <c r="AR293" s="489"/>
      <c r="AS293" s="489"/>
    </row>
    <row r="294" spans="1:45" s="484" customFormat="1" ht="14.5">
      <c r="A294" s="651"/>
      <c r="B294" s="647"/>
      <c r="C294" s="644"/>
      <c r="D294" s="644"/>
      <c r="E294" s="644"/>
      <c r="F294" s="705"/>
      <c r="G294" s="644"/>
      <c r="H294" s="644"/>
      <c r="I294" s="644"/>
      <c r="J294" s="644"/>
      <c r="K294" s="644"/>
      <c r="L294" s="644"/>
      <c r="M294" s="644"/>
      <c r="N294" s="644"/>
      <c r="O294" s="644"/>
      <c r="P294" s="644"/>
      <c r="Q294" s="644"/>
      <c r="R294" s="644"/>
      <c r="S294" s="639">
        <f t="shared" si="163"/>
        <v>0</v>
      </c>
      <c r="T294" s="814"/>
      <c r="V294" s="641">
        <f t="shared" si="162"/>
        <v>0</v>
      </c>
      <c r="W294" s="713">
        <f t="shared" si="164"/>
        <v>0</v>
      </c>
      <c r="X294" s="1016"/>
      <c r="Y294" s="675">
        <f t="shared" si="165"/>
        <v>0</v>
      </c>
      <c r="AA294" s="675">
        <f t="shared" si="166"/>
        <v>0</v>
      </c>
      <c r="AC294" s="675">
        <f t="shared" si="167"/>
        <v>0</v>
      </c>
      <c r="AE294" s="675">
        <f t="shared" si="168"/>
        <v>0</v>
      </c>
      <c r="AL294" s="489"/>
      <c r="AM294" s="489"/>
      <c r="AN294" s="489"/>
      <c r="AO294" s="489"/>
      <c r="AP294" s="489"/>
      <c r="AQ294" s="489"/>
      <c r="AR294" s="489"/>
      <c r="AS294" s="489"/>
    </row>
    <row r="295" spans="1:45" s="484" customFormat="1">
      <c r="A295" s="714" t="s">
        <v>1128</v>
      </c>
      <c r="B295" s="653">
        <v>1398329877950.6848</v>
      </c>
      <c r="C295" s="654"/>
      <c r="D295" s="654">
        <f>SUM(D260:D293)</f>
        <v>0</v>
      </c>
      <c r="E295" s="654">
        <f>SUM(E260:E293)</f>
        <v>450422130504.77185</v>
      </c>
      <c r="F295" s="707">
        <f t="shared" ref="F295:V295" si="169">SUM(F260:F293)</f>
        <v>0</v>
      </c>
      <c r="G295" s="654">
        <f t="shared" si="169"/>
        <v>367613327916.30725</v>
      </c>
      <c r="H295" s="654">
        <f t="shared" si="169"/>
        <v>367613327916.30725</v>
      </c>
      <c r="I295" s="654">
        <f t="shared" si="169"/>
        <v>367613327916.30725</v>
      </c>
      <c r="J295" s="654">
        <f t="shared" si="169"/>
        <v>367613327916.30725</v>
      </c>
      <c r="K295" s="654">
        <f t="shared" si="169"/>
        <v>367613327916.30725</v>
      </c>
      <c r="L295" s="654">
        <f t="shared" si="169"/>
        <v>367613327916.30725</v>
      </c>
      <c r="M295" s="654">
        <f t="shared" si="169"/>
        <v>367613327916.30725</v>
      </c>
      <c r="N295" s="654">
        <f t="shared" si="169"/>
        <v>367613327916.30725</v>
      </c>
      <c r="O295" s="654">
        <f t="shared" si="169"/>
        <v>367613327916.30725</v>
      </c>
      <c r="P295" s="654">
        <f t="shared" si="169"/>
        <v>367613327916.30725</v>
      </c>
      <c r="Q295" s="654">
        <f t="shared" si="169"/>
        <v>367613327916.30725</v>
      </c>
      <c r="R295" s="654">
        <f>SUM(R260:R293)</f>
        <v>367613327916.30725</v>
      </c>
      <c r="S295" s="654">
        <f>SUM(S260:S293)</f>
        <v>367613327916.30725</v>
      </c>
      <c r="T295" s="816"/>
      <c r="V295" s="654">
        <f t="shared" si="169"/>
        <v>367613327916.30725</v>
      </c>
      <c r="W295" s="713">
        <f t="shared" si="164"/>
        <v>5.9064237156702337E-2</v>
      </c>
      <c r="X295" s="1017" t="e">
        <f>+V295+V333+V372+#REF!+#REF!+#REF!+#REF!</f>
        <v>#REF!</v>
      </c>
      <c r="Y295" s="654">
        <f>SUM(Y260:Y293)-Y269</f>
        <v>346377728058.15833</v>
      </c>
      <c r="Z295" s="708">
        <f>Y295/V295-1</f>
        <v>-5.7766131545109678E-2</v>
      </c>
      <c r="AA295" s="654">
        <f>SUM(AA260:AA293)-AA269</f>
        <v>346377728058.15833</v>
      </c>
      <c r="AB295" s="708">
        <f>+AA295/Y295-1</f>
        <v>0</v>
      </c>
      <c r="AC295" s="654">
        <f>SUM(AC260:AC293)-AC269</f>
        <v>346377728058.15833</v>
      </c>
      <c r="AD295" s="708">
        <f>+AC295/AA295-1</f>
        <v>0</v>
      </c>
      <c r="AE295" s="654">
        <f>SUM(AE260:AE293)-AE269</f>
        <v>346377728058.15833</v>
      </c>
      <c r="AF295" s="708">
        <f>+AE295/AC295-1</f>
        <v>0</v>
      </c>
      <c r="AL295" s="489"/>
      <c r="AM295" s="489"/>
      <c r="AN295" s="489"/>
      <c r="AO295" s="489"/>
      <c r="AP295" s="489"/>
      <c r="AQ295" s="489"/>
      <c r="AR295" s="489"/>
      <c r="AS295" s="489"/>
    </row>
    <row r="296" spans="1:45" s="484" customFormat="1" ht="14.5">
      <c r="A296" s="483"/>
      <c r="B296" s="613">
        <v>0</v>
      </c>
      <c r="F296" s="688"/>
      <c r="G296" s="600"/>
      <c r="H296" s="600"/>
      <c r="I296" s="600"/>
      <c r="J296" s="600"/>
      <c r="K296" s="600"/>
      <c r="L296" s="600"/>
      <c r="M296" s="600"/>
      <c r="N296" s="600"/>
      <c r="O296" s="600"/>
      <c r="P296" s="600"/>
      <c r="Q296" s="600"/>
      <c r="R296" s="600"/>
      <c r="S296" s="600"/>
      <c r="T296" s="807"/>
      <c r="V296" s="600"/>
      <c r="W296" s="673"/>
      <c r="X296" s="1003"/>
      <c r="Y296" s="600" t="e">
        <v>#REF!</v>
      </c>
      <c r="Z296" s="673"/>
      <c r="AA296" s="600" t="e">
        <v>#REF!</v>
      </c>
      <c r="AB296" s="673"/>
      <c r="AC296" s="600" t="e">
        <v>#REF!</v>
      </c>
      <c r="AD296" s="673"/>
      <c r="AE296" s="600" t="e">
        <v>#REF!</v>
      </c>
      <c r="AF296" s="673"/>
      <c r="AL296" s="489"/>
      <c r="AM296" s="489"/>
      <c r="AN296" s="489"/>
      <c r="AO296" s="489"/>
      <c r="AP296" s="489"/>
      <c r="AQ296" s="489"/>
      <c r="AR296" s="489"/>
      <c r="AS296" s="489"/>
    </row>
    <row r="297" spans="1:45" s="484" customFormat="1">
      <c r="A297" s="490" t="s">
        <v>1312</v>
      </c>
      <c r="B297" s="633" t="s">
        <v>1273</v>
      </c>
      <c r="C297" s="634"/>
      <c r="D297" s="693" t="s">
        <v>1313</v>
      </c>
      <c r="E297" s="690">
        <v>42613</v>
      </c>
      <c r="F297" s="711"/>
      <c r="G297" s="690">
        <v>42735</v>
      </c>
      <c r="H297" s="690">
        <v>42736</v>
      </c>
      <c r="I297" s="690">
        <v>42768</v>
      </c>
      <c r="J297" s="690">
        <v>42800</v>
      </c>
      <c r="K297" s="690">
        <v>42832</v>
      </c>
      <c r="L297" s="690">
        <v>42864</v>
      </c>
      <c r="M297" s="690">
        <v>42896</v>
      </c>
      <c r="N297" s="690">
        <v>42928</v>
      </c>
      <c r="O297" s="690">
        <v>42960</v>
      </c>
      <c r="P297" s="690">
        <v>42992</v>
      </c>
      <c r="Q297" s="690">
        <v>43024</v>
      </c>
      <c r="R297" s="690">
        <v>43056</v>
      </c>
      <c r="S297" s="690">
        <v>43088</v>
      </c>
      <c r="T297" s="822"/>
      <c r="V297" s="690" t="s">
        <v>1159</v>
      </c>
      <c r="W297" s="712"/>
      <c r="X297" s="1014"/>
      <c r="Y297" s="634"/>
      <c r="Z297" s="634"/>
      <c r="AA297" s="661"/>
      <c r="AB297" s="661"/>
      <c r="AC297" s="661"/>
      <c r="AD297" s="661"/>
      <c r="AE297" s="661"/>
      <c r="AF297" s="661"/>
      <c r="AL297" s="489"/>
      <c r="AM297" s="489"/>
      <c r="AN297" s="489"/>
      <c r="AO297" s="489"/>
      <c r="AP297" s="489"/>
      <c r="AQ297" s="489"/>
      <c r="AR297" s="489"/>
      <c r="AS297" s="489"/>
    </row>
    <row r="298" spans="1:45" s="484" customFormat="1">
      <c r="A298" s="695" t="s">
        <v>1275</v>
      </c>
      <c r="B298" s="638">
        <v>21405084161</v>
      </c>
      <c r="C298" s="639"/>
      <c r="D298" s="639"/>
      <c r="E298" s="639">
        <v>5009011261.1180954</v>
      </c>
      <c r="F298" s="703"/>
      <c r="G298" s="639">
        <v>5042803239.8940754</v>
      </c>
      <c r="H298" s="639">
        <v>5042803239.8940754</v>
      </c>
      <c r="I298" s="639">
        <v>5042803239.8940754</v>
      </c>
      <c r="J298" s="639">
        <v>5042803239.8940754</v>
      </c>
      <c r="K298" s="639">
        <v>5042803239.8940754</v>
      </c>
      <c r="L298" s="639">
        <v>5042803239.8940754</v>
      </c>
      <c r="M298" s="639">
        <v>5042803239.8940754</v>
      </c>
      <c r="N298" s="639">
        <v>5042803239.8940754</v>
      </c>
      <c r="O298" s="639">
        <v>5042803239.8940754</v>
      </c>
      <c r="P298" s="639">
        <v>5042803239.8940754</v>
      </c>
      <c r="Q298" s="639">
        <v>5042803239.8940754</v>
      </c>
      <c r="R298" s="639">
        <v>5042803239.8940754</v>
      </c>
      <c r="S298" s="639">
        <v>5042803239.8940754</v>
      </c>
      <c r="T298" s="813"/>
      <c r="V298" s="641">
        <f t="shared" ref="V298:V331" si="170">+S298</f>
        <v>5042803239.8940754</v>
      </c>
      <c r="W298" s="715">
        <f>+V298/$V$256</f>
        <v>8.1022450460093364E-4</v>
      </c>
      <c r="X298" s="1015"/>
      <c r="Y298" s="675">
        <f>+V298*(100%+$Y$16)</f>
        <v>6051363887.8728905</v>
      </c>
      <c r="Z298" s="664"/>
      <c r="AA298" s="675">
        <f>+Y298*(100%+$Y$16)</f>
        <v>7261636665.4474688</v>
      </c>
      <c r="AB298" s="664"/>
      <c r="AC298" s="675">
        <f>+AA298*(100%+$Y$16)</f>
        <v>8713963998.5369625</v>
      </c>
      <c r="AD298" s="664"/>
      <c r="AE298" s="675">
        <f>+AC298*(100%+$Y$16)</f>
        <v>10456756798.244354</v>
      </c>
      <c r="AF298" s="664"/>
      <c r="AL298" s="489"/>
      <c r="AM298" s="489"/>
      <c r="AN298" s="489"/>
      <c r="AO298" s="489"/>
      <c r="AP298" s="489"/>
      <c r="AQ298" s="489"/>
      <c r="AR298" s="489"/>
      <c r="AS298" s="489"/>
    </row>
    <row r="299" spans="1:45" s="484" customFormat="1" ht="14.5">
      <c r="A299" s="695" t="s">
        <v>1276</v>
      </c>
      <c r="B299" s="647"/>
      <c r="C299" s="644"/>
      <c r="D299" s="644"/>
      <c r="E299" s="639">
        <v>30498539540.713787</v>
      </c>
      <c r="F299" s="705"/>
      <c r="G299" s="639">
        <v>36524973617.584641</v>
      </c>
      <c r="H299" s="639">
        <v>39724973617.584641</v>
      </c>
      <c r="I299" s="639">
        <v>44124973617.584641</v>
      </c>
      <c r="J299" s="639">
        <v>48524973617.584641</v>
      </c>
      <c r="K299" s="639">
        <v>52258306950.917976</v>
      </c>
      <c r="L299" s="639">
        <v>56391640284.251312</v>
      </c>
      <c r="M299" s="639">
        <v>60524973617.584648</v>
      </c>
      <c r="N299" s="639">
        <v>63858306950.917984</v>
      </c>
      <c r="O299" s="639">
        <v>67191640284.25132</v>
      </c>
      <c r="P299" s="639">
        <v>70524973617.584656</v>
      </c>
      <c r="Q299" s="639">
        <v>72524973617.584656</v>
      </c>
      <c r="R299" s="639">
        <v>74524973617.584656</v>
      </c>
      <c r="S299" s="639">
        <v>76524973617.584656</v>
      </c>
      <c r="T299" s="813"/>
      <c r="V299" s="641">
        <f t="shared" si="170"/>
        <v>76524973617.584656</v>
      </c>
      <c r="W299" s="715">
        <f t="shared" ref="W299:W331" si="171">+V299/$V$256</f>
        <v>1.2295226660520946E-2</v>
      </c>
      <c r="X299" s="1016"/>
      <c r="Y299" s="675">
        <f t="shared" ref="Y299:Y320" si="172">+V299*(100%+$Y$16)</f>
        <v>91829968341.101578</v>
      </c>
      <c r="Z299" s="670"/>
      <c r="AA299" s="675">
        <f>+Y299*(100%+$Y$16)</f>
        <v>110195962009.32188</v>
      </c>
      <c r="AB299" s="670"/>
      <c r="AC299" s="675">
        <f>+AA299*(100%+$Y$16)</f>
        <v>132235154411.18625</v>
      </c>
      <c r="AD299" s="670"/>
      <c r="AE299" s="675">
        <f>+AC299*(100%+$Y$16)</f>
        <v>158682185293.42349</v>
      </c>
      <c r="AF299" s="670"/>
      <c r="AL299" s="489"/>
      <c r="AM299" s="489"/>
      <c r="AN299" s="489"/>
      <c r="AO299" s="489"/>
      <c r="AP299" s="489"/>
      <c r="AQ299" s="489"/>
      <c r="AR299" s="489"/>
      <c r="AS299" s="489"/>
    </row>
    <row r="300" spans="1:45" s="484" customFormat="1">
      <c r="A300" s="695" t="s">
        <v>1277</v>
      </c>
      <c r="B300" s="638">
        <v>23481270272</v>
      </c>
      <c r="C300" s="639"/>
      <c r="D300" s="639"/>
      <c r="E300" s="639">
        <v>1248714625.6062841</v>
      </c>
      <c r="F300" s="703"/>
      <c r="G300" s="639">
        <v>2075332725.466208</v>
      </c>
      <c r="H300" s="639">
        <v>2075332725.466208</v>
      </c>
      <c r="I300" s="639">
        <v>2075332725.466208</v>
      </c>
      <c r="J300" s="639">
        <v>2075332725.466208</v>
      </c>
      <c r="K300" s="639">
        <v>2075332725.466208</v>
      </c>
      <c r="L300" s="639">
        <v>2075332725.466208</v>
      </c>
      <c r="M300" s="639">
        <v>2075332725.466208</v>
      </c>
      <c r="N300" s="639">
        <v>2075332725.466208</v>
      </c>
      <c r="O300" s="639">
        <v>2075332725.466208</v>
      </c>
      <c r="P300" s="639">
        <v>2075332725.466208</v>
      </c>
      <c r="Q300" s="639">
        <v>2075332725.466208</v>
      </c>
      <c r="R300" s="639">
        <v>2075332725.466208</v>
      </c>
      <c r="S300" s="639">
        <v>2075332725.466208</v>
      </c>
      <c r="T300" s="813"/>
      <c r="V300" s="641">
        <f t="shared" si="170"/>
        <v>2075332725.466208</v>
      </c>
      <c r="W300" s="715">
        <f t="shared" si="171"/>
        <v>3.3344260114504952E-4</v>
      </c>
      <c r="X300" s="1015"/>
      <c r="Y300" s="675">
        <f t="shared" si="172"/>
        <v>2490399270.5594497</v>
      </c>
      <c r="Z300" s="675"/>
      <c r="AA300" s="675">
        <f t="shared" ref="AA300:AA320" si="173">+Y300*(100%+$Y$16)</f>
        <v>2988479124.6713395</v>
      </c>
      <c r="AB300" s="675"/>
      <c r="AC300" s="675">
        <f t="shared" ref="AC300:AC320" si="174">+AA300*(100%+$Y$16)</f>
        <v>3586174949.6056075</v>
      </c>
      <c r="AD300" s="675"/>
      <c r="AE300" s="675">
        <f t="shared" ref="AE300:AE320" si="175">+AC300*(100%+$Y$16)</f>
        <v>4303409939.5267286</v>
      </c>
      <c r="AF300" s="675"/>
      <c r="AL300" s="489"/>
      <c r="AM300" s="489"/>
      <c r="AN300" s="489"/>
      <c r="AO300" s="489"/>
      <c r="AP300" s="489"/>
      <c r="AQ300" s="489"/>
      <c r="AR300" s="489"/>
      <c r="AS300" s="489"/>
    </row>
    <row r="301" spans="1:45" s="484" customFormat="1" ht="14.5">
      <c r="A301" s="695" t="s">
        <v>1278</v>
      </c>
      <c r="B301" s="647"/>
      <c r="C301" s="644"/>
      <c r="D301" s="644"/>
      <c r="E301" s="639">
        <v>3840969884.8279629</v>
      </c>
      <c r="F301" s="705"/>
      <c r="G301" s="639">
        <v>4378547977.0360298</v>
      </c>
      <c r="H301" s="639">
        <v>4378547977.0360298</v>
      </c>
      <c r="I301" s="639">
        <v>4378547977.0360298</v>
      </c>
      <c r="J301" s="639">
        <v>4378547977.0360298</v>
      </c>
      <c r="K301" s="639">
        <v>4378547977.0360298</v>
      </c>
      <c r="L301" s="639">
        <v>4378547977.0360298</v>
      </c>
      <c r="M301" s="639">
        <v>4378547977.0360298</v>
      </c>
      <c r="N301" s="639">
        <v>4378547977.0360298</v>
      </c>
      <c r="O301" s="639">
        <v>4378547977.0360298</v>
      </c>
      <c r="P301" s="639">
        <v>4378547977.0360298</v>
      </c>
      <c r="Q301" s="639">
        <v>4378547977.0360298</v>
      </c>
      <c r="R301" s="639">
        <v>4378547977.0360298</v>
      </c>
      <c r="S301" s="639">
        <v>4378547977.0360298</v>
      </c>
      <c r="T301" s="813"/>
      <c r="V301" s="641">
        <f t="shared" si="170"/>
        <v>4378547977.0360298</v>
      </c>
      <c r="W301" s="715">
        <f t="shared" si="171"/>
        <v>7.0349896611075291E-4</v>
      </c>
      <c r="X301" s="1016"/>
      <c r="Y301" s="675">
        <f t="shared" si="172"/>
        <v>5254257572.4432354</v>
      </c>
      <c r="Z301" s="670"/>
      <c r="AA301" s="675">
        <f t="shared" si="173"/>
        <v>6305109086.9318819</v>
      </c>
      <c r="AB301" s="670"/>
      <c r="AC301" s="675">
        <f t="shared" si="174"/>
        <v>7566130904.3182583</v>
      </c>
      <c r="AD301" s="670"/>
      <c r="AE301" s="675">
        <f t="shared" si="175"/>
        <v>9079357085.1819096</v>
      </c>
      <c r="AF301" s="670"/>
      <c r="AL301" s="489"/>
      <c r="AM301" s="489"/>
      <c r="AN301" s="489"/>
      <c r="AO301" s="489"/>
      <c r="AP301" s="489"/>
      <c r="AQ301" s="489"/>
      <c r="AR301" s="489"/>
      <c r="AS301" s="489"/>
    </row>
    <row r="302" spans="1:45" s="484" customFormat="1">
      <c r="A302" s="695" t="s">
        <v>1279</v>
      </c>
      <c r="B302" s="638">
        <v>14020852838</v>
      </c>
      <c r="C302" s="639"/>
      <c r="D302" s="639"/>
      <c r="E302" s="639">
        <v>20257212406.16312</v>
      </c>
      <c r="F302" s="703"/>
      <c r="G302" s="639">
        <v>45580641437.378784</v>
      </c>
      <c r="H302" s="639">
        <v>61580641437.378784</v>
      </c>
      <c r="I302" s="639">
        <v>83580641437.378784</v>
      </c>
      <c r="J302" s="639">
        <v>105580641437.37878</v>
      </c>
      <c r="K302" s="639">
        <v>124247308104.04546</v>
      </c>
      <c r="L302" s="639">
        <v>144913974770.71213</v>
      </c>
      <c r="M302" s="639">
        <v>165580641437.37878</v>
      </c>
      <c r="N302" s="639">
        <v>182247308104.04544</v>
      </c>
      <c r="O302" s="639">
        <v>198913974770.7121</v>
      </c>
      <c r="P302" s="639">
        <v>215580641437.37875</v>
      </c>
      <c r="Q302" s="639">
        <v>225580641437.37875</v>
      </c>
      <c r="R302" s="639">
        <v>235580641437.37875</v>
      </c>
      <c r="S302" s="639">
        <v>245580641437.37875</v>
      </c>
      <c r="T302" s="813"/>
      <c r="V302" s="641">
        <f t="shared" si="170"/>
        <v>245580641437.37875</v>
      </c>
      <c r="W302" s="715">
        <f t="shared" si="171"/>
        <v>3.9457310563709241E-2</v>
      </c>
      <c r="X302" s="1015"/>
      <c r="Y302" s="675">
        <f t="shared" si="172"/>
        <v>294696769724.85449</v>
      </c>
      <c r="Z302" s="675"/>
      <c r="AA302" s="675">
        <f t="shared" si="173"/>
        <v>353636123669.82538</v>
      </c>
      <c r="AB302" s="675"/>
      <c r="AC302" s="675">
        <f t="shared" si="174"/>
        <v>424363348403.79047</v>
      </c>
      <c r="AD302" s="675"/>
      <c r="AE302" s="675">
        <f t="shared" si="175"/>
        <v>509236018084.54852</v>
      </c>
      <c r="AF302" s="675"/>
      <c r="AL302" s="489"/>
      <c r="AM302" s="489"/>
      <c r="AN302" s="489"/>
      <c r="AO302" s="489"/>
      <c r="AP302" s="489"/>
      <c r="AQ302" s="489"/>
      <c r="AR302" s="489"/>
      <c r="AS302" s="489"/>
    </row>
    <row r="303" spans="1:45" s="484" customFormat="1" ht="14.5">
      <c r="A303" s="695" t="s">
        <v>1280</v>
      </c>
      <c r="B303" s="647"/>
      <c r="C303" s="644"/>
      <c r="D303" s="644"/>
      <c r="E303" s="639">
        <v>3864585484.591413</v>
      </c>
      <c r="F303" s="705"/>
      <c r="G303" s="639">
        <v>13289823346.673046</v>
      </c>
      <c r="H303" s="639">
        <v>19689823346.673046</v>
      </c>
      <c r="I303" s="639">
        <v>28489823346.673046</v>
      </c>
      <c r="J303" s="639">
        <v>37289823346.67305</v>
      </c>
      <c r="K303" s="639">
        <v>44756490013.339714</v>
      </c>
      <c r="L303" s="639">
        <v>53023156680.006378</v>
      </c>
      <c r="M303" s="639">
        <v>61289823346.673042</v>
      </c>
      <c r="N303" s="639">
        <v>67956490013.339706</v>
      </c>
      <c r="O303" s="639">
        <v>74623156680.006378</v>
      </c>
      <c r="P303" s="639">
        <v>81289823346.67305</v>
      </c>
      <c r="Q303" s="639">
        <v>85289823346.67305</v>
      </c>
      <c r="R303" s="639">
        <v>89289823346.67305</v>
      </c>
      <c r="S303" s="639">
        <v>93289823346.67305</v>
      </c>
      <c r="T303" s="813"/>
      <c r="V303" s="641">
        <f t="shared" si="170"/>
        <v>93289823346.67305</v>
      </c>
      <c r="W303" s="715">
        <f t="shared" si="171"/>
        <v>1.4988826117069455E-2</v>
      </c>
      <c r="X303" s="1016"/>
      <c r="Y303" s="675">
        <f t="shared" si="172"/>
        <v>111947788016.00766</v>
      </c>
      <c r="Z303" s="670"/>
      <c r="AA303" s="675">
        <f t="shared" si="173"/>
        <v>134337345619.20918</v>
      </c>
      <c r="AB303" s="670"/>
      <c r="AC303" s="675">
        <f t="shared" si="174"/>
        <v>161204814743.05103</v>
      </c>
      <c r="AD303" s="670"/>
      <c r="AE303" s="675">
        <f t="shared" si="175"/>
        <v>193445777691.66122</v>
      </c>
      <c r="AF303" s="670"/>
      <c r="AL303" s="489"/>
      <c r="AM303" s="489"/>
      <c r="AN303" s="489"/>
      <c r="AO303" s="489"/>
      <c r="AP303" s="489"/>
      <c r="AQ303" s="489"/>
      <c r="AR303" s="489"/>
      <c r="AS303" s="489"/>
    </row>
    <row r="304" spans="1:45" s="484" customFormat="1">
      <c r="A304" s="695" t="s">
        <v>1281</v>
      </c>
      <c r="B304" s="638">
        <v>1962752555</v>
      </c>
      <c r="C304" s="639"/>
      <c r="D304" s="639"/>
      <c r="E304" s="639">
        <v>3805307958.337676</v>
      </c>
      <c r="F304" s="703"/>
      <c r="G304" s="639">
        <v>8078434475.5131626</v>
      </c>
      <c r="H304" s="639">
        <v>11278434475.513163</v>
      </c>
      <c r="I304" s="639">
        <v>15678434475.513163</v>
      </c>
      <c r="J304" s="639">
        <v>20078434475.513161</v>
      </c>
      <c r="K304" s="639">
        <v>23811767808.846493</v>
      </c>
      <c r="L304" s="639">
        <v>27945101142.179825</v>
      </c>
      <c r="M304" s="639">
        <v>32078434475.513157</v>
      </c>
      <c r="N304" s="639">
        <v>35411767808.846489</v>
      </c>
      <c r="O304" s="639">
        <v>38745101142.179825</v>
      </c>
      <c r="P304" s="639">
        <v>42078434475.513161</v>
      </c>
      <c r="Q304" s="639">
        <v>44078434475.513161</v>
      </c>
      <c r="R304" s="639">
        <v>46078434475.513161</v>
      </c>
      <c r="S304" s="639">
        <v>48078434475.513161</v>
      </c>
      <c r="T304" s="813"/>
      <c r="V304" s="641">
        <f t="shared" si="170"/>
        <v>48078434475.513161</v>
      </c>
      <c r="W304" s="715">
        <f t="shared" si="171"/>
        <v>7.7247364019162757E-3</v>
      </c>
      <c r="X304" s="1015"/>
      <c r="Y304" s="675">
        <f t="shared" si="172"/>
        <v>57694121370.615791</v>
      </c>
      <c r="Z304" s="675"/>
      <c r="AA304" s="675">
        <f t="shared" si="173"/>
        <v>69232945644.738953</v>
      </c>
      <c r="AB304" s="675"/>
      <c r="AC304" s="675">
        <f t="shared" si="174"/>
        <v>83079534773.686737</v>
      </c>
      <c r="AD304" s="675"/>
      <c r="AE304" s="675">
        <f t="shared" si="175"/>
        <v>99695441728.424088</v>
      </c>
      <c r="AF304" s="675"/>
      <c r="AL304" s="489"/>
      <c r="AM304" s="489"/>
      <c r="AN304" s="489"/>
      <c r="AO304" s="489"/>
      <c r="AP304" s="489"/>
      <c r="AQ304" s="489"/>
      <c r="AR304" s="489"/>
      <c r="AS304" s="489"/>
    </row>
    <row r="305" spans="1:45" s="484" customFormat="1" ht="14.5">
      <c r="A305" s="695" t="s">
        <v>1282</v>
      </c>
      <c r="B305" s="647"/>
      <c r="C305" s="644"/>
      <c r="D305" s="644"/>
      <c r="E305" s="639">
        <v>0</v>
      </c>
      <c r="F305" s="705"/>
      <c r="G305" s="639">
        <v>0</v>
      </c>
      <c r="H305" s="639">
        <v>0</v>
      </c>
      <c r="I305" s="639">
        <v>0</v>
      </c>
      <c r="J305" s="639">
        <v>0</v>
      </c>
      <c r="K305" s="639">
        <v>0</v>
      </c>
      <c r="L305" s="639">
        <v>0</v>
      </c>
      <c r="M305" s="639">
        <v>0</v>
      </c>
      <c r="N305" s="639">
        <v>0</v>
      </c>
      <c r="O305" s="639">
        <v>0</v>
      </c>
      <c r="P305" s="639">
        <v>0</v>
      </c>
      <c r="Q305" s="639">
        <v>0</v>
      </c>
      <c r="R305" s="639">
        <v>0</v>
      </c>
      <c r="S305" s="639">
        <v>0</v>
      </c>
      <c r="T305" s="813"/>
      <c r="V305" s="641">
        <f t="shared" si="170"/>
        <v>0</v>
      </c>
      <c r="W305" s="715">
        <f t="shared" si="171"/>
        <v>0</v>
      </c>
      <c r="X305" s="1016"/>
      <c r="Y305" s="675">
        <f t="shared" si="172"/>
        <v>0</v>
      </c>
      <c r="Z305" s="670"/>
      <c r="AA305" s="675">
        <f t="shared" si="173"/>
        <v>0</v>
      </c>
      <c r="AB305" s="670"/>
      <c r="AC305" s="675">
        <f t="shared" si="174"/>
        <v>0</v>
      </c>
      <c r="AD305" s="670"/>
      <c r="AE305" s="675">
        <f t="shared" si="175"/>
        <v>0</v>
      </c>
      <c r="AF305" s="670"/>
      <c r="AL305" s="489"/>
      <c r="AM305" s="489"/>
      <c r="AN305" s="489"/>
      <c r="AO305" s="489"/>
      <c r="AP305" s="489"/>
      <c r="AQ305" s="489"/>
      <c r="AR305" s="489"/>
      <c r="AS305" s="489"/>
    </row>
    <row r="306" spans="1:45" s="484" customFormat="1">
      <c r="A306" s="695" t="s">
        <v>1283</v>
      </c>
      <c r="B306" s="638">
        <v>6290737302</v>
      </c>
      <c r="C306" s="639"/>
      <c r="D306" s="639"/>
      <c r="E306" s="639">
        <v>0</v>
      </c>
      <c r="F306" s="703"/>
      <c r="G306" s="639">
        <v>0</v>
      </c>
      <c r="H306" s="639">
        <v>0</v>
      </c>
      <c r="I306" s="639">
        <v>0</v>
      </c>
      <c r="J306" s="639">
        <v>0</v>
      </c>
      <c r="K306" s="639">
        <v>0</v>
      </c>
      <c r="L306" s="639">
        <v>0</v>
      </c>
      <c r="M306" s="639">
        <v>0</v>
      </c>
      <c r="N306" s="639">
        <v>0</v>
      </c>
      <c r="O306" s="639">
        <v>0</v>
      </c>
      <c r="P306" s="639">
        <v>0</v>
      </c>
      <c r="Q306" s="639">
        <v>0</v>
      </c>
      <c r="R306" s="639">
        <v>0</v>
      </c>
      <c r="S306" s="639">
        <v>0</v>
      </c>
      <c r="T306" s="813"/>
      <c r="V306" s="641">
        <f t="shared" si="170"/>
        <v>0</v>
      </c>
      <c r="W306" s="715">
        <f t="shared" si="171"/>
        <v>0</v>
      </c>
      <c r="X306" s="1015"/>
      <c r="Y306" s="675">
        <f t="shared" si="172"/>
        <v>0</v>
      </c>
      <c r="Z306" s="675"/>
      <c r="AA306" s="675">
        <f t="shared" si="173"/>
        <v>0</v>
      </c>
      <c r="AB306" s="675"/>
      <c r="AC306" s="675">
        <f t="shared" si="174"/>
        <v>0</v>
      </c>
      <c r="AD306" s="675"/>
      <c r="AE306" s="675">
        <f t="shared" si="175"/>
        <v>0</v>
      </c>
      <c r="AF306" s="675"/>
      <c r="AL306" s="489"/>
      <c r="AM306" s="489"/>
      <c r="AN306" s="489"/>
      <c r="AO306" s="489"/>
      <c r="AP306" s="489"/>
      <c r="AQ306" s="489"/>
      <c r="AR306" s="489"/>
      <c r="AS306" s="489"/>
    </row>
    <row r="307" spans="1:45" s="484" customFormat="1" ht="14.5">
      <c r="A307" s="695" t="s">
        <v>1284</v>
      </c>
      <c r="B307" s="647"/>
      <c r="C307" s="644"/>
      <c r="D307" s="644"/>
      <c r="E307" s="639">
        <v>29397827097.641678</v>
      </c>
      <c r="F307" s="705"/>
      <c r="G307" s="639">
        <v>68050127976.830208</v>
      </c>
      <c r="H307" s="639">
        <v>77650127976.8302</v>
      </c>
      <c r="I307" s="639">
        <v>90850127976.8302</v>
      </c>
      <c r="J307" s="639">
        <v>104050127976.8302</v>
      </c>
      <c r="K307" s="639">
        <v>115250127976.8302</v>
      </c>
      <c r="L307" s="639">
        <v>127650127976.8302</v>
      </c>
      <c r="M307" s="639">
        <v>140050127976.8302</v>
      </c>
      <c r="N307" s="639">
        <v>150050127976.8302</v>
      </c>
      <c r="O307" s="639">
        <v>160050127976.8302</v>
      </c>
      <c r="P307" s="639">
        <v>170050127976.8302</v>
      </c>
      <c r="Q307" s="639">
        <v>176050127976.8302</v>
      </c>
      <c r="R307" s="639">
        <v>182050127976.8302</v>
      </c>
      <c r="S307" s="639">
        <v>188050127976.8302</v>
      </c>
      <c r="T307" s="813"/>
      <c r="V307" s="641">
        <f t="shared" si="170"/>
        <v>188050127976.8302</v>
      </c>
      <c r="W307" s="715">
        <f t="shared" si="171"/>
        <v>3.0213913676982927E-2</v>
      </c>
      <c r="X307" s="1016"/>
      <c r="Y307" s="675">
        <f t="shared" si="172"/>
        <v>225660153572.19623</v>
      </c>
      <c r="Z307" s="670"/>
      <c r="AA307" s="675">
        <f t="shared" si="173"/>
        <v>270792184286.63547</v>
      </c>
      <c r="AB307" s="670"/>
      <c r="AC307" s="675">
        <f t="shared" si="174"/>
        <v>324950621143.96252</v>
      </c>
      <c r="AD307" s="670"/>
      <c r="AE307" s="675">
        <f t="shared" si="175"/>
        <v>389940745372.755</v>
      </c>
      <c r="AF307" s="670"/>
      <c r="AL307" s="489"/>
      <c r="AM307" s="489"/>
      <c r="AN307" s="489"/>
      <c r="AO307" s="489"/>
      <c r="AP307" s="489"/>
      <c r="AQ307" s="489"/>
      <c r="AR307" s="489"/>
      <c r="AS307" s="489"/>
    </row>
    <row r="308" spans="1:45" s="484" customFormat="1">
      <c r="A308" s="695" t="s">
        <v>1285</v>
      </c>
      <c r="B308" s="638">
        <v>4440669637.8800001</v>
      </c>
      <c r="C308" s="639"/>
      <c r="D308" s="639"/>
      <c r="E308" s="639">
        <v>157933362674.21829</v>
      </c>
      <c r="F308" s="703"/>
      <c r="G308" s="639">
        <v>244818938383.89383</v>
      </c>
      <c r="H308" s="639">
        <v>254418938383.89383</v>
      </c>
      <c r="I308" s="639">
        <v>267618938383.89383</v>
      </c>
      <c r="J308" s="639">
        <v>280818938383.8938</v>
      </c>
      <c r="K308" s="639">
        <v>292018938383.8938</v>
      </c>
      <c r="L308" s="639">
        <v>304418938383.8938</v>
      </c>
      <c r="M308" s="639">
        <v>316818938383.8938</v>
      </c>
      <c r="N308" s="639">
        <v>326818938383.8938</v>
      </c>
      <c r="O308" s="639">
        <v>336818938383.8938</v>
      </c>
      <c r="P308" s="639">
        <v>346818938383.8938</v>
      </c>
      <c r="Q308" s="639">
        <v>352818938383.8938</v>
      </c>
      <c r="R308" s="639">
        <v>358818938383.8938</v>
      </c>
      <c r="S308" s="639">
        <v>364818938383.8938</v>
      </c>
      <c r="T308" s="813"/>
      <c r="V308" s="641">
        <f t="shared" si="170"/>
        <v>364818938383.8938</v>
      </c>
      <c r="W308" s="715">
        <f t="shared" si="171"/>
        <v>5.8615264082232499E-2</v>
      </c>
      <c r="X308" s="1015"/>
      <c r="Y308" s="675">
        <f t="shared" si="172"/>
        <v>437782726060.67255</v>
      </c>
      <c r="Z308" s="675"/>
      <c r="AA308" s="675">
        <f t="shared" si="173"/>
        <v>525339271272.80701</v>
      </c>
      <c r="AB308" s="675"/>
      <c r="AC308" s="675">
        <f t="shared" si="174"/>
        <v>630407125527.36841</v>
      </c>
      <c r="AD308" s="675"/>
      <c r="AE308" s="675">
        <f t="shared" si="175"/>
        <v>756488550632.84204</v>
      </c>
      <c r="AF308" s="675"/>
      <c r="AL308" s="489"/>
      <c r="AM308" s="489"/>
      <c r="AN308" s="489"/>
      <c r="AO308" s="489"/>
      <c r="AP308" s="489"/>
      <c r="AQ308" s="489"/>
      <c r="AR308" s="489"/>
      <c r="AS308" s="489"/>
    </row>
    <row r="309" spans="1:45" s="484" customFormat="1" ht="14.5">
      <c r="A309" s="695" t="s">
        <v>1286</v>
      </c>
      <c r="B309" s="647"/>
      <c r="C309" s="644"/>
      <c r="D309" s="644"/>
      <c r="E309" s="639">
        <v>1222991613.6514921</v>
      </c>
      <c r="F309" s="705"/>
      <c r="G309" s="639">
        <v>7480895822.16887</v>
      </c>
      <c r="H309" s="639">
        <v>9080895822.168869</v>
      </c>
      <c r="I309" s="639">
        <v>11280895822.168869</v>
      </c>
      <c r="J309" s="639">
        <v>13480895822.168869</v>
      </c>
      <c r="K309" s="639">
        <v>15347562488.835535</v>
      </c>
      <c r="L309" s="639">
        <v>17414229155.502201</v>
      </c>
      <c r="M309" s="639">
        <v>19480895822.168869</v>
      </c>
      <c r="N309" s="639">
        <v>21147562488.835537</v>
      </c>
      <c r="O309" s="639">
        <v>22814229155.502205</v>
      </c>
      <c r="P309" s="639">
        <v>24480895822.168873</v>
      </c>
      <c r="Q309" s="639">
        <v>25480895822.168873</v>
      </c>
      <c r="R309" s="639">
        <v>26480895822.168873</v>
      </c>
      <c r="S309" s="639">
        <v>27480895822.168873</v>
      </c>
      <c r="T309" s="813"/>
      <c r="V309" s="641">
        <f t="shared" si="170"/>
        <v>27480895822.168873</v>
      </c>
      <c r="W309" s="715">
        <f t="shared" si="171"/>
        <v>4.4153408618763266E-3</v>
      </c>
      <c r="X309" s="1016"/>
      <c r="Y309" s="675">
        <f t="shared" si="172"/>
        <v>32977074986.602646</v>
      </c>
      <c r="Z309" s="670"/>
      <c r="AA309" s="675">
        <f t="shared" si="173"/>
        <v>39572489983.923172</v>
      </c>
      <c r="AB309" s="670"/>
      <c r="AC309" s="675">
        <f t="shared" si="174"/>
        <v>47486987980.707802</v>
      </c>
      <c r="AD309" s="670"/>
      <c r="AE309" s="675">
        <f t="shared" si="175"/>
        <v>56984385576.849358</v>
      </c>
      <c r="AF309" s="670"/>
      <c r="AL309" s="489"/>
      <c r="AM309" s="489"/>
      <c r="AN309" s="489"/>
      <c r="AO309" s="489"/>
      <c r="AP309" s="489"/>
      <c r="AQ309" s="489"/>
      <c r="AR309" s="489"/>
      <c r="AS309" s="489"/>
    </row>
    <row r="310" spans="1:45" s="484" customFormat="1">
      <c r="A310" s="695" t="s">
        <v>1287</v>
      </c>
      <c r="B310" s="638">
        <v>0</v>
      </c>
      <c r="C310" s="639"/>
      <c r="D310" s="639"/>
      <c r="E310" s="639">
        <v>0</v>
      </c>
      <c r="F310" s="703"/>
      <c r="G310" s="639">
        <v>0</v>
      </c>
      <c r="H310" s="639">
        <v>0</v>
      </c>
      <c r="I310" s="639">
        <v>0</v>
      </c>
      <c r="J310" s="639">
        <v>0</v>
      </c>
      <c r="K310" s="639">
        <v>0</v>
      </c>
      <c r="L310" s="639">
        <v>0</v>
      </c>
      <c r="M310" s="639">
        <v>0</v>
      </c>
      <c r="N310" s="639">
        <v>0</v>
      </c>
      <c r="O310" s="639">
        <v>0</v>
      </c>
      <c r="P310" s="639">
        <v>0</v>
      </c>
      <c r="Q310" s="639">
        <v>0</v>
      </c>
      <c r="R310" s="639">
        <v>0</v>
      </c>
      <c r="S310" s="639">
        <v>0</v>
      </c>
      <c r="T310" s="813"/>
      <c r="V310" s="641">
        <f t="shared" si="170"/>
        <v>0</v>
      </c>
      <c r="W310" s="715">
        <f t="shared" si="171"/>
        <v>0</v>
      </c>
      <c r="X310" s="1015"/>
      <c r="Y310" s="675">
        <f t="shared" si="172"/>
        <v>0</v>
      </c>
      <c r="Z310" s="675"/>
      <c r="AA310" s="675">
        <f t="shared" si="173"/>
        <v>0</v>
      </c>
      <c r="AB310" s="675"/>
      <c r="AC310" s="675">
        <f t="shared" si="174"/>
        <v>0</v>
      </c>
      <c r="AD310" s="675"/>
      <c r="AE310" s="675">
        <f t="shared" si="175"/>
        <v>0</v>
      </c>
      <c r="AF310" s="675"/>
      <c r="AL310" s="489"/>
      <c r="AM310" s="489"/>
      <c r="AN310" s="489"/>
      <c r="AO310" s="489"/>
      <c r="AP310" s="489"/>
      <c r="AQ310" s="489"/>
      <c r="AR310" s="489"/>
      <c r="AS310" s="489"/>
    </row>
    <row r="311" spans="1:45" s="484" customFormat="1" ht="14.5">
      <c r="A311" s="695" t="s">
        <v>1288</v>
      </c>
      <c r="B311" s="647"/>
      <c r="C311" s="644"/>
      <c r="D311" s="644"/>
      <c r="E311" s="639">
        <v>0</v>
      </c>
      <c r="F311" s="705"/>
      <c r="G311" s="639">
        <v>0</v>
      </c>
      <c r="H311" s="639">
        <v>0</v>
      </c>
      <c r="I311" s="639">
        <v>0</v>
      </c>
      <c r="J311" s="639">
        <v>0</v>
      </c>
      <c r="K311" s="639">
        <v>0</v>
      </c>
      <c r="L311" s="639">
        <v>0</v>
      </c>
      <c r="M311" s="639">
        <v>0</v>
      </c>
      <c r="N311" s="639">
        <v>0</v>
      </c>
      <c r="O311" s="639">
        <v>0</v>
      </c>
      <c r="P311" s="639">
        <v>0</v>
      </c>
      <c r="Q311" s="639">
        <v>0</v>
      </c>
      <c r="R311" s="639">
        <v>0</v>
      </c>
      <c r="S311" s="639">
        <v>0</v>
      </c>
      <c r="T311" s="813"/>
      <c r="V311" s="641">
        <f t="shared" si="170"/>
        <v>0</v>
      </c>
      <c r="W311" s="715">
        <f t="shared" si="171"/>
        <v>0</v>
      </c>
      <c r="X311" s="1016"/>
      <c r="Y311" s="675">
        <f t="shared" si="172"/>
        <v>0</v>
      </c>
      <c r="Z311" s="670"/>
      <c r="AA311" s="675">
        <f t="shared" si="173"/>
        <v>0</v>
      </c>
      <c r="AB311" s="670"/>
      <c r="AC311" s="675">
        <f t="shared" si="174"/>
        <v>0</v>
      </c>
      <c r="AD311" s="670"/>
      <c r="AE311" s="675">
        <f t="shared" si="175"/>
        <v>0</v>
      </c>
      <c r="AF311" s="670"/>
      <c r="AL311" s="489"/>
      <c r="AM311" s="489"/>
      <c r="AN311" s="489"/>
      <c r="AO311" s="489"/>
      <c r="AP311" s="489"/>
      <c r="AQ311" s="489"/>
      <c r="AR311" s="489"/>
      <c r="AS311" s="489"/>
    </row>
    <row r="312" spans="1:45" s="484" customFormat="1">
      <c r="A312" s="695" t="s">
        <v>1289</v>
      </c>
      <c r="B312" s="647">
        <v>66674618266</v>
      </c>
      <c r="C312" s="648"/>
      <c r="D312" s="648"/>
      <c r="E312" s="639">
        <v>1255035.4652199999</v>
      </c>
      <c r="F312" s="706"/>
      <c r="G312" s="639">
        <v>11600000000</v>
      </c>
      <c r="H312" s="639">
        <v>13200000000</v>
      </c>
      <c r="I312" s="639">
        <v>15400000000</v>
      </c>
      <c r="J312" s="639">
        <v>17600000000</v>
      </c>
      <c r="K312" s="639">
        <v>19466666666.666668</v>
      </c>
      <c r="L312" s="639">
        <v>21533333333.333336</v>
      </c>
      <c r="M312" s="639">
        <v>23600000000.000004</v>
      </c>
      <c r="N312" s="639">
        <v>25266666666.666672</v>
      </c>
      <c r="O312" s="639">
        <v>26933333333.33334</v>
      </c>
      <c r="P312" s="639">
        <v>28600000000.000008</v>
      </c>
      <c r="Q312" s="639">
        <v>29600000000.000008</v>
      </c>
      <c r="R312" s="639">
        <v>30600000000.000008</v>
      </c>
      <c r="S312" s="639">
        <v>31600000000.000008</v>
      </c>
      <c r="T312" s="813"/>
      <c r="V312" s="641">
        <f t="shared" si="170"/>
        <v>31600000000.000008</v>
      </c>
      <c r="W312" s="715">
        <f t="shared" si="171"/>
        <v>5.0771551312653049E-3</v>
      </c>
      <c r="X312" s="1015"/>
      <c r="Y312" s="675">
        <f t="shared" si="172"/>
        <v>37920000000.000008</v>
      </c>
      <c r="Z312" s="675"/>
      <c r="AA312" s="675">
        <f t="shared" si="173"/>
        <v>45504000000.000008</v>
      </c>
      <c r="AB312" s="675"/>
      <c r="AC312" s="675">
        <f t="shared" si="174"/>
        <v>54604800000.000008</v>
      </c>
      <c r="AD312" s="675"/>
      <c r="AE312" s="675">
        <f t="shared" si="175"/>
        <v>65525760000.000008</v>
      </c>
      <c r="AF312" s="675"/>
      <c r="AL312" s="489"/>
      <c r="AM312" s="489"/>
      <c r="AN312" s="489"/>
      <c r="AO312" s="489"/>
      <c r="AP312" s="489"/>
      <c r="AQ312" s="489"/>
      <c r="AR312" s="489"/>
      <c r="AS312" s="489"/>
    </row>
    <row r="313" spans="1:45" s="484" customFormat="1" ht="14.5">
      <c r="A313" s="695" t="s">
        <v>1290</v>
      </c>
      <c r="B313" s="647"/>
      <c r="C313" s="644"/>
      <c r="D313" s="644"/>
      <c r="E313" s="639">
        <v>0</v>
      </c>
      <c r="F313" s="705"/>
      <c r="G313" s="639">
        <v>0</v>
      </c>
      <c r="H313" s="639">
        <v>0</v>
      </c>
      <c r="I313" s="639">
        <v>0</v>
      </c>
      <c r="J313" s="639">
        <v>0</v>
      </c>
      <c r="K313" s="639">
        <v>0</v>
      </c>
      <c r="L313" s="639">
        <v>0</v>
      </c>
      <c r="M313" s="639">
        <v>0</v>
      </c>
      <c r="N313" s="639">
        <v>0</v>
      </c>
      <c r="O313" s="639">
        <v>0</v>
      </c>
      <c r="P313" s="639">
        <v>0</v>
      </c>
      <c r="Q313" s="639">
        <v>0</v>
      </c>
      <c r="R313" s="639">
        <v>0</v>
      </c>
      <c r="S313" s="639">
        <v>0</v>
      </c>
      <c r="T313" s="813"/>
      <c r="V313" s="641">
        <f t="shared" si="170"/>
        <v>0</v>
      </c>
      <c r="W313" s="715">
        <f t="shared" si="171"/>
        <v>0</v>
      </c>
      <c r="X313" s="1016"/>
      <c r="Y313" s="675">
        <f t="shared" si="172"/>
        <v>0</v>
      </c>
      <c r="AA313" s="675">
        <f t="shared" si="173"/>
        <v>0</v>
      </c>
      <c r="AC313" s="675">
        <f t="shared" si="174"/>
        <v>0</v>
      </c>
      <c r="AE313" s="675">
        <f t="shared" si="175"/>
        <v>0</v>
      </c>
      <c r="AF313" s="716"/>
      <c r="AL313" s="489"/>
      <c r="AM313" s="489"/>
      <c r="AN313" s="489"/>
      <c r="AO313" s="489"/>
      <c r="AP313" s="489"/>
      <c r="AQ313" s="489"/>
      <c r="AR313" s="489"/>
      <c r="AS313" s="489"/>
    </row>
    <row r="314" spans="1:45" s="484" customFormat="1" ht="14.5">
      <c r="A314" s="695" t="s">
        <v>1291</v>
      </c>
      <c r="B314" s="647"/>
      <c r="C314" s="644"/>
      <c r="D314" s="644"/>
      <c r="E314" s="639">
        <v>0</v>
      </c>
      <c r="F314" s="705"/>
      <c r="G314" s="639">
        <v>0</v>
      </c>
      <c r="H314" s="639">
        <v>0</v>
      </c>
      <c r="I314" s="639">
        <v>0</v>
      </c>
      <c r="J314" s="639">
        <v>0</v>
      </c>
      <c r="K314" s="639">
        <v>0</v>
      </c>
      <c r="L314" s="639">
        <v>0</v>
      </c>
      <c r="M314" s="639">
        <v>0</v>
      </c>
      <c r="N314" s="639">
        <v>0</v>
      </c>
      <c r="O314" s="639">
        <v>0</v>
      </c>
      <c r="P314" s="639">
        <v>0</v>
      </c>
      <c r="Q314" s="639">
        <v>0</v>
      </c>
      <c r="R314" s="639">
        <v>0</v>
      </c>
      <c r="S314" s="639">
        <v>0</v>
      </c>
      <c r="T314" s="813"/>
      <c r="V314" s="641">
        <f t="shared" si="170"/>
        <v>0</v>
      </c>
      <c r="W314" s="715">
        <f t="shared" si="171"/>
        <v>0</v>
      </c>
      <c r="X314" s="1016"/>
      <c r="Y314" s="675">
        <f t="shared" si="172"/>
        <v>0</v>
      </c>
      <c r="Z314" s="675"/>
      <c r="AA314" s="675">
        <f t="shared" si="173"/>
        <v>0</v>
      </c>
      <c r="AB314" s="675"/>
      <c r="AC314" s="675">
        <f t="shared" si="174"/>
        <v>0</v>
      </c>
      <c r="AD314" s="675"/>
      <c r="AE314" s="675">
        <f t="shared" si="175"/>
        <v>0</v>
      </c>
      <c r="AL314" s="489"/>
      <c r="AM314" s="489"/>
      <c r="AN314" s="489"/>
      <c r="AO314" s="489"/>
      <c r="AP314" s="489"/>
      <c r="AQ314" s="489"/>
      <c r="AR314" s="489"/>
      <c r="AS314" s="489"/>
    </row>
    <row r="315" spans="1:45" s="484" customFormat="1" ht="14.5">
      <c r="A315" s="695" t="s">
        <v>1292</v>
      </c>
      <c r="B315" s="647"/>
      <c r="C315" s="644"/>
      <c r="D315" s="644"/>
      <c r="E315" s="639">
        <v>0</v>
      </c>
      <c r="F315" s="705"/>
      <c r="G315" s="639">
        <v>0</v>
      </c>
      <c r="H315" s="639">
        <v>0</v>
      </c>
      <c r="I315" s="639">
        <v>0</v>
      </c>
      <c r="J315" s="639">
        <v>0</v>
      </c>
      <c r="K315" s="639">
        <v>0</v>
      </c>
      <c r="L315" s="639">
        <v>0</v>
      </c>
      <c r="M315" s="639">
        <v>0</v>
      </c>
      <c r="N315" s="639">
        <v>0</v>
      </c>
      <c r="O315" s="639">
        <v>0</v>
      </c>
      <c r="P315" s="639">
        <v>0</v>
      </c>
      <c r="Q315" s="639">
        <v>0</v>
      </c>
      <c r="R315" s="639">
        <v>0</v>
      </c>
      <c r="S315" s="639">
        <v>0</v>
      </c>
      <c r="T315" s="813"/>
      <c r="V315" s="641">
        <f t="shared" si="170"/>
        <v>0</v>
      </c>
      <c r="W315" s="715">
        <f t="shared" si="171"/>
        <v>0</v>
      </c>
      <c r="X315" s="1016"/>
      <c r="Y315" s="675"/>
      <c r="Z315" s="675"/>
      <c r="AA315" s="675"/>
      <c r="AB315" s="675"/>
      <c r="AC315" s="675"/>
      <c r="AD315" s="675"/>
      <c r="AE315" s="675"/>
      <c r="AL315" s="489"/>
      <c r="AM315" s="489"/>
      <c r="AN315" s="489"/>
      <c r="AO315" s="489"/>
      <c r="AP315" s="489"/>
      <c r="AQ315" s="489"/>
      <c r="AR315" s="489"/>
      <c r="AS315" s="489"/>
    </row>
    <row r="316" spans="1:45" s="484" customFormat="1" ht="14.5">
      <c r="A316" s="695" t="s">
        <v>1293</v>
      </c>
      <c r="B316" s="647"/>
      <c r="C316" s="644"/>
      <c r="D316" s="644"/>
      <c r="E316" s="639">
        <v>0</v>
      </c>
      <c r="F316" s="705"/>
      <c r="G316" s="639">
        <v>0</v>
      </c>
      <c r="H316" s="639">
        <v>0</v>
      </c>
      <c r="I316" s="639">
        <v>0</v>
      </c>
      <c r="J316" s="639">
        <v>0</v>
      </c>
      <c r="K316" s="639">
        <v>0</v>
      </c>
      <c r="L316" s="639">
        <v>0</v>
      </c>
      <c r="M316" s="639">
        <v>0</v>
      </c>
      <c r="N316" s="639">
        <v>0</v>
      </c>
      <c r="O316" s="639">
        <v>0</v>
      </c>
      <c r="P316" s="639">
        <v>0</v>
      </c>
      <c r="Q316" s="639">
        <v>0</v>
      </c>
      <c r="R316" s="639">
        <v>0</v>
      </c>
      <c r="S316" s="639">
        <v>0</v>
      </c>
      <c r="T316" s="813"/>
      <c r="V316" s="641">
        <f t="shared" si="170"/>
        <v>0</v>
      </c>
      <c r="W316" s="715">
        <f t="shared" si="171"/>
        <v>0</v>
      </c>
      <c r="X316" s="1016"/>
      <c r="Y316" s="675"/>
      <c r="Z316" s="675"/>
      <c r="AA316" s="675"/>
      <c r="AB316" s="675"/>
      <c r="AC316" s="675"/>
      <c r="AD316" s="675"/>
      <c r="AE316" s="675"/>
      <c r="AL316" s="489"/>
      <c r="AM316" s="489"/>
      <c r="AN316" s="489"/>
      <c r="AO316" s="489"/>
      <c r="AP316" s="489"/>
      <c r="AQ316" s="489"/>
      <c r="AR316" s="489"/>
      <c r="AS316" s="489"/>
    </row>
    <row r="317" spans="1:45" s="484" customFormat="1" ht="14.5">
      <c r="A317" s="695" t="s">
        <v>1294</v>
      </c>
      <c r="B317" s="647"/>
      <c r="C317" s="644"/>
      <c r="D317" s="644"/>
      <c r="E317" s="639">
        <v>125897381661.02052</v>
      </c>
      <c r="F317" s="705"/>
      <c r="G317" s="639">
        <v>148844380256.18469</v>
      </c>
      <c r="H317" s="639">
        <v>158444380256.18469</v>
      </c>
      <c r="I317" s="639">
        <v>171644380256.18469</v>
      </c>
      <c r="J317" s="639">
        <v>184844380256.18469</v>
      </c>
      <c r="K317" s="639">
        <v>196044380256.18469</v>
      </c>
      <c r="L317" s="639">
        <v>208444380256.18469</v>
      </c>
      <c r="M317" s="639">
        <v>220844380256.18469</v>
      </c>
      <c r="N317" s="639">
        <v>230844380256.18469</v>
      </c>
      <c r="O317" s="639">
        <v>240844380256.18469</v>
      </c>
      <c r="P317" s="639">
        <v>250844380256.18469</v>
      </c>
      <c r="Q317" s="639">
        <v>256844380256.18469</v>
      </c>
      <c r="R317" s="639">
        <v>262844380256.18469</v>
      </c>
      <c r="S317" s="639">
        <v>268844380256.18469</v>
      </c>
      <c r="T317" s="813"/>
      <c r="V317" s="641">
        <f t="shared" si="170"/>
        <v>268844380256.18469</v>
      </c>
      <c r="W317" s="715">
        <f t="shared" si="171"/>
        <v>4.3195083061061026E-2</v>
      </c>
      <c r="X317" s="1016"/>
      <c r="Y317" s="675"/>
      <c r="Z317" s="675"/>
      <c r="AA317" s="675"/>
      <c r="AB317" s="675"/>
      <c r="AC317" s="675"/>
      <c r="AD317" s="675"/>
      <c r="AE317" s="675"/>
      <c r="AL317" s="489"/>
      <c r="AM317" s="489"/>
      <c r="AN317" s="489"/>
      <c r="AO317" s="489"/>
      <c r="AP317" s="489"/>
      <c r="AQ317" s="489"/>
      <c r="AR317" s="489"/>
      <c r="AS317" s="489"/>
    </row>
    <row r="318" spans="1:45" s="484" customFormat="1" ht="14.5">
      <c r="A318" s="695" t="s">
        <v>1295</v>
      </c>
      <c r="B318" s="647"/>
      <c r="C318" s="644"/>
      <c r="D318" s="644"/>
      <c r="E318" s="639">
        <v>862420917.16221285</v>
      </c>
      <c r="F318" s="705"/>
      <c r="G318" s="639">
        <v>4929447360.0765676</v>
      </c>
      <c r="H318" s="639">
        <v>8129447360.0765676</v>
      </c>
      <c r="I318" s="639">
        <v>12529447360.076569</v>
      </c>
      <c r="J318" s="639">
        <v>16929447360.076569</v>
      </c>
      <c r="K318" s="639">
        <v>20662780693.409901</v>
      </c>
      <c r="L318" s="639">
        <v>24796114026.743233</v>
      </c>
      <c r="M318" s="639">
        <v>28929447360.076565</v>
      </c>
      <c r="N318" s="639">
        <v>32262780693.409897</v>
      </c>
      <c r="O318" s="639">
        <v>35596114026.743233</v>
      </c>
      <c r="P318" s="639">
        <v>38929447360.076569</v>
      </c>
      <c r="Q318" s="639">
        <v>40929447360.076569</v>
      </c>
      <c r="R318" s="639">
        <v>42929447360.076569</v>
      </c>
      <c r="S318" s="639">
        <v>44929447360.076569</v>
      </c>
      <c r="T318" s="813"/>
      <c r="V318" s="641">
        <f t="shared" si="170"/>
        <v>44929447360.076569</v>
      </c>
      <c r="W318" s="715">
        <f t="shared" si="171"/>
        <v>7.2187903230736417E-3</v>
      </c>
      <c r="X318" s="1016"/>
      <c r="Y318" s="675"/>
      <c r="Z318" s="675"/>
      <c r="AA318" s="675"/>
      <c r="AB318" s="675"/>
      <c r="AC318" s="675"/>
      <c r="AD318" s="675"/>
      <c r="AE318" s="675"/>
      <c r="AL318" s="489"/>
      <c r="AM318" s="489"/>
      <c r="AN318" s="489"/>
      <c r="AO318" s="489"/>
      <c r="AP318" s="489"/>
      <c r="AQ318" s="489"/>
      <c r="AR318" s="489"/>
      <c r="AS318" s="489"/>
    </row>
    <row r="319" spans="1:45" s="484" customFormat="1" ht="14.5">
      <c r="A319" s="695" t="s">
        <v>1296</v>
      </c>
      <c r="B319" s="647"/>
      <c r="C319" s="644"/>
      <c r="D319" s="644"/>
      <c r="E319" s="639">
        <v>4030979854.036685</v>
      </c>
      <c r="F319" s="705"/>
      <c r="G319" s="639">
        <v>4013333259.2212396</v>
      </c>
      <c r="H319" s="639">
        <v>4013333259.2212396</v>
      </c>
      <c r="I319" s="639">
        <v>4013333259.2212396</v>
      </c>
      <c r="J319" s="639">
        <v>4013333259.2212396</v>
      </c>
      <c r="K319" s="639">
        <v>4013333259.2212396</v>
      </c>
      <c r="L319" s="639">
        <v>4013333259.2212396</v>
      </c>
      <c r="M319" s="639">
        <v>4013333259.2212396</v>
      </c>
      <c r="N319" s="639">
        <v>4013333259.2212396</v>
      </c>
      <c r="O319" s="639">
        <v>4013333259.2212396</v>
      </c>
      <c r="P319" s="639">
        <v>4013333259.2212396</v>
      </c>
      <c r="Q319" s="639">
        <v>4013333259.2212396</v>
      </c>
      <c r="R319" s="639">
        <v>4013333259.2212396</v>
      </c>
      <c r="S319" s="639">
        <v>4013333259.2212396</v>
      </c>
      <c r="T319" s="813"/>
      <c r="V319" s="641">
        <f t="shared" si="170"/>
        <v>4013333259.2212396</v>
      </c>
      <c r="W319" s="715">
        <f t="shared" si="171"/>
        <v>6.4482011235863352E-4</v>
      </c>
      <c r="X319" s="1016"/>
      <c r="Y319" s="675"/>
      <c r="Z319" s="675"/>
      <c r="AA319" s="675"/>
      <c r="AB319" s="675"/>
      <c r="AC319" s="675"/>
      <c r="AD319" s="675"/>
      <c r="AE319" s="675"/>
      <c r="AL319" s="489"/>
      <c r="AM319" s="489"/>
      <c r="AN319" s="489"/>
      <c r="AO319" s="489"/>
      <c r="AP319" s="489"/>
      <c r="AQ319" s="489"/>
      <c r="AR319" s="489"/>
      <c r="AS319" s="489"/>
    </row>
    <row r="320" spans="1:45" s="484" customFormat="1" ht="14.5">
      <c r="A320" s="695" t="s">
        <v>1297</v>
      </c>
      <c r="B320" s="647"/>
      <c r="C320" s="644"/>
      <c r="D320" s="644"/>
      <c r="E320" s="639">
        <v>0</v>
      </c>
      <c r="F320" s="705"/>
      <c r="G320" s="639">
        <v>0</v>
      </c>
      <c r="H320" s="639">
        <v>0</v>
      </c>
      <c r="I320" s="639">
        <v>0</v>
      </c>
      <c r="J320" s="639">
        <v>0</v>
      </c>
      <c r="K320" s="639">
        <v>0</v>
      </c>
      <c r="L320" s="639">
        <v>0</v>
      </c>
      <c r="M320" s="639">
        <v>0</v>
      </c>
      <c r="N320" s="639">
        <v>0</v>
      </c>
      <c r="O320" s="639">
        <v>0</v>
      </c>
      <c r="P320" s="639">
        <v>0</v>
      </c>
      <c r="Q320" s="639">
        <v>0</v>
      </c>
      <c r="R320" s="639">
        <v>0</v>
      </c>
      <c r="S320" s="639">
        <v>0</v>
      </c>
      <c r="T320" s="813"/>
      <c r="V320" s="641">
        <f t="shared" si="170"/>
        <v>0</v>
      </c>
      <c r="W320" s="715">
        <f t="shared" si="171"/>
        <v>0</v>
      </c>
      <c r="X320" s="1016"/>
      <c r="Y320" s="675">
        <f t="shared" si="172"/>
        <v>0</v>
      </c>
      <c r="AA320" s="675">
        <f t="shared" si="173"/>
        <v>0</v>
      </c>
      <c r="AC320" s="675">
        <f t="shared" si="174"/>
        <v>0</v>
      </c>
      <c r="AE320" s="675">
        <f t="shared" si="175"/>
        <v>0</v>
      </c>
      <c r="AL320" s="489"/>
      <c r="AM320" s="489"/>
      <c r="AN320" s="489"/>
      <c r="AO320" s="489"/>
      <c r="AP320" s="489"/>
      <c r="AQ320" s="489"/>
      <c r="AR320" s="489"/>
      <c r="AS320" s="489"/>
    </row>
    <row r="321" spans="1:45" s="484" customFormat="1" ht="14.5">
      <c r="A321" s="695" t="s">
        <v>1298</v>
      </c>
      <c r="B321" s="647"/>
      <c r="C321" s="644"/>
      <c r="D321" s="644"/>
      <c r="E321" s="639">
        <v>0</v>
      </c>
      <c r="F321" s="705"/>
      <c r="G321" s="639">
        <v>0</v>
      </c>
      <c r="H321" s="639">
        <v>0</v>
      </c>
      <c r="I321" s="639">
        <v>0</v>
      </c>
      <c r="J321" s="639">
        <v>0</v>
      </c>
      <c r="K321" s="639">
        <v>0</v>
      </c>
      <c r="L321" s="639">
        <v>0</v>
      </c>
      <c r="M321" s="639">
        <v>0</v>
      </c>
      <c r="N321" s="639">
        <v>0</v>
      </c>
      <c r="O321" s="639">
        <v>0</v>
      </c>
      <c r="P321" s="639">
        <v>0</v>
      </c>
      <c r="Q321" s="639">
        <v>0</v>
      </c>
      <c r="R321" s="639">
        <v>0</v>
      </c>
      <c r="S321" s="639">
        <v>0</v>
      </c>
      <c r="T321" s="813"/>
      <c r="V321" s="641">
        <f t="shared" si="170"/>
        <v>0</v>
      </c>
      <c r="W321" s="715">
        <f t="shared" si="171"/>
        <v>0</v>
      </c>
      <c r="X321" s="1016"/>
      <c r="Y321" s="675"/>
      <c r="AA321" s="675"/>
      <c r="AC321" s="675"/>
      <c r="AE321" s="675"/>
      <c r="AL321" s="489"/>
      <c r="AM321" s="489"/>
      <c r="AN321" s="489"/>
      <c r="AO321" s="489"/>
      <c r="AP321" s="489"/>
      <c r="AQ321" s="489"/>
      <c r="AR321" s="489"/>
      <c r="AS321" s="489"/>
    </row>
    <row r="322" spans="1:45" s="484" customFormat="1" ht="14.5">
      <c r="A322" s="695" t="s">
        <v>1299</v>
      </c>
      <c r="B322" s="647"/>
      <c r="C322" s="644"/>
      <c r="D322" s="644"/>
      <c r="E322" s="639">
        <v>2751149049.3527417</v>
      </c>
      <c r="F322" s="705"/>
      <c r="G322" s="639">
        <v>3331676619.4198155</v>
      </c>
      <c r="H322" s="639">
        <v>3331676619.4198155</v>
      </c>
      <c r="I322" s="639">
        <v>3331676619.4198155</v>
      </c>
      <c r="J322" s="639">
        <v>3331676619.4198155</v>
      </c>
      <c r="K322" s="639">
        <v>3331676619.4198155</v>
      </c>
      <c r="L322" s="639">
        <v>3331676619.4198155</v>
      </c>
      <c r="M322" s="639">
        <v>3331676619.4198155</v>
      </c>
      <c r="N322" s="639">
        <v>3331676619.4198155</v>
      </c>
      <c r="O322" s="639">
        <v>3331676619.4198155</v>
      </c>
      <c r="P322" s="639">
        <v>3331676619.4198155</v>
      </c>
      <c r="Q322" s="639">
        <v>3331676619.4198155</v>
      </c>
      <c r="R322" s="639">
        <v>3331676619.4198155</v>
      </c>
      <c r="S322" s="639">
        <v>3331676619.4198155</v>
      </c>
      <c r="T322" s="813"/>
      <c r="V322" s="641">
        <f t="shared" si="170"/>
        <v>3331676619.4198155</v>
      </c>
      <c r="W322" s="715">
        <f t="shared" si="171"/>
        <v>5.3529870392417581E-4</v>
      </c>
      <c r="X322" s="1016"/>
      <c r="Y322" s="675"/>
      <c r="AA322" s="675"/>
      <c r="AC322" s="675"/>
      <c r="AE322" s="675"/>
      <c r="AL322" s="489"/>
      <c r="AM322" s="489"/>
      <c r="AN322" s="489"/>
      <c r="AO322" s="489"/>
      <c r="AP322" s="489"/>
      <c r="AQ322" s="489"/>
      <c r="AR322" s="489"/>
      <c r="AS322" s="489"/>
    </row>
    <row r="323" spans="1:45" s="484" customFormat="1" ht="14.5">
      <c r="A323" s="695" t="s">
        <v>1300</v>
      </c>
      <c r="B323" s="647"/>
      <c r="C323" s="644"/>
      <c r="D323" s="644"/>
      <c r="E323" s="639">
        <v>0</v>
      </c>
      <c r="F323" s="705"/>
      <c r="G323" s="639">
        <v>0</v>
      </c>
      <c r="H323" s="639">
        <v>0</v>
      </c>
      <c r="I323" s="639">
        <v>0</v>
      </c>
      <c r="J323" s="639">
        <v>0</v>
      </c>
      <c r="K323" s="639">
        <v>0</v>
      </c>
      <c r="L323" s="639">
        <v>0</v>
      </c>
      <c r="M323" s="639">
        <v>0</v>
      </c>
      <c r="N323" s="639">
        <v>0</v>
      </c>
      <c r="O323" s="639">
        <v>0</v>
      </c>
      <c r="P323" s="639">
        <v>0</v>
      </c>
      <c r="Q323" s="639">
        <v>0</v>
      </c>
      <c r="R323" s="639">
        <v>0</v>
      </c>
      <c r="S323" s="639">
        <v>0</v>
      </c>
      <c r="T323" s="813"/>
      <c r="V323" s="641">
        <f t="shared" si="170"/>
        <v>0</v>
      </c>
      <c r="W323" s="715">
        <f t="shared" si="171"/>
        <v>0</v>
      </c>
      <c r="X323" s="1016"/>
      <c r="Y323" s="675"/>
      <c r="AA323" s="675"/>
      <c r="AC323" s="675"/>
      <c r="AE323" s="675"/>
      <c r="AL323" s="489"/>
      <c r="AM323" s="489"/>
      <c r="AN323" s="489"/>
      <c r="AO323" s="489"/>
      <c r="AP323" s="489"/>
      <c r="AQ323" s="489"/>
      <c r="AR323" s="489"/>
      <c r="AS323" s="489"/>
    </row>
    <row r="324" spans="1:45" s="484" customFormat="1" ht="14.5">
      <c r="A324" s="695" t="s">
        <v>1301</v>
      </c>
      <c r="B324" s="647"/>
      <c r="C324" s="644"/>
      <c r="D324" s="644"/>
      <c r="E324" s="639">
        <v>0</v>
      </c>
      <c r="F324" s="705"/>
      <c r="G324" s="639">
        <v>0</v>
      </c>
      <c r="H324" s="639">
        <v>0</v>
      </c>
      <c r="I324" s="639">
        <v>0</v>
      </c>
      <c r="J324" s="639">
        <v>0</v>
      </c>
      <c r="K324" s="639">
        <v>0</v>
      </c>
      <c r="L324" s="639">
        <v>0</v>
      </c>
      <c r="M324" s="639">
        <v>0</v>
      </c>
      <c r="N324" s="639">
        <v>0</v>
      </c>
      <c r="O324" s="639">
        <v>0</v>
      </c>
      <c r="P324" s="639">
        <v>0</v>
      </c>
      <c r="Q324" s="639">
        <v>0</v>
      </c>
      <c r="R324" s="639">
        <v>0</v>
      </c>
      <c r="S324" s="639">
        <v>0</v>
      </c>
      <c r="T324" s="813"/>
      <c r="V324" s="641">
        <f t="shared" si="170"/>
        <v>0</v>
      </c>
      <c r="W324" s="715">
        <f t="shared" si="171"/>
        <v>0</v>
      </c>
      <c r="X324" s="1016"/>
      <c r="Y324" s="675"/>
      <c r="AA324" s="675"/>
      <c r="AC324" s="675"/>
      <c r="AE324" s="675"/>
      <c r="AL324" s="489"/>
      <c r="AM324" s="489"/>
      <c r="AN324" s="489"/>
      <c r="AO324" s="489"/>
      <c r="AP324" s="489"/>
      <c r="AQ324" s="489"/>
      <c r="AR324" s="489"/>
      <c r="AS324" s="489"/>
    </row>
    <row r="325" spans="1:45" s="484" customFormat="1" ht="14.5">
      <c r="A325" s="695" t="s">
        <v>1302</v>
      </c>
      <c r="B325" s="647"/>
      <c r="C325" s="644"/>
      <c r="D325" s="644"/>
      <c r="E325" s="639">
        <v>0</v>
      </c>
      <c r="F325" s="705"/>
      <c r="G325" s="639">
        <v>0</v>
      </c>
      <c r="H325" s="639">
        <v>0</v>
      </c>
      <c r="I325" s="639">
        <v>0</v>
      </c>
      <c r="J325" s="639">
        <v>0</v>
      </c>
      <c r="K325" s="639">
        <v>0</v>
      </c>
      <c r="L325" s="639">
        <v>0</v>
      </c>
      <c r="M325" s="639">
        <v>0</v>
      </c>
      <c r="N325" s="639">
        <v>0</v>
      </c>
      <c r="O325" s="639">
        <v>0</v>
      </c>
      <c r="P325" s="639">
        <v>0</v>
      </c>
      <c r="Q325" s="639">
        <v>0</v>
      </c>
      <c r="R325" s="639">
        <v>0</v>
      </c>
      <c r="S325" s="639">
        <v>0</v>
      </c>
      <c r="T325" s="813"/>
      <c r="V325" s="641">
        <f t="shared" si="170"/>
        <v>0</v>
      </c>
      <c r="W325" s="715">
        <f t="shared" si="171"/>
        <v>0</v>
      </c>
      <c r="X325" s="1016"/>
      <c r="Y325" s="675"/>
      <c r="AA325" s="675"/>
      <c r="AC325" s="675"/>
      <c r="AE325" s="675"/>
      <c r="AL325" s="489"/>
      <c r="AM325" s="489"/>
      <c r="AN325" s="489"/>
      <c r="AO325" s="489"/>
      <c r="AP325" s="489"/>
      <c r="AQ325" s="489"/>
      <c r="AR325" s="489"/>
      <c r="AS325" s="489"/>
    </row>
    <row r="326" spans="1:45" s="484" customFormat="1" ht="14.5">
      <c r="A326" s="695" t="s">
        <v>1303</v>
      </c>
      <c r="B326" s="647"/>
      <c r="C326" s="644"/>
      <c r="D326" s="644"/>
      <c r="E326" s="639">
        <v>0</v>
      </c>
      <c r="F326" s="705"/>
      <c r="G326" s="639">
        <v>0</v>
      </c>
      <c r="H326" s="639">
        <v>0</v>
      </c>
      <c r="I326" s="639">
        <v>0</v>
      </c>
      <c r="J326" s="639">
        <v>0</v>
      </c>
      <c r="K326" s="639">
        <v>0</v>
      </c>
      <c r="L326" s="639">
        <v>0</v>
      </c>
      <c r="M326" s="639">
        <v>0</v>
      </c>
      <c r="N326" s="639">
        <v>0</v>
      </c>
      <c r="O326" s="639">
        <v>0</v>
      </c>
      <c r="P326" s="639">
        <v>0</v>
      </c>
      <c r="Q326" s="639">
        <v>0</v>
      </c>
      <c r="R326" s="639">
        <v>0</v>
      </c>
      <c r="S326" s="639">
        <v>0</v>
      </c>
      <c r="T326" s="813"/>
      <c r="V326" s="641">
        <f t="shared" si="170"/>
        <v>0</v>
      </c>
      <c r="W326" s="715">
        <f t="shared" si="171"/>
        <v>0</v>
      </c>
      <c r="X326" s="1016"/>
      <c r="Y326" s="675"/>
      <c r="AA326" s="675"/>
      <c r="AC326" s="675"/>
      <c r="AE326" s="675"/>
      <c r="AL326" s="489"/>
      <c r="AM326" s="489"/>
      <c r="AN326" s="489"/>
      <c r="AO326" s="489"/>
      <c r="AP326" s="489"/>
      <c r="AQ326" s="489"/>
      <c r="AR326" s="489"/>
      <c r="AS326" s="489"/>
    </row>
    <row r="327" spans="1:45" s="484" customFormat="1" ht="14.5">
      <c r="A327" s="695" t="s">
        <v>1304</v>
      </c>
      <c r="B327" s="647"/>
      <c r="C327" s="644"/>
      <c r="D327" s="644"/>
      <c r="E327" s="639">
        <v>0</v>
      </c>
      <c r="F327" s="705"/>
      <c r="G327" s="639">
        <v>0</v>
      </c>
      <c r="H327" s="639">
        <v>0</v>
      </c>
      <c r="I327" s="639">
        <v>0</v>
      </c>
      <c r="J327" s="639">
        <v>0</v>
      </c>
      <c r="K327" s="639">
        <v>0</v>
      </c>
      <c r="L327" s="639">
        <v>0</v>
      </c>
      <c r="M327" s="639">
        <v>0</v>
      </c>
      <c r="N327" s="639">
        <v>0</v>
      </c>
      <c r="O327" s="639">
        <v>0</v>
      </c>
      <c r="P327" s="639">
        <v>0</v>
      </c>
      <c r="Q327" s="639">
        <v>0</v>
      </c>
      <c r="R327" s="639">
        <v>0</v>
      </c>
      <c r="S327" s="639">
        <v>0</v>
      </c>
      <c r="T327" s="813"/>
      <c r="V327" s="641">
        <f t="shared" si="170"/>
        <v>0</v>
      </c>
      <c r="W327" s="715">
        <f t="shared" si="171"/>
        <v>0</v>
      </c>
      <c r="X327" s="1016"/>
      <c r="Y327" s="675"/>
      <c r="AA327" s="675"/>
      <c r="AC327" s="675"/>
      <c r="AE327" s="675"/>
      <c r="AL327" s="489"/>
      <c r="AM327" s="489"/>
      <c r="AN327" s="489"/>
      <c r="AO327" s="489"/>
      <c r="AP327" s="489"/>
      <c r="AQ327" s="489"/>
      <c r="AR327" s="489"/>
      <c r="AS327" s="489"/>
    </row>
    <row r="328" spans="1:45" s="484" customFormat="1" ht="14.5">
      <c r="A328" s="695" t="s">
        <v>1305</v>
      </c>
      <c r="B328" s="647"/>
      <c r="C328" s="644"/>
      <c r="D328" s="644"/>
      <c r="E328" s="639">
        <v>0</v>
      </c>
      <c r="F328" s="705"/>
      <c r="G328" s="639">
        <v>0</v>
      </c>
      <c r="H328" s="639">
        <v>0</v>
      </c>
      <c r="I328" s="639">
        <v>0</v>
      </c>
      <c r="J328" s="639">
        <v>0</v>
      </c>
      <c r="K328" s="639">
        <v>0</v>
      </c>
      <c r="L328" s="639">
        <v>0</v>
      </c>
      <c r="M328" s="639">
        <v>0</v>
      </c>
      <c r="N328" s="639">
        <v>0</v>
      </c>
      <c r="O328" s="639">
        <v>0</v>
      </c>
      <c r="P328" s="639">
        <v>0</v>
      </c>
      <c r="Q328" s="639">
        <v>0</v>
      </c>
      <c r="R328" s="639">
        <v>0</v>
      </c>
      <c r="S328" s="639">
        <v>0</v>
      </c>
      <c r="T328" s="813"/>
      <c r="V328" s="641">
        <f t="shared" si="170"/>
        <v>0</v>
      </c>
      <c r="W328" s="715">
        <f t="shared" si="171"/>
        <v>0</v>
      </c>
      <c r="X328" s="1016"/>
      <c r="Y328" s="675"/>
      <c r="AA328" s="675"/>
      <c r="AC328" s="675"/>
      <c r="AE328" s="675"/>
      <c r="AL328" s="489"/>
      <c r="AM328" s="489"/>
      <c r="AN328" s="489"/>
      <c r="AO328" s="489"/>
      <c r="AP328" s="489"/>
      <c r="AQ328" s="489"/>
      <c r="AR328" s="489"/>
      <c r="AS328" s="489"/>
    </row>
    <row r="329" spans="1:45" s="484" customFormat="1" ht="14.5">
      <c r="A329" s="695" t="s">
        <v>1306</v>
      </c>
      <c r="B329" s="647"/>
      <c r="C329" s="644"/>
      <c r="D329" s="644"/>
      <c r="E329" s="639">
        <v>36983565555</v>
      </c>
      <c r="F329" s="705"/>
      <c r="G329" s="639">
        <v>37779510656</v>
      </c>
      <c r="H329" s="639">
        <v>37779510656</v>
      </c>
      <c r="I329" s="639">
        <v>37779510656</v>
      </c>
      <c r="J329" s="639">
        <v>37779510656</v>
      </c>
      <c r="K329" s="639">
        <v>37779510656</v>
      </c>
      <c r="L329" s="639">
        <v>37779510656</v>
      </c>
      <c r="M329" s="639">
        <v>37779510656</v>
      </c>
      <c r="N329" s="639">
        <v>37779510656</v>
      </c>
      <c r="O329" s="639">
        <v>37779510656</v>
      </c>
      <c r="P329" s="639">
        <v>37779510656</v>
      </c>
      <c r="Q329" s="639">
        <v>37779510656</v>
      </c>
      <c r="R329" s="639">
        <v>37779510656</v>
      </c>
      <c r="S329" s="639">
        <v>37779510656</v>
      </c>
      <c r="T329" s="813"/>
      <c r="V329" s="641">
        <f t="shared" si="170"/>
        <v>37779510656</v>
      </c>
      <c r="W329" s="715">
        <f t="shared" si="171"/>
        <v>6.0700138096140069E-3</v>
      </c>
      <c r="X329" s="1016"/>
      <c r="Y329" s="675"/>
      <c r="AA329" s="675"/>
      <c r="AC329" s="675"/>
      <c r="AE329" s="675"/>
      <c r="AL329" s="489"/>
      <c r="AM329" s="489"/>
      <c r="AN329" s="489"/>
      <c r="AO329" s="489"/>
      <c r="AP329" s="489"/>
      <c r="AQ329" s="489"/>
      <c r="AR329" s="489"/>
      <c r="AS329" s="489"/>
    </row>
    <row r="330" spans="1:45" s="484" customFormat="1" ht="14.5">
      <c r="A330" s="695" t="s">
        <v>1307</v>
      </c>
      <c r="B330" s="647"/>
      <c r="C330" s="644"/>
      <c r="D330" s="644"/>
      <c r="E330" s="639">
        <v>0</v>
      </c>
      <c r="F330" s="705"/>
      <c r="G330" s="639">
        <v>0</v>
      </c>
      <c r="H330" s="639"/>
      <c r="I330" s="639"/>
      <c r="J330" s="639"/>
      <c r="K330" s="639"/>
      <c r="L330" s="639"/>
      <c r="M330" s="639"/>
      <c r="N330" s="639"/>
      <c r="O330" s="639"/>
      <c r="P330" s="639"/>
      <c r="Q330" s="639"/>
      <c r="R330" s="639"/>
      <c r="S330" s="639"/>
      <c r="T330" s="813"/>
      <c r="V330" s="641">
        <f t="shared" si="170"/>
        <v>0</v>
      </c>
      <c r="W330" s="715">
        <f t="shared" si="171"/>
        <v>0</v>
      </c>
      <c r="X330" s="1016"/>
      <c r="Y330" s="675"/>
      <c r="AA330" s="675"/>
      <c r="AC330" s="675"/>
      <c r="AE330" s="675"/>
      <c r="AL330" s="489"/>
      <c r="AM330" s="489"/>
      <c r="AN330" s="489"/>
      <c r="AO330" s="489"/>
      <c r="AP330" s="489"/>
      <c r="AQ330" s="489"/>
      <c r="AR330" s="489"/>
      <c r="AS330" s="489"/>
    </row>
    <row r="331" spans="1:45" s="484" customFormat="1" ht="14.5">
      <c r="A331" s="695" t="s">
        <v>1308</v>
      </c>
      <c r="B331" s="647"/>
      <c r="C331" s="644"/>
      <c r="D331" s="644"/>
      <c r="E331" s="639">
        <v>0</v>
      </c>
      <c r="F331" s="705"/>
      <c r="G331" s="639">
        <v>0</v>
      </c>
      <c r="H331" s="639"/>
      <c r="I331" s="644"/>
      <c r="J331" s="644"/>
      <c r="K331" s="644"/>
      <c r="L331" s="644"/>
      <c r="M331" s="644"/>
      <c r="N331" s="644"/>
      <c r="O331" s="644"/>
      <c r="P331" s="644"/>
      <c r="Q331" s="644"/>
      <c r="R331" s="644"/>
      <c r="S331" s="644"/>
      <c r="T331" s="814"/>
      <c r="V331" s="641">
        <f t="shared" si="170"/>
        <v>0</v>
      </c>
      <c r="W331" s="715">
        <f t="shared" si="171"/>
        <v>0</v>
      </c>
      <c r="X331" s="1016"/>
      <c r="Y331" s="675"/>
      <c r="AA331" s="675"/>
      <c r="AC331" s="675"/>
      <c r="AE331" s="675"/>
      <c r="AL331" s="489"/>
      <c r="AM331" s="489"/>
      <c r="AN331" s="489"/>
      <c r="AO331" s="489"/>
      <c r="AP331" s="489"/>
      <c r="AQ331" s="489"/>
      <c r="AR331" s="489"/>
      <c r="AS331" s="489"/>
    </row>
    <row r="332" spans="1:45" s="484" customFormat="1" ht="14.5">
      <c r="A332" s="695" t="s">
        <v>1309</v>
      </c>
      <c r="B332" s="647"/>
      <c r="C332" s="644"/>
      <c r="D332" s="644"/>
      <c r="E332" s="639"/>
      <c r="F332" s="705"/>
      <c r="G332" s="639"/>
      <c r="H332" s="639"/>
      <c r="I332" s="644"/>
      <c r="J332" s="644"/>
      <c r="K332" s="644"/>
      <c r="L332" s="644"/>
      <c r="M332" s="644"/>
      <c r="N332" s="644"/>
      <c r="O332" s="644"/>
      <c r="P332" s="644"/>
      <c r="Q332" s="644"/>
      <c r="R332" s="644"/>
      <c r="S332" s="644"/>
      <c r="T332" s="814"/>
      <c r="V332" s="646"/>
      <c r="W332" s="715">
        <f>+V332/$V$256</f>
        <v>0</v>
      </c>
      <c r="X332" s="1016"/>
      <c r="Y332" s="675"/>
      <c r="AA332" s="675"/>
      <c r="AC332" s="675"/>
      <c r="AE332" s="675"/>
      <c r="AL332" s="489"/>
      <c r="AM332" s="489"/>
      <c r="AN332" s="489"/>
      <c r="AO332" s="489"/>
      <c r="AP332" s="489"/>
      <c r="AQ332" s="489"/>
      <c r="AR332" s="489"/>
      <c r="AS332" s="489"/>
    </row>
    <row r="333" spans="1:45" s="484" customFormat="1">
      <c r="A333" s="714" t="s">
        <v>1129</v>
      </c>
      <c r="B333" s="653">
        <v>142170280285.88</v>
      </c>
      <c r="C333" s="654"/>
      <c r="D333" s="654">
        <f>SUM(D298:D332)</f>
        <v>0</v>
      </c>
      <c r="E333" s="654">
        <f>SUM(E298:E332)</f>
        <v>427605274618.90717</v>
      </c>
      <c r="F333" s="707"/>
      <c r="G333" s="654">
        <f>SUM(G298:G332)</f>
        <v>645818867153.34106</v>
      </c>
      <c r="H333" s="654">
        <f t="shared" ref="H333:V333" si="176">SUM(H298:H332)</f>
        <v>709818867153.34106</v>
      </c>
      <c r="I333" s="654">
        <f t="shared" si="176"/>
        <v>797818867153.34106</v>
      </c>
      <c r="J333" s="654">
        <f t="shared" si="176"/>
        <v>885818867153.34094</v>
      </c>
      <c r="K333" s="654">
        <f t="shared" si="176"/>
        <v>960485533820.00781</v>
      </c>
      <c r="L333" s="654">
        <f t="shared" si="176"/>
        <v>1043152200486.6746</v>
      </c>
      <c r="M333" s="654">
        <f t="shared" si="176"/>
        <v>1125818867153.3411</v>
      </c>
      <c r="N333" s="654">
        <f t="shared" si="176"/>
        <v>1192485533820.0081</v>
      </c>
      <c r="O333" s="654">
        <f t="shared" si="176"/>
        <v>1259152200486.6743</v>
      </c>
      <c r="P333" s="654">
        <f t="shared" si="176"/>
        <v>1325818867153.3413</v>
      </c>
      <c r="Q333" s="654">
        <f t="shared" si="176"/>
        <v>1365818867153.3413</v>
      </c>
      <c r="R333" s="654">
        <f>SUM(R298:R332)</f>
        <v>1405818867153.3413</v>
      </c>
      <c r="S333" s="654">
        <f>SUM(S298:S332)</f>
        <v>1445818867153.3413</v>
      </c>
      <c r="T333" s="816"/>
      <c r="V333" s="654">
        <f t="shared" si="176"/>
        <v>1445818867153.3413</v>
      </c>
      <c r="W333" s="715">
        <f>+V333/$V$256</f>
        <v>0.23229894557746122</v>
      </c>
      <c r="X333" s="1017"/>
      <c r="Y333" s="709">
        <f>SUM(Y298:Y320)-Y307</f>
        <v>1078644469230.7302</v>
      </c>
      <c r="Z333" s="708">
        <f>Y333/V333-1</f>
        <v>-0.25395601500590259</v>
      </c>
      <c r="AA333" s="709">
        <f>SUM(AA298:AA320)-AA307</f>
        <v>1294373363076.876</v>
      </c>
      <c r="AB333" s="708">
        <f>+AA333/Y333-1</f>
        <v>0.19999999999999973</v>
      </c>
      <c r="AC333" s="709">
        <f>SUM(AC298:AC320)-AC307</f>
        <v>1553248035692.2515</v>
      </c>
      <c r="AD333" s="708">
        <f>+AC333/AA333-1</f>
        <v>0.20000000000000018</v>
      </c>
      <c r="AE333" s="709">
        <f>SUM(AE298:AE320)-AE307</f>
        <v>1863897642830.7021</v>
      </c>
      <c r="AF333" s="708">
        <f>+AE333/AC333-1</f>
        <v>0.20000000000000018</v>
      </c>
      <c r="AL333" s="489"/>
      <c r="AM333" s="489"/>
      <c r="AN333" s="489"/>
      <c r="AO333" s="489"/>
      <c r="AP333" s="489"/>
      <c r="AQ333" s="489"/>
      <c r="AR333" s="489"/>
      <c r="AS333" s="489"/>
    </row>
    <row r="334" spans="1:45" s="484" customFormat="1">
      <c r="A334" s="652"/>
      <c r="B334" s="653"/>
      <c r="C334" s="654"/>
      <c r="D334" s="654"/>
      <c r="E334" s="654"/>
      <c r="F334" s="707"/>
      <c r="G334" s="709">
        <v>0</v>
      </c>
      <c r="H334" s="709">
        <v>0</v>
      </c>
      <c r="I334" s="709">
        <v>0</v>
      </c>
      <c r="J334" s="709">
        <v>0</v>
      </c>
      <c r="K334" s="709">
        <v>0</v>
      </c>
      <c r="L334" s="709">
        <v>0</v>
      </c>
      <c r="M334" s="709">
        <v>0</v>
      </c>
      <c r="N334" s="709">
        <v>0</v>
      </c>
      <c r="O334" s="709">
        <v>0</v>
      </c>
      <c r="P334" s="709">
        <v>0</v>
      </c>
      <c r="Q334" s="709">
        <v>0</v>
      </c>
      <c r="R334" s="709">
        <v>0</v>
      </c>
      <c r="S334" s="709">
        <v>0</v>
      </c>
      <c r="T334" s="824"/>
      <c r="V334" s="709"/>
      <c r="W334" s="708"/>
      <c r="X334" s="1017"/>
      <c r="Y334" s="717" t="e">
        <v>#REF!</v>
      </c>
      <c r="Z334" s="718"/>
      <c r="AA334" s="717" t="e">
        <v>#REF!</v>
      </c>
      <c r="AB334" s="718"/>
      <c r="AC334" s="717" t="e">
        <v>#REF!</v>
      </c>
      <c r="AD334" s="718"/>
      <c r="AE334" s="717" t="e">
        <v>#REF!</v>
      </c>
      <c r="AF334" s="718"/>
      <c r="AL334" s="489"/>
      <c r="AM334" s="489"/>
      <c r="AN334" s="489"/>
      <c r="AO334" s="489"/>
      <c r="AP334" s="489"/>
      <c r="AQ334" s="489"/>
      <c r="AR334" s="489"/>
      <c r="AS334" s="489"/>
    </row>
    <row r="335" spans="1:45" s="484" customFormat="1">
      <c r="A335" s="490" t="s">
        <v>1314</v>
      </c>
      <c r="B335" s="633" t="s">
        <v>1273</v>
      </c>
      <c r="C335" s="634"/>
      <c r="D335" s="693" t="s">
        <v>1313</v>
      </c>
      <c r="E335" s="690">
        <v>42613</v>
      </c>
      <c r="F335" s="711"/>
      <c r="G335" s="690">
        <v>42735</v>
      </c>
      <c r="H335" s="690">
        <v>42736</v>
      </c>
      <c r="I335" s="690">
        <v>42768</v>
      </c>
      <c r="J335" s="690">
        <v>42800</v>
      </c>
      <c r="K335" s="690">
        <v>42832</v>
      </c>
      <c r="L335" s="690">
        <v>42864</v>
      </c>
      <c r="M335" s="690">
        <v>42896</v>
      </c>
      <c r="N335" s="690">
        <v>42928</v>
      </c>
      <c r="O335" s="690">
        <v>42960</v>
      </c>
      <c r="P335" s="690">
        <v>42992</v>
      </c>
      <c r="Q335" s="690">
        <v>43024</v>
      </c>
      <c r="R335" s="690">
        <v>43056</v>
      </c>
      <c r="S335" s="690">
        <v>43088</v>
      </c>
      <c r="T335" s="822"/>
      <c r="V335" s="690" t="s">
        <v>1159</v>
      </c>
      <c r="W335" s="660"/>
      <c r="X335" s="1014"/>
      <c r="Y335" s="634"/>
      <c r="Z335" s="634"/>
      <c r="AA335" s="661"/>
      <c r="AB335" s="661"/>
      <c r="AC335" s="661"/>
      <c r="AD335" s="661"/>
      <c r="AE335" s="661"/>
      <c r="AF335" s="661"/>
      <c r="AL335" s="489"/>
      <c r="AM335" s="489"/>
      <c r="AN335" s="489"/>
      <c r="AO335" s="489"/>
      <c r="AP335" s="489"/>
      <c r="AQ335" s="489"/>
      <c r="AR335" s="489"/>
      <c r="AS335" s="489"/>
    </row>
    <row r="336" spans="1:45" s="484" customFormat="1">
      <c r="A336" s="695" t="s">
        <v>1275</v>
      </c>
      <c r="B336" s="638">
        <v>2891247907</v>
      </c>
      <c r="C336" s="639"/>
      <c r="D336" s="639"/>
      <c r="E336" s="639">
        <v>1743939761.76</v>
      </c>
      <c r="F336" s="703"/>
      <c r="G336" s="639">
        <v>1734400895.78352</v>
      </c>
      <c r="H336" s="639">
        <v>1734400895.78352</v>
      </c>
      <c r="I336" s="639">
        <v>1734400895.78352</v>
      </c>
      <c r="J336" s="639">
        <v>1734400895.78352</v>
      </c>
      <c r="K336" s="639">
        <v>1734400895.78352</v>
      </c>
      <c r="L336" s="639">
        <v>1734400895.78352</v>
      </c>
      <c r="M336" s="639">
        <v>1734400895.78352</v>
      </c>
      <c r="N336" s="639">
        <v>1734400895.78352</v>
      </c>
      <c r="O336" s="639">
        <v>1734400895.78352</v>
      </c>
      <c r="P336" s="639">
        <v>1734400895.78352</v>
      </c>
      <c r="Q336" s="639">
        <v>1734400895.78352</v>
      </c>
      <c r="R336" s="639">
        <v>1734400895.78352</v>
      </c>
      <c r="S336" s="639">
        <v>1734400895.78352</v>
      </c>
      <c r="T336" s="813"/>
      <c r="V336" s="641">
        <f t="shared" ref="V336:V371" si="177">+S336</f>
        <v>1734400895.78352</v>
      </c>
      <c r="W336" s="715">
        <f>+V336/$V$256</f>
        <v>2.7866526606640626E-4</v>
      </c>
      <c r="X336" s="1015"/>
      <c r="Y336" s="675">
        <f>+V336*(100%+$Y$16)</f>
        <v>2081281074.9402239</v>
      </c>
      <c r="Z336" s="664"/>
      <c r="AA336" s="675">
        <f>+Y336*(100%+$AA$16)</f>
        <v>2913793504.9163132</v>
      </c>
      <c r="AB336" s="664"/>
      <c r="AC336" s="675">
        <f>+AA336*(100%+$AC$16)</f>
        <v>4370690257.3744698</v>
      </c>
      <c r="AD336" s="664"/>
      <c r="AE336" s="675">
        <f>+AC336*(100%+$AE$16)</f>
        <v>5463362821.7180872</v>
      </c>
      <c r="AF336" s="664"/>
      <c r="AL336" s="489"/>
      <c r="AM336" s="489"/>
      <c r="AN336" s="489"/>
      <c r="AO336" s="489"/>
      <c r="AP336" s="489"/>
      <c r="AQ336" s="489"/>
      <c r="AR336" s="489"/>
      <c r="AS336" s="489"/>
    </row>
    <row r="337" spans="1:45" s="484" customFormat="1" ht="14.5">
      <c r="A337" s="695" t="s">
        <v>1276</v>
      </c>
      <c r="B337" s="647"/>
      <c r="C337" s="644"/>
      <c r="D337" s="644"/>
      <c r="E337" s="639">
        <v>27302368593.25</v>
      </c>
      <c r="F337" s="705"/>
      <c r="G337" s="639">
        <v>27212767653.7756</v>
      </c>
      <c r="H337" s="639">
        <v>27850767653.7756</v>
      </c>
      <c r="I337" s="639">
        <v>28488767653.7756</v>
      </c>
      <c r="J337" s="639">
        <v>29126767653.7756</v>
      </c>
      <c r="K337" s="639">
        <v>29764767653.7756</v>
      </c>
      <c r="L337" s="639">
        <v>30402767653.7756</v>
      </c>
      <c r="M337" s="639">
        <v>31040767653.7756</v>
      </c>
      <c r="N337" s="639">
        <v>31551167653.7756</v>
      </c>
      <c r="O337" s="639">
        <v>32125367653.7756</v>
      </c>
      <c r="P337" s="639">
        <v>32635767653.7756</v>
      </c>
      <c r="Q337" s="639">
        <v>32954767653.7756</v>
      </c>
      <c r="R337" s="639">
        <v>33273767653.7756</v>
      </c>
      <c r="S337" s="639">
        <v>33592767653.7756</v>
      </c>
      <c r="T337" s="813"/>
      <c r="V337" s="641">
        <f t="shared" si="177"/>
        <v>33592767653.7756</v>
      </c>
      <c r="W337" s="715">
        <f t="shared" ref="W337:W372" si="178">+V337/$V$256</f>
        <v>5.3973320464167692E-3</v>
      </c>
      <c r="X337" s="1016"/>
      <c r="Y337" s="675">
        <f t="shared" ref="Y337:Y353" si="179">+V337*(100%+$Y$16)</f>
        <v>40311321184.530716</v>
      </c>
      <c r="Z337" s="670"/>
      <c r="AA337" s="675">
        <f>+Y337*(100%+$AA$16)</f>
        <v>56435849658.343002</v>
      </c>
      <c r="AB337" s="670"/>
      <c r="AC337" s="675">
        <f>+AA337*(100%+$AC$16)</f>
        <v>84653774487.514496</v>
      </c>
      <c r="AD337" s="670"/>
      <c r="AE337" s="675">
        <f>+AC337*(100%+$AE$16)</f>
        <v>105817218109.39313</v>
      </c>
      <c r="AF337" s="670"/>
      <c r="AL337" s="489"/>
      <c r="AM337" s="489"/>
      <c r="AN337" s="489"/>
      <c r="AO337" s="489"/>
      <c r="AP337" s="489"/>
      <c r="AQ337" s="489"/>
      <c r="AR337" s="489"/>
      <c r="AS337" s="489"/>
    </row>
    <row r="338" spans="1:45" s="484" customFormat="1">
      <c r="A338" s="695" t="s">
        <v>1277</v>
      </c>
      <c r="B338" s="638">
        <v>20896385642</v>
      </c>
      <c r="C338" s="639"/>
      <c r="D338" s="639"/>
      <c r="E338" s="639">
        <v>968039452.08000004</v>
      </c>
      <c r="F338" s="703"/>
      <c r="G338" s="639">
        <v>1000931114.736578</v>
      </c>
      <c r="H338" s="639">
        <v>1000931114.736578</v>
      </c>
      <c r="I338" s="639">
        <v>1000931114.736578</v>
      </c>
      <c r="J338" s="639">
        <v>1000931114.736578</v>
      </c>
      <c r="K338" s="639">
        <v>1000931114.736578</v>
      </c>
      <c r="L338" s="639">
        <v>1000931114.736578</v>
      </c>
      <c r="M338" s="639">
        <v>1000931114.736578</v>
      </c>
      <c r="N338" s="639">
        <v>1000931114.736578</v>
      </c>
      <c r="O338" s="639">
        <v>1000931114.736578</v>
      </c>
      <c r="P338" s="639">
        <v>1000931114.736578</v>
      </c>
      <c r="Q338" s="639">
        <v>1000931114.736578</v>
      </c>
      <c r="R338" s="639">
        <v>1000931114.736578</v>
      </c>
      <c r="S338" s="639">
        <v>1000931114.736578</v>
      </c>
      <c r="T338" s="813"/>
      <c r="V338" s="641">
        <f t="shared" si="177"/>
        <v>1000931114.736578</v>
      </c>
      <c r="W338" s="715">
        <f t="shared" si="178"/>
        <v>1.6081906788695941E-4</v>
      </c>
      <c r="X338" s="1015"/>
      <c r="Y338" s="675">
        <f t="shared" si="179"/>
        <v>1201117337.6838934</v>
      </c>
      <c r="Z338" s="675"/>
      <c r="AA338" s="675">
        <f t="shared" ref="AA338:AA353" si="180">+Y338*(100%+$AA$16)</f>
        <v>1681564272.7574508</v>
      </c>
      <c r="AB338" s="675"/>
      <c r="AC338" s="675">
        <f t="shared" ref="AC338:AC353" si="181">+AA338*(100%+$AC$16)</f>
        <v>2522346409.1361761</v>
      </c>
      <c r="AD338" s="675"/>
      <c r="AE338" s="675">
        <f t="shared" ref="AE338:AE353" si="182">+AC338*(100%+$AE$16)</f>
        <v>3152933011.4202204</v>
      </c>
      <c r="AF338" s="675"/>
      <c r="AL338" s="489"/>
      <c r="AM338" s="489"/>
      <c r="AN338" s="489"/>
      <c r="AO338" s="489"/>
      <c r="AP338" s="489"/>
      <c r="AQ338" s="489"/>
      <c r="AR338" s="489"/>
      <c r="AS338" s="489"/>
    </row>
    <row r="339" spans="1:45" s="484" customFormat="1" ht="14.5">
      <c r="A339" s="695" t="s">
        <v>1278</v>
      </c>
      <c r="B339" s="647"/>
      <c r="C339" s="644"/>
      <c r="D339" s="644"/>
      <c r="E339" s="639">
        <v>0</v>
      </c>
      <c r="F339" s="705"/>
      <c r="G339" s="639">
        <v>0</v>
      </c>
      <c r="H339" s="639">
        <v>0</v>
      </c>
      <c r="I339" s="639">
        <v>0</v>
      </c>
      <c r="J339" s="639">
        <v>0</v>
      </c>
      <c r="K339" s="639">
        <v>0</v>
      </c>
      <c r="L339" s="639">
        <v>0</v>
      </c>
      <c r="M339" s="639">
        <v>0</v>
      </c>
      <c r="N339" s="639">
        <v>0</v>
      </c>
      <c r="O339" s="639">
        <v>0</v>
      </c>
      <c r="P339" s="639">
        <v>0</v>
      </c>
      <c r="Q339" s="639">
        <v>0</v>
      </c>
      <c r="R339" s="639">
        <v>0</v>
      </c>
      <c r="S339" s="639">
        <v>0</v>
      </c>
      <c r="T339" s="813"/>
      <c r="V339" s="641">
        <f t="shared" si="177"/>
        <v>0</v>
      </c>
      <c r="W339" s="715">
        <f t="shared" si="178"/>
        <v>0</v>
      </c>
      <c r="X339" s="1016"/>
      <c r="Y339" s="675">
        <f t="shared" si="179"/>
        <v>0</v>
      </c>
      <c r="Z339" s="670"/>
      <c r="AA339" s="675">
        <f t="shared" si="180"/>
        <v>0</v>
      </c>
      <c r="AB339" s="670"/>
      <c r="AC339" s="675">
        <f t="shared" si="181"/>
        <v>0</v>
      </c>
      <c r="AD339" s="670"/>
      <c r="AE339" s="675">
        <f t="shared" si="182"/>
        <v>0</v>
      </c>
      <c r="AF339" s="670"/>
      <c r="AL339" s="489"/>
      <c r="AM339" s="489"/>
      <c r="AN339" s="489"/>
      <c r="AO339" s="489"/>
      <c r="AP339" s="489"/>
      <c r="AQ339" s="489"/>
      <c r="AR339" s="489"/>
      <c r="AS339" s="489"/>
    </row>
    <row r="340" spans="1:45" s="484" customFormat="1">
      <c r="A340" s="695" t="s">
        <v>1279</v>
      </c>
      <c r="B340" s="638">
        <v>12712848871</v>
      </c>
      <c r="C340" s="639"/>
      <c r="D340" s="639"/>
      <c r="E340" s="639">
        <v>9873039547.6900005</v>
      </c>
      <c r="F340" s="703"/>
      <c r="G340" s="639">
        <v>38655292610.570381</v>
      </c>
      <c r="H340" s="639">
        <v>48225292610.570381</v>
      </c>
      <c r="I340" s="639">
        <v>57795292610.570381</v>
      </c>
      <c r="J340" s="639">
        <v>67365292610.570381</v>
      </c>
      <c r="K340" s="639">
        <v>76935292610.570374</v>
      </c>
      <c r="L340" s="639">
        <v>86505292610.570374</v>
      </c>
      <c r="M340" s="639">
        <v>96075292610.570374</v>
      </c>
      <c r="N340" s="639">
        <v>103731292610.57037</v>
      </c>
      <c r="O340" s="639">
        <v>112344292610.57037</v>
      </c>
      <c r="P340" s="639">
        <v>120000292610.57037</v>
      </c>
      <c r="Q340" s="639">
        <v>124785292610.57037</v>
      </c>
      <c r="R340" s="639">
        <v>129570292610.57037</v>
      </c>
      <c r="S340" s="639">
        <v>134355292610.57037</v>
      </c>
      <c r="T340" s="813"/>
      <c r="V340" s="641">
        <f t="shared" si="177"/>
        <v>134355292610.57037</v>
      </c>
      <c r="W340" s="715">
        <f t="shared" si="178"/>
        <v>2.1586793142101539E-2</v>
      </c>
      <c r="X340" s="1015"/>
      <c r="Y340" s="675">
        <f t="shared" si="179"/>
        <v>161226351132.68445</v>
      </c>
      <c r="Z340" s="675"/>
      <c r="AA340" s="675">
        <f t="shared" si="180"/>
        <v>225716891585.75821</v>
      </c>
      <c r="AB340" s="675"/>
      <c r="AC340" s="675">
        <f t="shared" si="181"/>
        <v>338575337378.63733</v>
      </c>
      <c r="AD340" s="675"/>
      <c r="AE340" s="675">
        <f t="shared" si="182"/>
        <v>423219171723.29663</v>
      </c>
      <c r="AF340" s="675"/>
      <c r="AL340" s="489"/>
      <c r="AM340" s="489"/>
      <c r="AN340" s="489"/>
      <c r="AO340" s="489"/>
      <c r="AP340" s="489"/>
      <c r="AQ340" s="489"/>
      <c r="AR340" s="489"/>
      <c r="AS340" s="489"/>
    </row>
    <row r="341" spans="1:45" s="484" customFormat="1" ht="14.5">
      <c r="A341" s="695" t="s">
        <v>1280</v>
      </c>
      <c r="B341" s="647"/>
      <c r="C341" s="644"/>
      <c r="D341" s="644"/>
      <c r="E341" s="639">
        <v>9153031316.9400005</v>
      </c>
      <c r="F341" s="705"/>
      <c r="G341" s="639">
        <v>13582226474.52877</v>
      </c>
      <c r="H341" s="639">
        <v>19962226474.52877</v>
      </c>
      <c r="I341" s="639">
        <v>26342226474.52877</v>
      </c>
      <c r="J341" s="639">
        <v>32722226474.52877</v>
      </c>
      <c r="K341" s="639">
        <v>39102226474.52877</v>
      </c>
      <c r="L341" s="639">
        <v>45482226474.52877</v>
      </c>
      <c r="M341" s="639">
        <v>51862226474.52877</v>
      </c>
      <c r="N341" s="639">
        <v>56966226474.52877</v>
      </c>
      <c r="O341" s="639">
        <v>62708226474.52877</v>
      </c>
      <c r="P341" s="639">
        <v>67812226474.52877</v>
      </c>
      <c r="Q341" s="639">
        <v>71002226474.528778</v>
      </c>
      <c r="R341" s="639">
        <v>74192226474.528778</v>
      </c>
      <c r="S341" s="639">
        <v>77382226474.528778</v>
      </c>
      <c r="T341" s="813"/>
      <c r="V341" s="641">
        <f t="shared" si="177"/>
        <v>77382226474.528778</v>
      </c>
      <c r="W341" s="715">
        <f t="shared" si="178"/>
        <v>1.2432961019426822E-2</v>
      </c>
      <c r="X341" s="1016"/>
      <c r="Y341" s="675">
        <f t="shared" si="179"/>
        <v>92858671769.434525</v>
      </c>
      <c r="Z341" s="670"/>
      <c r="AA341" s="675">
        <f t="shared" si="180"/>
        <v>130002140477.20833</v>
      </c>
      <c r="AB341" s="670"/>
      <c r="AC341" s="675">
        <f t="shared" si="181"/>
        <v>195003210715.8125</v>
      </c>
      <c r="AD341" s="670"/>
      <c r="AE341" s="675">
        <f t="shared" si="182"/>
        <v>243754013394.76562</v>
      </c>
      <c r="AF341" s="670"/>
      <c r="AL341" s="489"/>
      <c r="AM341" s="489"/>
      <c r="AN341" s="489"/>
      <c r="AO341" s="489"/>
      <c r="AP341" s="489"/>
      <c r="AQ341" s="489"/>
      <c r="AR341" s="489"/>
      <c r="AS341" s="489"/>
    </row>
    <row r="342" spans="1:45" s="484" customFormat="1">
      <c r="A342" s="695" t="s">
        <v>1281</v>
      </c>
      <c r="B342" s="638">
        <v>5637570085</v>
      </c>
      <c r="C342" s="639"/>
      <c r="D342" s="639"/>
      <c r="E342" s="639">
        <v>896788637.15999997</v>
      </c>
      <c r="F342" s="703"/>
      <c r="G342" s="639">
        <v>895254206.91559601</v>
      </c>
      <c r="H342" s="639">
        <v>1533254206.915596</v>
      </c>
      <c r="I342" s="639">
        <v>2171254206.915596</v>
      </c>
      <c r="J342" s="639">
        <v>2809254206.915596</v>
      </c>
      <c r="K342" s="639">
        <v>3447254206.915596</v>
      </c>
      <c r="L342" s="639">
        <v>4085254206.915596</v>
      </c>
      <c r="M342" s="639">
        <v>4723254206.915596</v>
      </c>
      <c r="N342" s="639">
        <v>5233654206.915596</v>
      </c>
      <c r="O342" s="639">
        <v>5807854206.915596</v>
      </c>
      <c r="P342" s="639">
        <v>6318254206.915596</v>
      </c>
      <c r="Q342" s="639">
        <v>6637254206.915596</v>
      </c>
      <c r="R342" s="639">
        <v>6956254206.915596</v>
      </c>
      <c r="S342" s="639">
        <v>7275254206.915596</v>
      </c>
      <c r="T342" s="813"/>
      <c r="V342" s="641">
        <f t="shared" si="177"/>
        <v>7275254206.915596</v>
      </c>
      <c r="W342" s="715">
        <f t="shared" si="178"/>
        <v>1.1689112097437026E-3</v>
      </c>
      <c r="X342" s="1015"/>
      <c r="Y342" s="675">
        <f t="shared" si="179"/>
        <v>8730305048.2987156</v>
      </c>
      <c r="Z342" s="675"/>
      <c r="AA342" s="675">
        <f t="shared" si="180"/>
        <v>12222427067.6182</v>
      </c>
      <c r="AB342" s="675"/>
      <c r="AC342" s="675">
        <f t="shared" si="181"/>
        <v>18333640601.427299</v>
      </c>
      <c r="AD342" s="675"/>
      <c r="AE342" s="675">
        <f t="shared" si="182"/>
        <v>22917050751.784126</v>
      </c>
      <c r="AF342" s="675"/>
      <c r="AL342" s="489"/>
      <c r="AM342" s="489"/>
      <c r="AN342" s="489"/>
      <c r="AO342" s="489"/>
      <c r="AP342" s="489"/>
      <c r="AQ342" s="489"/>
      <c r="AR342" s="489"/>
      <c r="AS342" s="489"/>
    </row>
    <row r="343" spans="1:45" s="484" customFormat="1" ht="14.5">
      <c r="A343" s="695" t="s">
        <v>1282</v>
      </c>
      <c r="B343" s="647"/>
      <c r="C343" s="644"/>
      <c r="D343" s="644"/>
      <c r="E343" s="639">
        <v>0</v>
      </c>
      <c r="F343" s="705"/>
      <c r="G343" s="639">
        <v>10000000000</v>
      </c>
      <c r="H343" s="639">
        <v>10000000000</v>
      </c>
      <c r="I343" s="639">
        <v>10000000000</v>
      </c>
      <c r="J343" s="639">
        <v>10000000000</v>
      </c>
      <c r="K343" s="639">
        <v>10000000000</v>
      </c>
      <c r="L343" s="639">
        <v>10000000000</v>
      </c>
      <c r="M343" s="639">
        <v>10000000000</v>
      </c>
      <c r="N343" s="639">
        <v>10000000000</v>
      </c>
      <c r="O343" s="639">
        <v>10000000000</v>
      </c>
      <c r="P343" s="639">
        <v>10000000000</v>
      </c>
      <c r="Q343" s="639">
        <v>10000000000</v>
      </c>
      <c r="R343" s="639">
        <v>10000000000</v>
      </c>
      <c r="S343" s="639">
        <v>10000000000</v>
      </c>
      <c r="T343" s="813"/>
      <c r="V343" s="641">
        <f t="shared" si="177"/>
        <v>10000000000</v>
      </c>
      <c r="W343" s="715">
        <f t="shared" si="178"/>
        <v>1.6066946617928175E-3</v>
      </c>
      <c r="X343" s="1016"/>
      <c r="Y343" s="675">
        <f t="shared" si="179"/>
        <v>12000000000</v>
      </c>
      <c r="Z343" s="670"/>
      <c r="AA343" s="675">
        <f t="shared" si="180"/>
        <v>16799999999.999998</v>
      </c>
      <c r="AB343" s="670"/>
      <c r="AC343" s="675">
        <f t="shared" si="181"/>
        <v>25199999999.999996</v>
      </c>
      <c r="AD343" s="670"/>
      <c r="AE343" s="675">
        <f t="shared" si="182"/>
        <v>31499999999.999996</v>
      </c>
      <c r="AF343" s="670"/>
      <c r="AL343" s="489"/>
      <c r="AM343" s="489"/>
      <c r="AN343" s="489"/>
      <c r="AO343" s="489"/>
      <c r="AP343" s="489"/>
      <c r="AQ343" s="489"/>
      <c r="AR343" s="489"/>
      <c r="AS343" s="489"/>
    </row>
    <row r="344" spans="1:45" s="484" customFormat="1">
      <c r="A344" s="695" t="s">
        <v>1283</v>
      </c>
      <c r="B344" s="638">
        <v>12566671540</v>
      </c>
      <c r="C344" s="639"/>
      <c r="D344" s="639"/>
      <c r="E344" s="639">
        <v>0</v>
      </c>
      <c r="F344" s="703"/>
      <c r="G344" s="639">
        <v>0</v>
      </c>
      <c r="H344" s="639">
        <v>0</v>
      </c>
      <c r="I344" s="639">
        <v>0</v>
      </c>
      <c r="J344" s="639">
        <v>0</v>
      </c>
      <c r="K344" s="639">
        <v>0</v>
      </c>
      <c r="L344" s="639">
        <v>0</v>
      </c>
      <c r="M344" s="639">
        <v>0</v>
      </c>
      <c r="N344" s="639">
        <v>0</v>
      </c>
      <c r="O344" s="639">
        <v>0</v>
      </c>
      <c r="P344" s="639">
        <v>0</v>
      </c>
      <c r="Q344" s="639">
        <v>0</v>
      </c>
      <c r="R344" s="639">
        <v>0</v>
      </c>
      <c r="S344" s="639">
        <v>0</v>
      </c>
      <c r="T344" s="813"/>
      <c r="V344" s="641">
        <f t="shared" si="177"/>
        <v>0</v>
      </c>
      <c r="W344" s="715">
        <f t="shared" si="178"/>
        <v>0</v>
      </c>
      <c r="X344" s="1015"/>
      <c r="Y344" s="675">
        <f t="shared" si="179"/>
        <v>0</v>
      </c>
      <c r="Z344" s="675"/>
      <c r="AA344" s="675">
        <f t="shared" si="180"/>
        <v>0</v>
      </c>
      <c r="AB344" s="675"/>
      <c r="AC344" s="675">
        <f t="shared" si="181"/>
        <v>0</v>
      </c>
      <c r="AD344" s="675"/>
      <c r="AE344" s="675">
        <f t="shared" si="182"/>
        <v>0</v>
      </c>
      <c r="AF344" s="675"/>
      <c r="AL344" s="489"/>
      <c r="AM344" s="489"/>
      <c r="AN344" s="489"/>
      <c r="AO344" s="489"/>
      <c r="AP344" s="489"/>
      <c r="AQ344" s="489"/>
      <c r="AR344" s="489"/>
      <c r="AS344" s="489"/>
    </row>
    <row r="345" spans="1:45" s="484" customFormat="1" ht="14.5">
      <c r="A345" s="695" t="s">
        <v>1284</v>
      </c>
      <c r="B345" s="647"/>
      <c r="C345" s="644"/>
      <c r="D345" s="644"/>
      <c r="E345" s="639">
        <v>3187909340.4200001</v>
      </c>
      <c r="F345" s="705"/>
      <c r="G345" s="639">
        <v>10672600985.010584</v>
      </c>
      <c r="H345" s="639">
        <v>17052600985.010584</v>
      </c>
      <c r="I345" s="639">
        <v>23432600985.010582</v>
      </c>
      <c r="J345" s="639">
        <v>29812600985.010582</v>
      </c>
      <c r="K345" s="639">
        <v>36192600985.010582</v>
      </c>
      <c r="L345" s="639">
        <v>42572600985.010582</v>
      </c>
      <c r="M345" s="639">
        <v>48952600985.010582</v>
      </c>
      <c r="N345" s="639">
        <v>54056600985.010582</v>
      </c>
      <c r="O345" s="639">
        <v>59798600985.010582</v>
      </c>
      <c r="P345" s="639">
        <v>64902600985.010582</v>
      </c>
      <c r="Q345" s="639">
        <v>68092600985.010582</v>
      </c>
      <c r="R345" s="639">
        <v>71282600985.01059</v>
      </c>
      <c r="S345" s="639">
        <v>74472600985.01059</v>
      </c>
      <c r="T345" s="813"/>
      <c r="V345" s="641">
        <f t="shared" si="177"/>
        <v>74472600985.01059</v>
      </c>
      <c r="W345" s="715">
        <f t="shared" si="178"/>
        <v>1.1965473045244304E-2</v>
      </c>
      <c r="X345" s="1016"/>
      <c r="Y345" s="675">
        <f t="shared" si="179"/>
        <v>89367121182.012711</v>
      </c>
      <c r="Z345" s="670"/>
      <c r="AA345" s="675">
        <f t="shared" si="180"/>
        <v>125113969654.81778</v>
      </c>
      <c r="AB345" s="670"/>
      <c r="AC345" s="675">
        <f t="shared" si="181"/>
        <v>187670954482.22668</v>
      </c>
      <c r="AD345" s="670"/>
      <c r="AE345" s="675">
        <f t="shared" si="182"/>
        <v>234588693102.78336</v>
      </c>
      <c r="AF345" s="670"/>
      <c r="AL345" s="489"/>
      <c r="AM345" s="489"/>
      <c r="AN345" s="489"/>
      <c r="AO345" s="489"/>
      <c r="AP345" s="489"/>
      <c r="AQ345" s="489"/>
      <c r="AR345" s="489"/>
      <c r="AS345" s="489"/>
    </row>
    <row r="346" spans="1:45" s="484" customFormat="1">
      <c r="A346" s="695" t="s">
        <v>1285</v>
      </c>
      <c r="B346" s="638">
        <v>3756181378.5600004</v>
      </c>
      <c r="C346" s="639"/>
      <c r="D346" s="639"/>
      <c r="E346" s="639">
        <v>34381911468.010002</v>
      </c>
      <c r="F346" s="703"/>
      <c r="G346" s="639">
        <v>51481163500.952568</v>
      </c>
      <c r="H346" s="639">
        <v>57861163500.952568</v>
      </c>
      <c r="I346" s="639">
        <v>64241163500.952568</v>
      </c>
      <c r="J346" s="639">
        <v>70621163500.952576</v>
      </c>
      <c r="K346" s="639">
        <v>77001163500.952576</v>
      </c>
      <c r="L346" s="639">
        <v>83381163500.952576</v>
      </c>
      <c r="M346" s="639">
        <v>89761163500.952576</v>
      </c>
      <c r="N346" s="639">
        <v>94865163500.952576</v>
      </c>
      <c r="O346" s="639">
        <v>100607163500.95258</v>
      </c>
      <c r="P346" s="639">
        <v>105711163500.95258</v>
      </c>
      <c r="Q346" s="639">
        <v>108901163500.95258</v>
      </c>
      <c r="R346" s="639">
        <v>112091163500.95258</v>
      </c>
      <c r="S346" s="639">
        <v>115281163500.95258</v>
      </c>
      <c r="T346" s="813"/>
      <c r="V346" s="641">
        <f t="shared" si="177"/>
        <v>115281163500.95258</v>
      </c>
      <c r="W346" s="715">
        <f t="shared" si="178"/>
        <v>1.8522163000224551E-2</v>
      </c>
      <c r="X346" s="1015"/>
      <c r="Y346" s="675">
        <f t="shared" si="179"/>
        <v>138337396201.1431</v>
      </c>
      <c r="Z346" s="675"/>
      <c r="AA346" s="675">
        <f t="shared" si="180"/>
        <v>193672354681.60031</v>
      </c>
      <c r="AB346" s="675"/>
      <c r="AC346" s="675">
        <f t="shared" si="181"/>
        <v>290508532022.40045</v>
      </c>
      <c r="AD346" s="675"/>
      <c r="AE346" s="675">
        <f t="shared" si="182"/>
        <v>363135665028.00055</v>
      </c>
      <c r="AF346" s="675"/>
      <c r="AL346" s="489"/>
      <c r="AM346" s="489"/>
      <c r="AN346" s="489"/>
      <c r="AO346" s="489"/>
      <c r="AP346" s="489"/>
      <c r="AQ346" s="489"/>
      <c r="AR346" s="489"/>
      <c r="AS346" s="489"/>
    </row>
    <row r="347" spans="1:45" s="484" customFormat="1" ht="14.5">
      <c r="A347" s="695" t="s">
        <v>1286</v>
      </c>
      <c r="B347" s="647"/>
      <c r="C347" s="644"/>
      <c r="D347" s="644"/>
      <c r="E347" s="639">
        <v>2834741395.4899998</v>
      </c>
      <c r="F347" s="705"/>
      <c r="G347" s="639">
        <v>2773054065.23944</v>
      </c>
      <c r="H347" s="639">
        <v>2773054065.23944</v>
      </c>
      <c r="I347" s="639">
        <v>2773054065.23944</v>
      </c>
      <c r="J347" s="639">
        <v>2773054065.23944</v>
      </c>
      <c r="K347" s="639">
        <v>2773054065.23944</v>
      </c>
      <c r="L347" s="639">
        <v>2773054065.23944</v>
      </c>
      <c r="M347" s="639">
        <v>2773054065.23944</v>
      </c>
      <c r="N347" s="639">
        <v>2773054065.23944</v>
      </c>
      <c r="O347" s="639">
        <v>2773054065.23944</v>
      </c>
      <c r="P347" s="639">
        <v>2773054065.23944</v>
      </c>
      <c r="Q347" s="639">
        <v>2773054065.23944</v>
      </c>
      <c r="R347" s="639">
        <v>2773054065.23944</v>
      </c>
      <c r="S347" s="639">
        <v>2773054065.23944</v>
      </c>
      <c r="T347" s="813"/>
      <c r="V347" s="641">
        <f t="shared" si="177"/>
        <v>2773054065.23944</v>
      </c>
      <c r="W347" s="715">
        <f t="shared" si="178"/>
        <v>4.4554511634830799E-4</v>
      </c>
      <c r="X347" s="1016"/>
      <c r="Y347" s="675">
        <f t="shared" si="179"/>
        <v>3327664878.2873278</v>
      </c>
      <c r="Z347" s="670"/>
      <c r="AA347" s="675">
        <f t="shared" si="180"/>
        <v>4658730829.6022587</v>
      </c>
      <c r="AB347" s="670"/>
      <c r="AC347" s="675">
        <f t="shared" si="181"/>
        <v>6988096244.403388</v>
      </c>
      <c r="AD347" s="670"/>
      <c r="AE347" s="675">
        <f t="shared" si="182"/>
        <v>8735120305.5042343</v>
      </c>
      <c r="AF347" s="670"/>
      <c r="AL347" s="489"/>
      <c r="AM347" s="489"/>
      <c r="AN347" s="489"/>
      <c r="AO347" s="489"/>
      <c r="AP347" s="489"/>
      <c r="AQ347" s="489"/>
      <c r="AR347" s="489"/>
      <c r="AS347" s="489"/>
    </row>
    <row r="348" spans="1:45" s="484" customFormat="1">
      <c r="A348" s="695" t="s">
        <v>1287</v>
      </c>
      <c r="B348" s="638">
        <v>0</v>
      </c>
      <c r="C348" s="639"/>
      <c r="D348" s="639"/>
      <c r="E348" s="639">
        <v>0</v>
      </c>
      <c r="F348" s="703"/>
      <c r="G348" s="639">
        <v>0</v>
      </c>
      <c r="H348" s="639">
        <v>0</v>
      </c>
      <c r="I348" s="639">
        <v>0</v>
      </c>
      <c r="J348" s="639">
        <v>0</v>
      </c>
      <c r="K348" s="639">
        <v>0</v>
      </c>
      <c r="L348" s="639">
        <v>0</v>
      </c>
      <c r="M348" s="639">
        <v>0</v>
      </c>
      <c r="N348" s="639">
        <v>0</v>
      </c>
      <c r="O348" s="639">
        <v>0</v>
      </c>
      <c r="P348" s="639">
        <v>0</v>
      </c>
      <c r="Q348" s="639">
        <v>0</v>
      </c>
      <c r="R348" s="639">
        <v>0</v>
      </c>
      <c r="S348" s="639">
        <v>0</v>
      </c>
      <c r="T348" s="813"/>
      <c r="V348" s="641">
        <f t="shared" si="177"/>
        <v>0</v>
      </c>
      <c r="W348" s="715">
        <f t="shared" si="178"/>
        <v>0</v>
      </c>
      <c r="X348" s="1015"/>
      <c r="Y348" s="675">
        <f t="shared" si="179"/>
        <v>0</v>
      </c>
      <c r="Z348" s="675"/>
      <c r="AA348" s="675">
        <f t="shared" si="180"/>
        <v>0</v>
      </c>
      <c r="AB348" s="675"/>
      <c r="AC348" s="675">
        <f t="shared" si="181"/>
        <v>0</v>
      </c>
      <c r="AD348" s="675"/>
      <c r="AE348" s="675">
        <f t="shared" si="182"/>
        <v>0</v>
      </c>
      <c r="AF348" s="675"/>
      <c r="AL348" s="489"/>
      <c r="AM348" s="489"/>
      <c r="AN348" s="489"/>
      <c r="AO348" s="489"/>
      <c r="AP348" s="489"/>
      <c r="AQ348" s="489"/>
      <c r="AR348" s="489"/>
      <c r="AS348" s="489"/>
    </row>
    <row r="349" spans="1:45" s="484" customFormat="1" ht="14.5">
      <c r="A349" s="695" t="s">
        <v>1288</v>
      </c>
      <c r="B349" s="647"/>
      <c r="C349" s="644"/>
      <c r="D349" s="644"/>
      <c r="E349" s="639">
        <v>0</v>
      </c>
      <c r="F349" s="705"/>
      <c r="G349" s="639">
        <v>0</v>
      </c>
      <c r="H349" s="639">
        <v>0</v>
      </c>
      <c r="I349" s="639">
        <v>0</v>
      </c>
      <c r="J349" s="639">
        <v>0</v>
      </c>
      <c r="K349" s="639">
        <v>0</v>
      </c>
      <c r="L349" s="639">
        <v>0</v>
      </c>
      <c r="M349" s="639">
        <v>0</v>
      </c>
      <c r="N349" s="639">
        <v>0</v>
      </c>
      <c r="O349" s="639">
        <v>0</v>
      </c>
      <c r="P349" s="639">
        <v>0</v>
      </c>
      <c r="Q349" s="639">
        <v>0</v>
      </c>
      <c r="R349" s="639">
        <v>0</v>
      </c>
      <c r="S349" s="639">
        <v>0</v>
      </c>
      <c r="T349" s="813"/>
      <c r="V349" s="641">
        <f t="shared" si="177"/>
        <v>0</v>
      </c>
      <c r="W349" s="715">
        <f t="shared" si="178"/>
        <v>0</v>
      </c>
      <c r="X349" s="1016"/>
      <c r="Y349" s="675">
        <f t="shared" si="179"/>
        <v>0</v>
      </c>
      <c r="Z349" s="670"/>
      <c r="AA349" s="675">
        <f t="shared" si="180"/>
        <v>0</v>
      </c>
      <c r="AB349" s="670"/>
      <c r="AC349" s="675">
        <f t="shared" si="181"/>
        <v>0</v>
      </c>
      <c r="AD349" s="670"/>
      <c r="AE349" s="675">
        <f t="shared" si="182"/>
        <v>0</v>
      </c>
      <c r="AF349" s="670"/>
      <c r="AL349" s="489"/>
      <c r="AM349" s="489"/>
      <c r="AN349" s="489"/>
      <c r="AO349" s="489"/>
      <c r="AP349" s="489"/>
      <c r="AQ349" s="489"/>
      <c r="AR349" s="489"/>
      <c r="AS349" s="489"/>
    </row>
    <row r="350" spans="1:45" s="484" customFormat="1">
      <c r="A350" s="695" t="s">
        <v>1289</v>
      </c>
      <c r="B350" s="647">
        <v>111809990517</v>
      </c>
      <c r="C350" s="648"/>
      <c r="D350" s="648"/>
      <c r="E350" s="639">
        <v>26855229727.759998</v>
      </c>
      <c r="F350" s="706"/>
      <c r="G350" s="639">
        <v>54326547922.053001</v>
      </c>
      <c r="H350" s="639">
        <v>60706547922.053001</v>
      </c>
      <c r="I350" s="639">
        <v>67086547922.053001</v>
      </c>
      <c r="J350" s="639">
        <v>73466547922.053009</v>
      </c>
      <c r="K350" s="639">
        <v>79846547922.053009</v>
      </c>
      <c r="L350" s="639">
        <v>86226547922.053009</v>
      </c>
      <c r="M350" s="639">
        <v>92606547922.053009</v>
      </c>
      <c r="N350" s="639">
        <v>97710547922.053009</v>
      </c>
      <c r="O350" s="639">
        <v>103452547922.05301</v>
      </c>
      <c r="P350" s="639">
        <v>108556547922.05301</v>
      </c>
      <c r="Q350" s="639">
        <v>111746547922.05301</v>
      </c>
      <c r="R350" s="639">
        <v>114936547922.05301</v>
      </c>
      <c r="S350" s="639">
        <v>118126547922.05301</v>
      </c>
      <c r="T350" s="813"/>
      <c r="V350" s="641">
        <f t="shared" si="177"/>
        <v>118126547922.05301</v>
      </c>
      <c r="W350" s="715">
        <f t="shared" si="178"/>
        <v>1.8979329396237601E-2</v>
      </c>
      <c r="X350" s="1015"/>
      <c r="Y350" s="675">
        <f t="shared" si="179"/>
        <v>141751857506.46359</v>
      </c>
      <c r="Z350" s="675"/>
      <c r="AA350" s="675">
        <f t="shared" si="180"/>
        <v>198452600509.04901</v>
      </c>
      <c r="AB350" s="675"/>
      <c r="AC350" s="675">
        <f t="shared" si="181"/>
        <v>297678900763.57349</v>
      </c>
      <c r="AD350" s="675"/>
      <c r="AE350" s="675">
        <f t="shared" si="182"/>
        <v>372098625954.46686</v>
      </c>
      <c r="AF350" s="675"/>
      <c r="AL350" s="489"/>
      <c r="AM350" s="489"/>
      <c r="AN350" s="489"/>
      <c r="AO350" s="489"/>
      <c r="AP350" s="489"/>
      <c r="AQ350" s="489"/>
      <c r="AR350" s="489"/>
      <c r="AS350" s="489"/>
    </row>
    <row r="351" spans="1:45" s="484" customFormat="1" ht="14.5">
      <c r="A351" s="695" t="s">
        <v>1290</v>
      </c>
      <c r="B351" s="647"/>
      <c r="C351" s="644"/>
      <c r="D351" s="644"/>
      <c r="E351" s="639">
        <v>0</v>
      </c>
      <c r="F351" s="705"/>
      <c r="G351" s="639">
        <v>0</v>
      </c>
      <c r="H351" s="639">
        <v>0</v>
      </c>
      <c r="I351" s="639">
        <v>0</v>
      </c>
      <c r="J351" s="639">
        <v>0</v>
      </c>
      <c r="K351" s="639">
        <v>0</v>
      </c>
      <c r="L351" s="639">
        <v>0</v>
      </c>
      <c r="M351" s="639">
        <v>0</v>
      </c>
      <c r="N351" s="639">
        <v>0</v>
      </c>
      <c r="O351" s="639">
        <v>0</v>
      </c>
      <c r="P351" s="639">
        <v>0</v>
      </c>
      <c r="Q351" s="639">
        <v>0</v>
      </c>
      <c r="R351" s="639">
        <v>0</v>
      </c>
      <c r="S351" s="639">
        <v>0</v>
      </c>
      <c r="T351" s="813"/>
      <c r="V351" s="641">
        <f t="shared" si="177"/>
        <v>0</v>
      </c>
      <c r="W351" s="715">
        <f t="shared" si="178"/>
        <v>0</v>
      </c>
      <c r="X351" s="1016"/>
      <c r="Y351" s="675">
        <f t="shared" si="179"/>
        <v>0</v>
      </c>
      <c r="AA351" s="675">
        <f t="shared" si="180"/>
        <v>0</v>
      </c>
      <c r="AC351" s="675">
        <f t="shared" si="181"/>
        <v>0</v>
      </c>
      <c r="AE351" s="675">
        <f t="shared" si="182"/>
        <v>0</v>
      </c>
      <c r="AF351" s="528"/>
      <c r="AL351" s="489"/>
      <c r="AM351" s="489"/>
      <c r="AN351" s="489"/>
      <c r="AO351" s="489"/>
      <c r="AP351" s="489"/>
      <c r="AQ351" s="489"/>
      <c r="AR351" s="489"/>
      <c r="AS351" s="489"/>
    </row>
    <row r="352" spans="1:45" s="484" customFormat="1" ht="14.5">
      <c r="A352" s="695" t="s">
        <v>1291</v>
      </c>
      <c r="B352" s="647"/>
      <c r="C352" s="644"/>
      <c r="D352" s="644"/>
      <c r="E352" s="639">
        <v>0</v>
      </c>
      <c r="F352" s="705"/>
      <c r="G352" s="639">
        <v>0</v>
      </c>
      <c r="H352" s="639">
        <v>0</v>
      </c>
      <c r="I352" s="639">
        <v>0</v>
      </c>
      <c r="J352" s="639">
        <v>0</v>
      </c>
      <c r="K352" s="639">
        <v>0</v>
      </c>
      <c r="L352" s="639">
        <v>0</v>
      </c>
      <c r="M352" s="639">
        <v>0</v>
      </c>
      <c r="N352" s="639">
        <v>0</v>
      </c>
      <c r="O352" s="639">
        <v>0</v>
      </c>
      <c r="P352" s="639">
        <v>0</v>
      </c>
      <c r="Q352" s="639">
        <v>0</v>
      </c>
      <c r="R352" s="639">
        <v>0</v>
      </c>
      <c r="S352" s="639">
        <v>0</v>
      </c>
      <c r="T352" s="813"/>
      <c r="V352" s="641">
        <f t="shared" si="177"/>
        <v>0</v>
      </c>
      <c r="W352" s="715">
        <f t="shared" si="178"/>
        <v>0</v>
      </c>
      <c r="X352" s="1016"/>
      <c r="Y352" s="675">
        <f t="shared" si="179"/>
        <v>0</v>
      </c>
      <c r="Z352" s="675"/>
      <c r="AA352" s="675">
        <f t="shared" si="180"/>
        <v>0</v>
      </c>
      <c r="AB352" s="675"/>
      <c r="AC352" s="675">
        <f t="shared" si="181"/>
        <v>0</v>
      </c>
      <c r="AD352" s="675"/>
      <c r="AE352" s="675">
        <f t="shared" si="182"/>
        <v>0</v>
      </c>
      <c r="AL352" s="489"/>
      <c r="AM352" s="489"/>
      <c r="AN352" s="489"/>
      <c r="AO352" s="489"/>
      <c r="AP352" s="489"/>
      <c r="AQ352" s="489"/>
      <c r="AR352" s="489"/>
      <c r="AS352" s="489"/>
    </row>
    <row r="353" spans="1:45" s="484" customFormat="1" ht="14.5">
      <c r="A353" s="695" t="s">
        <v>1292</v>
      </c>
      <c r="B353" s="647"/>
      <c r="C353" s="644"/>
      <c r="D353" s="644"/>
      <c r="E353" s="639">
        <v>0</v>
      </c>
      <c r="F353" s="705"/>
      <c r="G353" s="639">
        <v>0</v>
      </c>
      <c r="H353" s="639">
        <v>0</v>
      </c>
      <c r="I353" s="639">
        <v>0</v>
      </c>
      <c r="J353" s="639">
        <v>0</v>
      </c>
      <c r="K353" s="639">
        <v>0</v>
      </c>
      <c r="L353" s="639">
        <v>0</v>
      </c>
      <c r="M353" s="639">
        <v>0</v>
      </c>
      <c r="N353" s="639">
        <v>0</v>
      </c>
      <c r="O353" s="639">
        <v>0</v>
      </c>
      <c r="P353" s="639">
        <v>0</v>
      </c>
      <c r="Q353" s="639">
        <v>0</v>
      </c>
      <c r="R353" s="639">
        <v>0</v>
      </c>
      <c r="S353" s="639">
        <v>0</v>
      </c>
      <c r="T353" s="813"/>
      <c r="V353" s="641">
        <f t="shared" si="177"/>
        <v>0</v>
      </c>
      <c r="W353" s="715">
        <f t="shared" si="178"/>
        <v>0</v>
      </c>
      <c r="X353" s="1016"/>
      <c r="Y353" s="675">
        <f t="shared" si="179"/>
        <v>0</v>
      </c>
      <c r="AA353" s="675">
        <f t="shared" si="180"/>
        <v>0</v>
      </c>
      <c r="AC353" s="675">
        <f t="shared" si="181"/>
        <v>0</v>
      </c>
      <c r="AE353" s="675">
        <f t="shared" si="182"/>
        <v>0</v>
      </c>
      <c r="AL353" s="489"/>
      <c r="AM353" s="489"/>
      <c r="AN353" s="489"/>
      <c r="AO353" s="489"/>
      <c r="AP353" s="489"/>
      <c r="AQ353" s="489"/>
      <c r="AR353" s="489"/>
      <c r="AS353" s="489"/>
    </row>
    <row r="354" spans="1:45" s="484" customFormat="1" ht="14.5">
      <c r="A354" s="695" t="s">
        <v>1293</v>
      </c>
      <c r="B354" s="647"/>
      <c r="C354" s="644"/>
      <c r="D354" s="644"/>
      <c r="E354" s="639">
        <v>0</v>
      </c>
      <c r="F354" s="705"/>
      <c r="G354" s="639">
        <v>0</v>
      </c>
      <c r="H354" s="639">
        <v>0</v>
      </c>
      <c r="I354" s="639">
        <v>0</v>
      </c>
      <c r="J354" s="639">
        <v>0</v>
      </c>
      <c r="K354" s="639">
        <v>0</v>
      </c>
      <c r="L354" s="639">
        <v>0</v>
      </c>
      <c r="M354" s="639">
        <v>0</v>
      </c>
      <c r="N354" s="639">
        <v>0</v>
      </c>
      <c r="O354" s="639">
        <v>0</v>
      </c>
      <c r="P354" s="639">
        <v>0</v>
      </c>
      <c r="Q354" s="639">
        <v>0</v>
      </c>
      <c r="R354" s="639">
        <v>0</v>
      </c>
      <c r="S354" s="639">
        <v>0</v>
      </c>
      <c r="T354" s="813"/>
      <c r="V354" s="641">
        <f t="shared" si="177"/>
        <v>0</v>
      </c>
      <c r="W354" s="715">
        <f t="shared" si="178"/>
        <v>0</v>
      </c>
      <c r="X354" s="1016"/>
      <c r="Y354" s="675"/>
      <c r="AA354" s="675"/>
      <c r="AC354" s="675"/>
      <c r="AE354" s="675"/>
      <c r="AL354" s="489"/>
      <c r="AM354" s="489"/>
      <c r="AN354" s="489"/>
      <c r="AO354" s="489"/>
      <c r="AP354" s="489"/>
      <c r="AQ354" s="489"/>
      <c r="AR354" s="489"/>
      <c r="AS354" s="489"/>
    </row>
    <row r="355" spans="1:45" s="484" customFormat="1" ht="14.5">
      <c r="A355" s="695" t="s">
        <v>1294</v>
      </c>
      <c r="B355" s="647"/>
      <c r="C355" s="644"/>
      <c r="D355" s="644"/>
      <c r="E355" s="639">
        <v>47175224769.779999</v>
      </c>
      <c r="F355" s="705"/>
      <c r="G355" s="639">
        <v>61074657072.496597</v>
      </c>
      <c r="H355" s="639">
        <v>70644657072.496597</v>
      </c>
      <c r="I355" s="639">
        <v>80214657072.496597</v>
      </c>
      <c r="J355" s="639">
        <v>89784657072.496597</v>
      </c>
      <c r="K355" s="639">
        <v>99354657072.496597</v>
      </c>
      <c r="L355" s="639">
        <v>108924657072.4966</v>
      </c>
      <c r="M355" s="639">
        <v>118494657072.4966</v>
      </c>
      <c r="N355" s="639">
        <v>126150657072.4966</v>
      </c>
      <c r="O355" s="639">
        <v>134763657072.4966</v>
      </c>
      <c r="P355" s="639">
        <v>142419657072.49658</v>
      </c>
      <c r="Q355" s="639">
        <v>147204657072.49658</v>
      </c>
      <c r="R355" s="639">
        <v>151989657072.49658</v>
      </c>
      <c r="S355" s="639">
        <v>156774657072.49658</v>
      </c>
      <c r="T355" s="813"/>
      <c r="V355" s="641">
        <f t="shared" si="177"/>
        <v>156774657072.49658</v>
      </c>
      <c r="W355" s="715">
        <f t="shared" si="178"/>
        <v>2.5188900462277983E-2</v>
      </c>
      <c r="X355" s="1016"/>
      <c r="Y355" s="675"/>
      <c r="AA355" s="675"/>
      <c r="AC355" s="675"/>
      <c r="AE355" s="675"/>
      <c r="AL355" s="489"/>
      <c r="AM355" s="489"/>
      <c r="AN355" s="489"/>
      <c r="AO355" s="489"/>
      <c r="AP355" s="489"/>
      <c r="AQ355" s="489"/>
      <c r="AR355" s="489"/>
      <c r="AS355" s="489"/>
    </row>
    <row r="356" spans="1:45" s="484" customFormat="1" ht="14.5">
      <c r="A356" s="695" t="s">
        <v>1295</v>
      </c>
      <c r="B356" s="647"/>
      <c r="C356" s="644"/>
      <c r="D356" s="644"/>
      <c r="E356" s="639">
        <v>37838637116.300003</v>
      </c>
      <c r="F356" s="705"/>
      <c r="G356" s="639">
        <v>53852186510.66201</v>
      </c>
      <c r="H356" s="639">
        <v>55766186510.66201</v>
      </c>
      <c r="I356" s="639">
        <v>57680186510.66201</v>
      </c>
      <c r="J356" s="639">
        <v>59594186510.66201</v>
      </c>
      <c r="K356" s="639">
        <v>61508186510.66201</v>
      </c>
      <c r="L356" s="639">
        <v>63422186510.66201</v>
      </c>
      <c r="M356" s="639">
        <v>65336186510.66201</v>
      </c>
      <c r="N356" s="639">
        <v>66867386510.66201</v>
      </c>
      <c r="O356" s="639">
        <v>68589986510.66201</v>
      </c>
      <c r="P356" s="639">
        <v>70121186510.662018</v>
      </c>
      <c r="Q356" s="639">
        <v>71078186510.662018</v>
      </c>
      <c r="R356" s="639">
        <v>72035186510.662018</v>
      </c>
      <c r="S356" s="639">
        <v>72992186510.662018</v>
      </c>
      <c r="T356" s="813"/>
      <c r="V356" s="641">
        <f t="shared" si="177"/>
        <v>72992186510.662018</v>
      </c>
      <c r="W356" s="715">
        <f t="shared" si="178"/>
        <v>1.1727615641926637E-2</v>
      </c>
      <c r="X356" s="1016"/>
      <c r="Y356" s="675"/>
      <c r="AA356" s="675"/>
      <c r="AC356" s="675"/>
      <c r="AE356" s="675"/>
      <c r="AL356" s="489"/>
      <c r="AM356" s="489"/>
      <c r="AN356" s="489"/>
      <c r="AO356" s="489"/>
      <c r="AP356" s="489"/>
      <c r="AQ356" s="489"/>
      <c r="AR356" s="489"/>
      <c r="AS356" s="489"/>
    </row>
    <row r="357" spans="1:45" s="484" customFormat="1" ht="14.5">
      <c r="A357" s="695" t="s">
        <v>1296</v>
      </c>
      <c r="B357" s="647"/>
      <c r="C357" s="644"/>
      <c r="D357" s="644"/>
      <c r="E357" s="639">
        <v>19174390658.32</v>
      </c>
      <c r="F357" s="705"/>
      <c r="G357" s="639">
        <v>19090450099.192299</v>
      </c>
      <c r="H357" s="639">
        <v>19090450099.192299</v>
      </c>
      <c r="I357" s="639">
        <v>19090450099.192299</v>
      </c>
      <c r="J357" s="639">
        <v>19090450099.192299</v>
      </c>
      <c r="K357" s="639">
        <v>19090450099.192299</v>
      </c>
      <c r="L357" s="639">
        <v>19090450099.192299</v>
      </c>
      <c r="M357" s="639">
        <v>19090450099.192299</v>
      </c>
      <c r="N357" s="639">
        <v>19090450099.192299</v>
      </c>
      <c r="O357" s="639">
        <v>19090450099.192299</v>
      </c>
      <c r="P357" s="639">
        <v>19090450099.192299</v>
      </c>
      <c r="Q357" s="639">
        <v>19090450099.192299</v>
      </c>
      <c r="R357" s="639">
        <v>19090450099.192299</v>
      </c>
      <c r="S357" s="639">
        <v>19090450099.192299</v>
      </c>
      <c r="T357" s="813"/>
      <c r="V357" s="641">
        <f t="shared" si="177"/>
        <v>19090450099.192299</v>
      </c>
      <c r="W357" s="715">
        <f t="shared" si="178"/>
        <v>3.0672524265594431E-3</v>
      </c>
      <c r="X357" s="1016"/>
      <c r="Y357" s="675"/>
      <c r="AA357" s="675"/>
      <c r="AC357" s="675"/>
      <c r="AE357" s="675"/>
      <c r="AL357" s="489"/>
      <c r="AM357" s="489"/>
      <c r="AN357" s="489"/>
      <c r="AO357" s="489"/>
      <c r="AP357" s="489"/>
      <c r="AQ357" s="489"/>
      <c r="AR357" s="489"/>
      <c r="AS357" s="489"/>
    </row>
    <row r="358" spans="1:45" s="484" customFormat="1" ht="14.5">
      <c r="A358" s="695" t="s">
        <v>1297</v>
      </c>
      <c r="B358" s="647"/>
      <c r="C358" s="644"/>
      <c r="D358" s="644"/>
      <c r="E358" s="639">
        <v>101573904254</v>
      </c>
      <c r="F358" s="705"/>
      <c r="G358" s="639">
        <v>102430470498.664</v>
      </c>
      <c r="H358" s="639">
        <v>102430470498.664</v>
      </c>
      <c r="I358" s="639">
        <v>102430470498.664</v>
      </c>
      <c r="J358" s="639">
        <v>102430470498.664</v>
      </c>
      <c r="K358" s="639">
        <v>102430470498.664</v>
      </c>
      <c r="L358" s="639">
        <v>102430470498.664</v>
      </c>
      <c r="M358" s="639">
        <v>102430470498.664</v>
      </c>
      <c r="N358" s="639">
        <v>102430470498.664</v>
      </c>
      <c r="O358" s="639">
        <v>102430470498.664</v>
      </c>
      <c r="P358" s="639">
        <v>102430470498.664</v>
      </c>
      <c r="Q358" s="639">
        <v>102430470498.664</v>
      </c>
      <c r="R358" s="639">
        <v>102430470498.664</v>
      </c>
      <c r="S358" s="639">
        <v>102430470498.664</v>
      </c>
      <c r="T358" s="813"/>
      <c r="V358" s="641">
        <f t="shared" si="177"/>
        <v>102430470498.664</v>
      </c>
      <c r="W358" s="715">
        <f t="shared" si="178"/>
        <v>1.6457449015513013E-2</v>
      </c>
      <c r="X358" s="1016"/>
      <c r="Y358" s="675"/>
      <c r="AA358" s="675"/>
      <c r="AC358" s="675"/>
      <c r="AE358" s="675"/>
      <c r="AL358" s="489"/>
      <c r="AM358" s="489"/>
      <c r="AN358" s="489"/>
      <c r="AO358" s="489"/>
      <c r="AP358" s="489"/>
      <c r="AQ358" s="489"/>
      <c r="AR358" s="489"/>
      <c r="AS358" s="489"/>
    </row>
    <row r="359" spans="1:45" s="484" customFormat="1" ht="14.5">
      <c r="A359" s="695" t="s">
        <v>1298</v>
      </c>
      <c r="B359" s="647"/>
      <c r="C359" s="644"/>
      <c r="D359" s="644"/>
      <c r="E359" s="639">
        <v>0</v>
      </c>
      <c r="F359" s="705"/>
      <c r="G359" s="639">
        <v>0</v>
      </c>
      <c r="H359" s="639">
        <v>0</v>
      </c>
      <c r="I359" s="639">
        <v>0</v>
      </c>
      <c r="J359" s="639">
        <v>0</v>
      </c>
      <c r="K359" s="639">
        <v>0</v>
      </c>
      <c r="L359" s="639">
        <v>0</v>
      </c>
      <c r="M359" s="639">
        <v>0</v>
      </c>
      <c r="N359" s="639">
        <v>0</v>
      </c>
      <c r="O359" s="639">
        <v>0</v>
      </c>
      <c r="P359" s="639">
        <v>0</v>
      </c>
      <c r="Q359" s="639">
        <v>0</v>
      </c>
      <c r="R359" s="639">
        <v>0</v>
      </c>
      <c r="S359" s="639">
        <v>0</v>
      </c>
      <c r="T359" s="813"/>
      <c r="V359" s="641">
        <f t="shared" si="177"/>
        <v>0</v>
      </c>
      <c r="W359" s="715">
        <f t="shared" si="178"/>
        <v>0</v>
      </c>
      <c r="X359" s="1016"/>
      <c r="Y359" s="675"/>
      <c r="AA359" s="675"/>
      <c r="AC359" s="675"/>
      <c r="AE359" s="675"/>
      <c r="AL359" s="489"/>
      <c r="AM359" s="489"/>
      <c r="AN359" s="489"/>
      <c r="AO359" s="489"/>
      <c r="AP359" s="489"/>
      <c r="AQ359" s="489"/>
      <c r="AR359" s="489"/>
      <c r="AS359" s="489"/>
    </row>
    <row r="360" spans="1:45" s="484" customFormat="1" ht="14.5">
      <c r="A360" s="695" t="s">
        <v>1299</v>
      </c>
      <c r="B360" s="647"/>
      <c r="C360" s="644"/>
      <c r="D360" s="644"/>
      <c r="E360" s="639">
        <v>64193148580.68</v>
      </c>
      <c r="F360" s="705"/>
      <c r="G360" s="639">
        <v>64662407375.368698</v>
      </c>
      <c r="H360" s="639">
        <v>64662407375.368698</v>
      </c>
      <c r="I360" s="639">
        <v>64662407375.368698</v>
      </c>
      <c r="J360" s="639">
        <v>64662407375.368698</v>
      </c>
      <c r="K360" s="639">
        <v>64662407375.368698</v>
      </c>
      <c r="L360" s="639">
        <v>64662407375.368698</v>
      </c>
      <c r="M360" s="639">
        <v>64662407375.368698</v>
      </c>
      <c r="N360" s="639">
        <v>64662407375.368698</v>
      </c>
      <c r="O360" s="639">
        <v>64662407375.368698</v>
      </c>
      <c r="P360" s="639">
        <v>64662407375.368698</v>
      </c>
      <c r="Q360" s="639">
        <v>64662407375.368698</v>
      </c>
      <c r="R360" s="639">
        <v>64662407375.368698</v>
      </c>
      <c r="S360" s="639">
        <v>64662407375.368698</v>
      </c>
      <c r="T360" s="813"/>
      <c r="V360" s="641">
        <f t="shared" si="177"/>
        <v>64662407375.368698</v>
      </c>
      <c r="W360" s="715">
        <f t="shared" si="178"/>
        <v>1.0389274474867739E-2</v>
      </c>
      <c r="X360" s="1016"/>
      <c r="Y360" s="675"/>
      <c r="AA360" s="675"/>
      <c r="AC360" s="675"/>
      <c r="AE360" s="675"/>
      <c r="AL360" s="489"/>
      <c r="AM360" s="489"/>
      <c r="AN360" s="489"/>
      <c r="AO360" s="489"/>
      <c r="AP360" s="489"/>
      <c r="AQ360" s="489"/>
      <c r="AR360" s="489"/>
      <c r="AS360" s="489"/>
    </row>
    <row r="361" spans="1:45" s="484" customFormat="1" ht="14.5">
      <c r="A361" s="695" t="s">
        <v>1300</v>
      </c>
      <c r="B361" s="647"/>
      <c r="C361" s="644"/>
      <c r="D361" s="644"/>
      <c r="E361" s="639">
        <v>0</v>
      </c>
      <c r="F361" s="705"/>
      <c r="G361" s="639">
        <v>0</v>
      </c>
      <c r="H361" s="639">
        <v>0</v>
      </c>
      <c r="I361" s="639">
        <v>0</v>
      </c>
      <c r="J361" s="639">
        <v>0</v>
      </c>
      <c r="K361" s="639">
        <v>0</v>
      </c>
      <c r="L361" s="639">
        <v>0</v>
      </c>
      <c r="M361" s="639">
        <v>0</v>
      </c>
      <c r="N361" s="639">
        <v>0</v>
      </c>
      <c r="O361" s="639">
        <v>0</v>
      </c>
      <c r="P361" s="639">
        <v>0</v>
      </c>
      <c r="Q361" s="639">
        <v>0</v>
      </c>
      <c r="R361" s="639">
        <v>0</v>
      </c>
      <c r="S361" s="639">
        <v>0</v>
      </c>
      <c r="T361" s="813"/>
      <c r="V361" s="641">
        <f t="shared" si="177"/>
        <v>0</v>
      </c>
      <c r="W361" s="715">
        <f t="shared" si="178"/>
        <v>0</v>
      </c>
      <c r="X361" s="1016"/>
      <c r="Y361" s="675"/>
      <c r="AA361" s="675"/>
      <c r="AC361" s="675"/>
      <c r="AE361" s="675"/>
      <c r="AL361" s="489"/>
      <c r="AM361" s="489"/>
      <c r="AN361" s="489"/>
      <c r="AO361" s="489"/>
      <c r="AP361" s="489"/>
      <c r="AQ361" s="489"/>
      <c r="AR361" s="489"/>
      <c r="AS361" s="489"/>
    </row>
    <row r="362" spans="1:45" s="484" customFormat="1" ht="14.5">
      <c r="A362" s="695" t="s">
        <v>1301</v>
      </c>
      <c r="B362" s="647"/>
      <c r="C362" s="644"/>
      <c r="D362" s="644"/>
      <c r="E362" s="639">
        <v>0</v>
      </c>
      <c r="F362" s="705"/>
      <c r="G362" s="639">
        <v>0</v>
      </c>
      <c r="H362" s="639">
        <v>0</v>
      </c>
      <c r="I362" s="639">
        <v>0</v>
      </c>
      <c r="J362" s="639">
        <v>0</v>
      </c>
      <c r="K362" s="639">
        <v>0</v>
      </c>
      <c r="L362" s="639">
        <v>0</v>
      </c>
      <c r="M362" s="639">
        <v>0</v>
      </c>
      <c r="N362" s="639">
        <v>0</v>
      </c>
      <c r="O362" s="639">
        <v>0</v>
      </c>
      <c r="P362" s="639">
        <v>0</v>
      </c>
      <c r="Q362" s="639">
        <v>0</v>
      </c>
      <c r="R362" s="639">
        <v>0</v>
      </c>
      <c r="S362" s="639">
        <v>0</v>
      </c>
      <c r="T362" s="813"/>
      <c r="V362" s="641">
        <f t="shared" si="177"/>
        <v>0</v>
      </c>
      <c r="W362" s="715">
        <f t="shared" si="178"/>
        <v>0</v>
      </c>
      <c r="X362" s="1016"/>
      <c r="Y362" s="675"/>
      <c r="AA362" s="675"/>
      <c r="AC362" s="675"/>
      <c r="AE362" s="675"/>
      <c r="AL362" s="489"/>
      <c r="AM362" s="489"/>
      <c r="AN362" s="489"/>
      <c r="AO362" s="489"/>
      <c r="AP362" s="489"/>
      <c r="AQ362" s="489"/>
      <c r="AR362" s="489"/>
      <c r="AS362" s="489"/>
    </row>
    <row r="363" spans="1:45" s="484" customFormat="1" ht="14.5">
      <c r="A363" s="695" t="s">
        <v>1302</v>
      </c>
      <c r="B363" s="647"/>
      <c r="C363" s="644"/>
      <c r="D363" s="644"/>
      <c r="E363" s="639">
        <v>0</v>
      </c>
      <c r="F363" s="705"/>
      <c r="G363" s="639">
        <v>0</v>
      </c>
      <c r="H363" s="639">
        <v>0</v>
      </c>
      <c r="I363" s="639">
        <v>0</v>
      </c>
      <c r="J363" s="639">
        <v>0</v>
      </c>
      <c r="K363" s="639">
        <v>0</v>
      </c>
      <c r="L363" s="639">
        <v>0</v>
      </c>
      <c r="M363" s="639">
        <v>0</v>
      </c>
      <c r="N363" s="639">
        <v>0</v>
      </c>
      <c r="O363" s="639">
        <v>0</v>
      </c>
      <c r="P363" s="639">
        <v>0</v>
      </c>
      <c r="Q363" s="639">
        <v>0</v>
      </c>
      <c r="R363" s="639">
        <v>0</v>
      </c>
      <c r="S363" s="639">
        <v>0</v>
      </c>
      <c r="T363" s="813"/>
      <c r="V363" s="641">
        <f t="shared" si="177"/>
        <v>0</v>
      </c>
      <c r="W363" s="715">
        <f t="shared" si="178"/>
        <v>0</v>
      </c>
      <c r="X363" s="1016"/>
      <c r="Y363" s="675"/>
      <c r="AA363" s="675"/>
      <c r="AC363" s="675"/>
      <c r="AE363" s="675"/>
      <c r="AL363" s="489"/>
      <c r="AM363" s="489"/>
      <c r="AN363" s="489"/>
      <c r="AO363" s="489"/>
      <c r="AP363" s="489"/>
      <c r="AQ363" s="489"/>
      <c r="AR363" s="489"/>
      <c r="AS363" s="489"/>
    </row>
    <row r="364" spans="1:45" s="484" customFormat="1" ht="14.5">
      <c r="A364" s="695" t="s">
        <v>1303</v>
      </c>
      <c r="B364" s="647"/>
      <c r="C364" s="644"/>
      <c r="D364" s="644"/>
      <c r="E364" s="639">
        <v>0</v>
      </c>
      <c r="F364" s="705"/>
      <c r="G364" s="639">
        <v>0</v>
      </c>
      <c r="H364" s="639">
        <v>0</v>
      </c>
      <c r="I364" s="639">
        <v>0</v>
      </c>
      <c r="J364" s="639">
        <v>0</v>
      </c>
      <c r="K364" s="639">
        <v>0</v>
      </c>
      <c r="L364" s="639">
        <v>0</v>
      </c>
      <c r="M364" s="639">
        <v>0</v>
      </c>
      <c r="N364" s="639">
        <v>0</v>
      </c>
      <c r="O364" s="639">
        <v>0</v>
      </c>
      <c r="P364" s="639">
        <v>0</v>
      </c>
      <c r="Q364" s="639">
        <v>0</v>
      </c>
      <c r="R364" s="639">
        <v>0</v>
      </c>
      <c r="S364" s="639">
        <v>0</v>
      </c>
      <c r="T364" s="813"/>
      <c r="V364" s="641">
        <f t="shared" si="177"/>
        <v>0</v>
      </c>
      <c r="W364" s="715">
        <f t="shared" si="178"/>
        <v>0</v>
      </c>
      <c r="X364" s="1016"/>
      <c r="Y364" s="675"/>
      <c r="AA364" s="675"/>
      <c r="AC364" s="675"/>
      <c r="AE364" s="675"/>
      <c r="AL364" s="489"/>
      <c r="AM364" s="489"/>
      <c r="AN364" s="489"/>
      <c r="AO364" s="489"/>
      <c r="AP364" s="489"/>
      <c r="AQ364" s="489"/>
      <c r="AR364" s="489"/>
      <c r="AS364" s="489"/>
    </row>
    <row r="365" spans="1:45" s="484" customFormat="1" ht="14.5">
      <c r="A365" s="695" t="s">
        <v>1304</v>
      </c>
      <c r="B365" s="647"/>
      <c r="C365" s="644"/>
      <c r="D365" s="644"/>
      <c r="E365" s="639">
        <v>0</v>
      </c>
      <c r="F365" s="705"/>
      <c r="G365" s="639">
        <v>0</v>
      </c>
      <c r="H365" s="639">
        <v>0</v>
      </c>
      <c r="I365" s="639">
        <v>0</v>
      </c>
      <c r="J365" s="639">
        <v>0</v>
      </c>
      <c r="K365" s="639">
        <v>0</v>
      </c>
      <c r="L365" s="639">
        <v>0</v>
      </c>
      <c r="M365" s="639">
        <v>0</v>
      </c>
      <c r="N365" s="639">
        <v>0</v>
      </c>
      <c r="O365" s="639">
        <v>0</v>
      </c>
      <c r="P365" s="639">
        <v>0</v>
      </c>
      <c r="Q365" s="639">
        <v>0</v>
      </c>
      <c r="R365" s="639">
        <v>0</v>
      </c>
      <c r="S365" s="639">
        <v>0</v>
      </c>
      <c r="T365" s="813"/>
      <c r="V365" s="641">
        <f t="shared" si="177"/>
        <v>0</v>
      </c>
      <c r="W365" s="715">
        <f t="shared" si="178"/>
        <v>0</v>
      </c>
      <c r="X365" s="1016"/>
      <c r="Y365" s="675"/>
      <c r="AA365" s="675"/>
      <c r="AC365" s="675"/>
      <c r="AE365" s="675"/>
      <c r="AL365" s="489"/>
      <c r="AM365" s="489"/>
      <c r="AN365" s="489"/>
      <c r="AO365" s="489"/>
      <c r="AP365" s="489"/>
      <c r="AQ365" s="489"/>
      <c r="AR365" s="489"/>
      <c r="AS365" s="489"/>
    </row>
    <row r="366" spans="1:45" s="484" customFormat="1" ht="14.5">
      <c r="A366" s="695" t="s">
        <v>1305</v>
      </c>
      <c r="B366" s="647"/>
      <c r="C366" s="644"/>
      <c r="D366" s="644"/>
      <c r="E366" s="639">
        <v>0</v>
      </c>
      <c r="F366" s="705"/>
      <c r="G366" s="639">
        <v>31553518500</v>
      </c>
      <c r="H366" s="639">
        <v>31553518500</v>
      </c>
      <c r="I366" s="639">
        <v>31553518500</v>
      </c>
      <c r="J366" s="639">
        <v>31553518500</v>
      </c>
      <c r="K366" s="639">
        <v>31553518500</v>
      </c>
      <c r="L366" s="639">
        <v>31553518500</v>
      </c>
      <c r="M366" s="639">
        <v>31553518500</v>
      </c>
      <c r="N366" s="639">
        <v>31553518500</v>
      </c>
      <c r="O366" s="639">
        <v>31553518500</v>
      </c>
      <c r="P366" s="639">
        <v>31553518500</v>
      </c>
      <c r="Q366" s="639">
        <v>31553518500</v>
      </c>
      <c r="R366" s="639">
        <v>31553518500</v>
      </c>
      <c r="S366" s="639">
        <v>31553518500</v>
      </c>
      <c r="T366" s="813"/>
      <c r="V366" s="641">
        <f t="shared" si="177"/>
        <v>31553518500</v>
      </c>
      <c r="W366" s="715">
        <f t="shared" si="178"/>
        <v>5.0696869734730915E-3</v>
      </c>
      <c r="X366" s="1016"/>
      <c r="Y366" s="675"/>
      <c r="AA366" s="675"/>
      <c r="AC366" s="675"/>
      <c r="AE366" s="675"/>
      <c r="AL366" s="489"/>
      <c r="AM366" s="489"/>
      <c r="AN366" s="489"/>
      <c r="AO366" s="489"/>
      <c r="AP366" s="489"/>
      <c r="AQ366" s="489"/>
      <c r="AR366" s="489"/>
      <c r="AS366" s="489"/>
    </row>
    <row r="367" spans="1:45" s="484" customFormat="1" ht="14.5">
      <c r="A367" s="695" t="s">
        <v>1306</v>
      </c>
      <c r="B367" s="647"/>
      <c r="C367" s="644"/>
      <c r="D367" s="644"/>
      <c r="E367" s="639">
        <v>10874563200</v>
      </c>
      <c r="F367" s="705"/>
      <c r="G367" s="639">
        <v>21832167600</v>
      </c>
      <c r="H367" s="639">
        <v>21832167600</v>
      </c>
      <c r="I367" s="639">
        <v>21832167600</v>
      </c>
      <c r="J367" s="639">
        <v>21832167600</v>
      </c>
      <c r="K367" s="639">
        <v>21832167600</v>
      </c>
      <c r="L367" s="639">
        <v>21832167600</v>
      </c>
      <c r="M367" s="639">
        <v>21832167600</v>
      </c>
      <c r="N367" s="639">
        <v>21832167600</v>
      </c>
      <c r="O367" s="639">
        <v>21832167600</v>
      </c>
      <c r="P367" s="639">
        <v>21832167600</v>
      </c>
      <c r="Q367" s="639">
        <v>21832167600</v>
      </c>
      <c r="R367" s="639">
        <v>21832167600</v>
      </c>
      <c r="S367" s="639">
        <v>21832167600</v>
      </c>
      <c r="T367" s="813"/>
      <c r="V367" s="641">
        <f t="shared" si="177"/>
        <v>21832167600</v>
      </c>
      <c r="W367" s="715">
        <f t="shared" si="178"/>
        <v>3.507762713828611E-3</v>
      </c>
      <c r="X367" s="1016"/>
      <c r="Y367" s="675"/>
      <c r="AA367" s="675"/>
      <c r="AC367" s="675"/>
      <c r="AE367" s="675"/>
      <c r="AL367" s="489"/>
      <c r="AM367" s="489"/>
      <c r="AN367" s="489"/>
      <c r="AO367" s="489"/>
      <c r="AP367" s="489"/>
      <c r="AQ367" s="489"/>
      <c r="AR367" s="489"/>
      <c r="AS367" s="489"/>
    </row>
    <row r="368" spans="1:45" s="484" customFormat="1" ht="14.5">
      <c r="A368" s="695" t="s">
        <v>1307</v>
      </c>
      <c r="B368" s="647"/>
      <c r="C368" s="644"/>
      <c r="D368" s="644"/>
      <c r="E368" s="639">
        <v>0</v>
      </c>
      <c r="F368" s="705"/>
      <c r="G368" s="639">
        <v>0</v>
      </c>
      <c r="H368" s="639">
        <v>0</v>
      </c>
      <c r="I368" s="639">
        <v>0</v>
      </c>
      <c r="J368" s="639">
        <v>0</v>
      </c>
      <c r="K368" s="639">
        <v>0</v>
      </c>
      <c r="L368" s="639">
        <v>0</v>
      </c>
      <c r="M368" s="639">
        <v>0</v>
      </c>
      <c r="N368" s="639">
        <v>0</v>
      </c>
      <c r="O368" s="639">
        <v>0</v>
      </c>
      <c r="P368" s="639">
        <v>0</v>
      </c>
      <c r="Q368" s="639">
        <v>0</v>
      </c>
      <c r="R368" s="639">
        <v>0</v>
      </c>
      <c r="S368" s="639">
        <v>0</v>
      </c>
      <c r="T368" s="813"/>
      <c r="V368" s="641">
        <f t="shared" si="177"/>
        <v>0</v>
      </c>
      <c r="W368" s="715">
        <f t="shared" si="178"/>
        <v>0</v>
      </c>
      <c r="X368" s="1016"/>
      <c r="Y368" s="675"/>
      <c r="AA368" s="675"/>
      <c r="AC368" s="675"/>
      <c r="AE368" s="675"/>
      <c r="AL368" s="489"/>
      <c r="AM368" s="489"/>
      <c r="AN368" s="489"/>
      <c r="AO368" s="489"/>
      <c r="AP368" s="489"/>
      <c r="AQ368" s="489"/>
      <c r="AR368" s="489"/>
      <c r="AS368" s="489"/>
    </row>
    <row r="369" spans="1:45" s="484" customFormat="1" ht="14.5">
      <c r="A369" s="695" t="s">
        <v>1308</v>
      </c>
      <c r="B369" s="647"/>
      <c r="C369" s="644"/>
      <c r="D369" s="644"/>
      <c r="E369" s="639">
        <v>0</v>
      </c>
      <c r="F369" s="705"/>
      <c r="G369" s="639">
        <v>0</v>
      </c>
      <c r="H369" s="639">
        <v>79750000000</v>
      </c>
      <c r="I369" s="639">
        <v>79750000000</v>
      </c>
      <c r="J369" s="639">
        <v>79750000000</v>
      </c>
      <c r="K369" s="639">
        <v>79750000000</v>
      </c>
      <c r="L369" s="639">
        <v>79750000000</v>
      </c>
      <c r="M369" s="639">
        <v>79750000000</v>
      </c>
      <c r="N369" s="639">
        <v>159500000000</v>
      </c>
      <c r="O369" s="639">
        <v>159500000000</v>
      </c>
      <c r="P369" s="639">
        <v>159500000000</v>
      </c>
      <c r="Q369" s="639">
        <v>159500000000</v>
      </c>
      <c r="R369" s="639">
        <v>159500000000</v>
      </c>
      <c r="S369" s="639">
        <v>159500000000</v>
      </c>
      <c r="T369" s="813"/>
      <c r="V369" s="641">
        <f t="shared" si="177"/>
        <v>159500000000</v>
      </c>
      <c r="W369" s="715">
        <f t="shared" si="178"/>
        <v>2.5626779855595441E-2</v>
      </c>
      <c r="X369" s="1016"/>
      <c r="Y369" s="675"/>
      <c r="AA369" s="675"/>
      <c r="AC369" s="675"/>
      <c r="AE369" s="675"/>
      <c r="AL369" s="489"/>
      <c r="AM369" s="489"/>
      <c r="AN369" s="489"/>
      <c r="AO369" s="489"/>
      <c r="AP369" s="489"/>
      <c r="AQ369" s="489"/>
      <c r="AR369" s="489"/>
      <c r="AS369" s="489"/>
    </row>
    <row r="370" spans="1:45" s="484" customFormat="1" ht="14.5">
      <c r="A370" s="695" t="s">
        <v>1309</v>
      </c>
      <c r="B370" s="647"/>
      <c r="C370" s="644"/>
      <c r="D370" s="644"/>
      <c r="E370" s="639">
        <v>0</v>
      </c>
      <c r="F370" s="705"/>
      <c r="G370" s="639">
        <v>0</v>
      </c>
      <c r="H370" s="639">
        <v>0</v>
      </c>
      <c r="I370" s="639">
        <v>0</v>
      </c>
      <c r="J370" s="639">
        <v>0</v>
      </c>
      <c r="K370" s="639">
        <v>0</v>
      </c>
      <c r="L370" s="639">
        <v>0</v>
      </c>
      <c r="M370" s="639">
        <v>0</v>
      </c>
      <c r="N370" s="639">
        <v>0</v>
      </c>
      <c r="O370" s="639">
        <v>0</v>
      </c>
      <c r="P370" s="639">
        <v>0</v>
      </c>
      <c r="Q370" s="639">
        <v>0</v>
      </c>
      <c r="R370" s="639">
        <v>0</v>
      </c>
      <c r="S370" s="639">
        <v>0</v>
      </c>
      <c r="T370" s="813"/>
      <c r="V370" s="641">
        <f t="shared" si="177"/>
        <v>0</v>
      </c>
      <c r="W370" s="715">
        <f t="shared" si="178"/>
        <v>0</v>
      </c>
      <c r="X370" s="1016"/>
      <c r="Y370" s="675"/>
      <c r="AA370" s="675"/>
      <c r="AC370" s="675"/>
      <c r="AE370" s="675"/>
      <c r="AL370" s="489"/>
      <c r="AM370" s="489"/>
      <c r="AN370" s="489"/>
      <c r="AO370" s="489"/>
      <c r="AP370" s="489"/>
      <c r="AQ370" s="489"/>
      <c r="AR370" s="489"/>
      <c r="AS370" s="489"/>
    </row>
    <row r="371" spans="1:45" s="484" customFormat="1" ht="14.5">
      <c r="A371" s="695"/>
      <c r="B371" s="647"/>
      <c r="C371" s="644"/>
      <c r="D371" s="644"/>
      <c r="E371" s="644"/>
      <c r="F371" s="705"/>
      <c r="G371" s="639"/>
      <c r="H371" s="493"/>
      <c r="I371" s="493"/>
      <c r="J371" s="493"/>
      <c r="K371" s="493"/>
      <c r="L371" s="493"/>
      <c r="M371" s="493"/>
      <c r="N371" s="493"/>
      <c r="O371" s="493"/>
      <c r="P371" s="493"/>
      <c r="Q371" s="493"/>
      <c r="R371" s="493"/>
      <c r="S371" s="493"/>
      <c r="T371" s="794"/>
      <c r="V371" s="641">
        <f t="shared" si="177"/>
        <v>0</v>
      </c>
      <c r="W371" s="715">
        <f t="shared" si="178"/>
        <v>0</v>
      </c>
      <c r="X371" s="1016"/>
      <c r="Y371" s="675"/>
      <c r="AA371" s="675"/>
      <c r="AC371" s="675"/>
      <c r="AE371" s="675"/>
      <c r="AL371" s="489"/>
      <c r="AM371" s="489"/>
      <c r="AN371" s="489"/>
      <c r="AO371" s="489"/>
      <c r="AP371" s="489"/>
      <c r="AQ371" s="489"/>
      <c r="AR371" s="489"/>
      <c r="AS371" s="489"/>
    </row>
    <row r="372" spans="1:45" s="484" customFormat="1">
      <c r="A372" s="714" t="s">
        <v>1130</v>
      </c>
      <c r="B372" s="653">
        <v>191512506424.56</v>
      </c>
      <c r="C372" s="654"/>
      <c r="D372" s="654">
        <f>SUM(D336:D350)</f>
        <v>0</v>
      </c>
      <c r="E372" s="654">
        <f>SUM(E336:E371)</f>
        <v>398026867819.64001</v>
      </c>
      <c r="F372" s="707">
        <f t="shared" ref="F372" si="183">SUM(F336:F371)</f>
        <v>0</v>
      </c>
      <c r="G372" s="654">
        <f>SUM(G336:G371)</f>
        <v>566830097085.94971</v>
      </c>
      <c r="H372" s="654">
        <f t="shared" ref="H372:V372" si="184">SUM(H336:H371)</f>
        <v>694430097085.94971</v>
      </c>
      <c r="I372" s="654">
        <f t="shared" si="184"/>
        <v>742280097085.94958</v>
      </c>
      <c r="J372" s="654">
        <f t="shared" si="184"/>
        <v>790130097085.94958</v>
      </c>
      <c r="K372" s="654">
        <f t="shared" si="184"/>
        <v>837980097085.94958</v>
      </c>
      <c r="L372" s="654">
        <f t="shared" si="184"/>
        <v>885830097085.94946</v>
      </c>
      <c r="M372" s="654">
        <f t="shared" si="184"/>
        <v>933680097085.94946</v>
      </c>
      <c r="N372" s="654">
        <f t="shared" si="184"/>
        <v>1051710097085.9495</v>
      </c>
      <c r="O372" s="654">
        <f t="shared" si="184"/>
        <v>1094775097085.9495</v>
      </c>
      <c r="P372" s="654">
        <f t="shared" si="184"/>
        <v>1133055097085.9495</v>
      </c>
      <c r="Q372" s="654">
        <f t="shared" si="184"/>
        <v>1156980097085.9495</v>
      </c>
      <c r="R372" s="654">
        <f>SUM(R336:R371)</f>
        <v>1180905097085.9495</v>
      </c>
      <c r="S372" s="654">
        <f>SUM(S336:S371)</f>
        <v>1204830097085.9495</v>
      </c>
      <c r="T372" s="816"/>
      <c r="V372" s="654">
        <f t="shared" si="184"/>
        <v>1204830097085.9495</v>
      </c>
      <c r="W372" s="715">
        <f t="shared" si="178"/>
        <v>0.19357940853553171</v>
      </c>
      <c r="X372" s="1017"/>
      <c r="Y372" s="717">
        <f>SUM(Y336:Y353)-Y345</f>
        <v>601825966133.46655</v>
      </c>
      <c r="Z372" s="708">
        <f>Y372/V372-1</f>
        <v>-0.5004889340089802</v>
      </c>
      <c r="AA372" s="717">
        <f>SUM(AA336:AA353)-AA345</f>
        <v>842556352586.85315</v>
      </c>
      <c r="AB372" s="708">
        <f>+AA372/Y372-1</f>
        <v>0.39999999999999991</v>
      </c>
      <c r="AC372" s="717">
        <f>SUM(AC336:AC353)-AC345</f>
        <v>1263834528880.2793</v>
      </c>
      <c r="AD372" s="708">
        <f>+AC372/AA372-1</f>
        <v>0.49999999999999956</v>
      </c>
      <c r="AE372" s="717">
        <f>SUM(AE336:AE353)-AE345</f>
        <v>1579793161100.3494</v>
      </c>
      <c r="AF372" s="708">
        <f>+AE372/AC372-1</f>
        <v>0.25000000000000022</v>
      </c>
      <c r="AL372" s="489"/>
      <c r="AM372" s="489"/>
      <c r="AN372" s="489"/>
      <c r="AO372" s="489"/>
      <c r="AP372" s="489"/>
      <c r="AQ372" s="489"/>
      <c r="AR372" s="489"/>
      <c r="AS372" s="489"/>
    </row>
    <row r="373" spans="1:45" s="725" customFormat="1">
      <c r="A373" s="719"/>
      <c r="B373" s="720">
        <v>0</v>
      </c>
      <c r="C373" s="720"/>
      <c r="D373" s="720"/>
      <c r="E373" s="720"/>
      <c r="F373" s="721"/>
      <c r="G373" s="722"/>
      <c r="H373" s="722"/>
      <c r="I373" s="722"/>
      <c r="J373" s="722"/>
      <c r="K373" s="722"/>
      <c r="L373" s="722"/>
      <c r="M373" s="722"/>
      <c r="N373" s="722"/>
      <c r="O373" s="722"/>
      <c r="P373" s="722"/>
      <c r="Q373" s="722"/>
      <c r="R373" s="722"/>
      <c r="S373" s="722"/>
      <c r="T373" s="825"/>
      <c r="V373" s="722"/>
      <c r="W373" s="723"/>
      <c r="X373" s="1024"/>
      <c r="Y373" s="722" t="e">
        <v>#REF!</v>
      </c>
      <c r="Z373" s="724"/>
      <c r="AA373" s="722" t="e">
        <v>#REF!</v>
      </c>
      <c r="AB373" s="724"/>
      <c r="AC373" s="722" t="e">
        <v>#REF!</v>
      </c>
      <c r="AD373" s="724"/>
      <c r="AE373" s="722" t="e">
        <v>#REF!</v>
      </c>
      <c r="AF373" s="724"/>
    </row>
    <row r="374" spans="1:45" s="484" customFormat="1">
      <c r="A374" s="490" t="s">
        <v>1315</v>
      </c>
      <c r="B374" s="633" t="s">
        <v>1273</v>
      </c>
      <c r="C374" s="634"/>
      <c r="D374" s="693" t="s">
        <v>1313</v>
      </c>
      <c r="E374" s="690">
        <v>42613</v>
      </c>
      <c r="F374" s="711"/>
      <c r="G374" s="690">
        <v>42735</v>
      </c>
      <c r="H374" s="690">
        <v>42736</v>
      </c>
      <c r="I374" s="690">
        <v>42768</v>
      </c>
      <c r="J374" s="690">
        <v>42800</v>
      </c>
      <c r="K374" s="690">
        <v>42832</v>
      </c>
      <c r="L374" s="690">
        <v>42864</v>
      </c>
      <c r="M374" s="690">
        <v>42896</v>
      </c>
      <c r="N374" s="690">
        <v>42928</v>
      </c>
      <c r="O374" s="690">
        <v>42960</v>
      </c>
      <c r="P374" s="690">
        <v>42992</v>
      </c>
      <c r="Q374" s="690">
        <v>43024</v>
      </c>
      <c r="R374" s="690">
        <v>43056</v>
      </c>
      <c r="S374" s="690">
        <v>43088</v>
      </c>
      <c r="T374" s="822"/>
      <c r="V374" s="690" t="s">
        <v>1159</v>
      </c>
      <c r="W374" s="660"/>
      <c r="X374" s="1014"/>
      <c r="Y374" s="634"/>
      <c r="Z374" s="634"/>
      <c r="AA374" s="661"/>
      <c r="AB374" s="661"/>
      <c r="AC374" s="661"/>
      <c r="AD374" s="661"/>
      <c r="AE374" s="661"/>
      <c r="AF374" s="661"/>
      <c r="AL374" s="489"/>
      <c r="AM374" s="489"/>
      <c r="AN374" s="489"/>
      <c r="AO374" s="489"/>
      <c r="AP374" s="489"/>
      <c r="AQ374" s="489"/>
      <c r="AR374" s="489"/>
      <c r="AS374" s="489"/>
    </row>
    <row r="375" spans="1:45" s="484" customFormat="1" hidden="1">
      <c r="A375" s="695" t="s">
        <v>1275</v>
      </c>
      <c r="B375" s="638">
        <v>2891247907</v>
      </c>
      <c r="C375" s="639"/>
      <c r="D375" s="639"/>
      <c r="E375" s="639">
        <v>0</v>
      </c>
      <c r="F375" s="703"/>
      <c r="G375" s="639">
        <v>0</v>
      </c>
      <c r="H375" s="639">
        <v>0</v>
      </c>
      <c r="I375" s="639">
        <v>0</v>
      </c>
      <c r="J375" s="639">
        <v>0</v>
      </c>
      <c r="K375" s="639">
        <v>0</v>
      </c>
      <c r="L375" s="639">
        <v>0</v>
      </c>
      <c r="M375" s="639">
        <v>0</v>
      </c>
      <c r="N375" s="639">
        <v>0</v>
      </c>
      <c r="O375" s="639">
        <v>0</v>
      </c>
      <c r="P375" s="639">
        <v>0</v>
      </c>
      <c r="Q375" s="639">
        <v>0</v>
      </c>
      <c r="R375" s="639">
        <v>0</v>
      </c>
      <c r="S375" s="639">
        <v>0</v>
      </c>
      <c r="T375" s="813"/>
      <c r="V375" s="641">
        <f t="shared" ref="V375:V410" si="185">+S375</f>
        <v>0</v>
      </c>
      <c r="W375" s="715">
        <f>+V375/$V$256</f>
        <v>0</v>
      </c>
      <c r="X375" s="1015"/>
      <c r="Y375" s="675">
        <f>+V375*(100%+$Y$16)</f>
        <v>0</v>
      </c>
      <c r="Z375" s="664"/>
      <c r="AA375" s="675">
        <f>+Y375*(100%+$AA$16)</f>
        <v>0</v>
      </c>
      <c r="AB375" s="664"/>
      <c r="AC375" s="675">
        <f>+AA375*(100%+$AC$16)</f>
        <v>0</v>
      </c>
      <c r="AD375" s="664"/>
      <c r="AE375" s="675">
        <f>+AC375*(100%+$AE$16)</f>
        <v>0</v>
      </c>
      <c r="AF375" s="664"/>
      <c r="AL375" s="489"/>
      <c r="AM375" s="489"/>
      <c r="AN375" s="489"/>
      <c r="AO375" s="489"/>
      <c r="AP375" s="489"/>
      <c r="AQ375" s="489"/>
      <c r="AR375" s="489"/>
      <c r="AS375" s="489"/>
    </row>
    <row r="376" spans="1:45" s="484" customFormat="1" ht="14.5" hidden="1">
      <c r="A376" s="695" t="s">
        <v>1276</v>
      </c>
      <c r="B376" s="647"/>
      <c r="C376" s="644"/>
      <c r="D376" s="644"/>
      <c r="E376" s="639">
        <v>0</v>
      </c>
      <c r="F376" s="705"/>
      <c r="G376" s="639">
        <v>0</v>
      </c>
      <c r="H376" s="639">
        <v>0</v>
      </c>
      <c r="I376" s="639">
        <v>0</v>
      </c>
      <c r="J376" s="639">
        <v>0</v>
      </c>
      <c r="K376" s="639">
        <v>0</v>
      </c>
      <c r="L376" s="639">
        <v>0</v>
      </c>
      <c r="M376" s="639">
        <v>0</v>
      </c>
      <c r="N376" s="639">
        <v>0</v>
      </c>
      <c r="O376" s="639">
        <v>0</v>
      </c>
      <c r="P376" s="639">
        <v>0</v>
      </c>
      <c r="Q376" s="639">
        <v>0</v>
      </c>
      <c r="R376" s="639">
        <v>0</v>
      </c>
      <c r="S376" s="639">
        <v>0</v>
      </c>
      <c r="T376" s="813"/>
      <c r="V376" s="641">
        <f t="shared" si="185"/>
        <v>0</v>
      </c>
      <c r="W376" s="715">
        <f t="shared" ref="W376:W411" si="186">+V376/$V$256</f>
        <v>0</v>
      </c>
      <c r="X376" s="1016"/>
      <c r="Y376" s="675">
        <f t="shared" ref="Y376:Y392" si="187">+V376*(100%+$Y$16)</f>
        <v>0</v>
      </c>
      <c r="Z376" s="670"/>
      <c r="AA376" s="675">
        <f>+Y376*(100%+$AA$16)</f>
        <v>0</v>
      </c>
      <c r="AB376" s="670"/>
      <c r="AC376" s="675">
        <f>+AA376*(100%+$AC$16)</f>
        <v>0</v>
      </c>
      <c r="AD376" s="670"/>
      <c r="AE376" s="675">
        <f>+AC376*(100%+$AE$16)</f>
        <v>0</v>
      </c>
      <c r="AF376" s="670"/>
      <c r="AL376" s="489"/>
      <c r="AM376" s="489"/>
      <c r="AN376" s="489"/>
      <c r="AO376" s="489"/>
      <c r="AP376" s="489"/>
      <c r="AQ376" s="489"/>
      <c r="AR376" s="489"/>
      <c r="AS376" s="489"/>
    </row>
    <row r="377" spans="1:45" s="484" customFormat="1" hidden="1">
      <c r="A377" s="695" t="s">
        <v>1277</v>
      </c>
      <c r="B377" s="638">
        <v>20896385642</v>
      </c>
      <c r="C377" s="639"/>
      <c r="D377" s="639"/>
      <c r="E377" s="639">
        <v>0</v>
      </c>
      <c r="F377" s="703"/>
      <c r="G377" s="639">
        <v>0</v>
      </c>
      <c r="H377" s="639">
        <v>0</v>
      </c>
      <c r="I377" s="639">
        <v>0</v>
      </c>
      <c r="J377" s="639">
        <v>0</v>
      </c>
      <c r="K377" s="639">
        <v>0</v>
      </c>
      <c r="L377" s="639">
        <v>0</v>
      </c>
      <c r="M377" s="639">
        <v>0</v>
      </c>
      <c r="N377" s="639">
        <v>0</v>
      </c>
      <c r="O377" s="639">
        <v>0</v>
      </c>
      <c r="P377" s="639">
        <v>0</v>
      </c>
      <c r="Q377" s="639">
        <v>0</v>
      </c>
      <c r="R377" s="639">
        <v>0</v>
      </c>
      <c r="S377" s="639">
        <v>0</v>
      </c>
      <c r="T377" s="813"/>
      <c r="V377" s="641">
        <f t="shared" si="185"/>
        <v>0</v>
      </c>
      <c r="W377" s="715">
        <f t="shared" si="186"/>
        <v>0</v>
      </c>
      <c r="X377" s="1015"/>
      <c r="Y377" s="675">
        <f t="shared" si="187"/>
        <v>0</v>
      </c>
      <c r="Z377" s="675"/>
      <c r="AA377" s="675">
        <f t="shared" ref="AA377:AA392" si="188">+Y377*(100%+$AA$16)</f>
        <v>0</v>
      </c>
      <c r="AB377" s="675"/>
      <c r="AC377" s="675">
        <f t="shared" ref="AC377:AC392" si="189">+AA377*(100%+$AC$16)</f>
        <v>0</v>
      </c>
      <c r="AD377" s="675"/>
      <c r="AE377" s="675">
        <f t="shared" ref="AE377:AE392" si="190">+AC377*(100%+$AE$16)</f>
        <v>0</v>
      </c>
      <c r="AF377" s="675"/>
      <c r="AL377" s="489"/>
      <c r="AM377" s="489"/>
      <c r="AN377" s="489"/>
      <c r="AO377" s="489"/>
      <c r="AP377" s="489"/>
      <c r="AQ377" s="489"/>
      <c r="AR377" s="489"/>
      <c r="AS377" s="489"/>
    </row>
    <row r="378" spans="1:45" s="484" customFormat="1" ht="14.5" hidden="1">
      <c r="A378" s="695" t="s">
        <v>1278</v>
      </c>
      <c r="B378" s="647"/>
      <c r="C378" s="644"/>
      <c r="D378" s="644"/>
      <c r="E378" s="639">
        <v>0</v>
      </c>
      <c r="F378" s="705"/>
      <c r="G378" s="639">
        <v>0</v>
      </c>
      <c r="H378" s="639">
        <v>0</v>
      </c>
      <c r="I378" s="639">
        <v>0</v>
      </c>
      <c r="J378" s="639">
        <v>0</v>
      </c>
      <c r="K378" s="639">
        <v>0</v>
      </c>
      <c r="L378" s="639">
        <v>0</v>
      </c>
      <c r="M378" s="639">
        <v>0</v>
      </c>
      <c r="N378" s="639">
        <v>0</v>
      </c>
      <c r="O378" s="639">
        <v>0</v>
      </c>
      <c r="P378" s="639">
        <v>0</v>
      </c>
      <c r="Q378" s="639">
        <v>0</v>
      </c>
      <c r="R378" s="639">
        <v>0</v>
      </c>
      <c r="S378" s="639">
        <v>0</v>
      </c>
      <c r="T378" s="813"/>
      <c r="V378" s="641">
        <f t="shared" si="185"/>
        <v>0</v>
      </c>
      <c r="W378" s="715">
        <f t="shared" si="186"/>
        <v>0</v>
      </c>
      <c r="X378" s="1016"/>
      <c r="Y378" s="675">
        <f t="shared" si="187"/>
        <v>0</v>
      </c>
      <c r="Z378" s="670"/>
      <c r="AA378" s="675">
        <f t="shared" si="188"/>
        <v>0</v>
      </c>
      <c r="AB378" s="670"/>
      <c r="AC378" s="675">
        <f t="shared" si="189"/>
        <v>0</v>
      </c>
      <c r="AD378" s="670"/>
      <c r="AE378" s="675">
        <f t="shared" si="190"/>
        <v>0</v>
      </c>
      <c r="AF378" s="670"/>
      <c r="AL378" s="489"/>
      <c r="AM378" s="489"/>
      <c r="AN378" s="489"/>
      <c r="AO378" s="489"/>
      <c r="AP378" s="489"/>
      <c r="AQ378" s="489"/>
      <c r="AR378" s="489"/>
      <c r="AS378" s="489"/>
    </row>
    <row r="379" spans="1:45" s="484" customFormat="1" hidden="1">
      <c r="A379" s="695" t="s">
        <v>1279</v>
      </c>
      <c r="B379" s="638">
        <v>12712848871</v>
      </c>
      <c r="C379" s="639"/>
      <c r="D379" s="639"/>
      <c r="E379" s="639">
        <v>0</v>
      </c>
      <c r="F379" s="703"/>
      <c r="G379" s="639">
        <v>0</v>
      </c>
      <c r="H379" s="639">
        <v>0</v>
      </c>
      <c r="I379" s="639">
        <v>0</v>
      </c>
      <c r="J379" s="639">
        <v>0</v>
      </c>
      <c r="K379" s="639">
        <v>0</v>
      </c>
      <c r="L379" s="639">
        <v>0</v>
      </c>
      <c r="M379" s="639">
        <v>0</v>
      </c>
      <c r="N379" s="639">
        <v>0</v>
      </c>
      <c r="O379" s="639">
        <v>0</v>
      </c>
      <c r="P379" s="639">
        <v>0</v>
      </c>
      <c r="Q379" s="639">
        <v>0</v>
      </c>
      <c r="R379" s="639">
        <v>0</v>
      </c>
      <c r="S379" s="639">
        <v>0</v>
      </c>
      <c r="T379" s="813"/>
      <c r="V379" s="641">
        <f t="shared" si="185"/>
        <v>0</v>
      </c>
      <c r="W379" s="715">
        <f t="shared" si="186"/>
        <v>0</v>
      </c>
      <c r="X379" s="1015"/>
      <c r="Y379" s="675">
        <f t="shared" si="187"/>
        <v>0</v>
      </c>
      <c r="Z379" s="675"/>
      <c r="AA379" s="675">
        <f t="shared" si="188"/>
        <v>0</v>
      </c>
      <c r="AB379" s="675"/>
      <c r="AC379" s="675">
        <f t="shared" si="189"/>
        <v>0</v>
      </c>
      <c r="AD379" s="675"/>
      <c r="AE379" s="675">
        <f t="shared" si="190"/>
        <v>0</v>
      </c>
      <c r="AF379" s="675"/>
      <c r="AL379" s="489"/>
      <c r="AM379" s="489"/>
      <c r="AN379" s="489"/>
      <c r="AO379" s="489"/>
      <c r="AP379" s="489"/>
      <c r="AQ379" s="489"/>
      <c r="AR379" s="489"/>
      <c r="AS379" s="489"/>
    </row>
    <row r="380" spans="1:45" s="484" customFormat="1" ht="14.5" hidden="1">
      <c r="A380" s="695" t="s">
        <v>1280</v>
      </c>
      <c r="B380" s="647"/>
      <c r="C380" s="644"/>
      <c r="D380" s="644"/>
      <c r="E380" s="639">
        <v>0</v>
      </c>
      <c r="F380" s="705"/>
      <c r="G380" s="639">
        <v>0</v>
      </c>
      <c r="H380" s="639">
        <v>0</v>
      </c>
      <c r="I380" s="639">
        <v>0</v>
      </c>
      <c r="J380" s="639">
        <v>0</v>
      </c>
      <c r="K380" s="639">
        <v>0</v>
      </c>
      <c r="L380" s="639">
        <v>0</v>
      </c>
      <c r="M380" s="639">
        <v>0</v>
      </c>
      <c r="N380" s="639">
        <v>0</v>
      </c>
      <c r="O380" s="639">
        <v>0</v>
      </c>
      <c r="P380" s="639">
        <v>0</v>
      </c>
      <c r="Q380" s="639">
        <v>0</v>
      </c>
      <c r="R380" s="639">
        <v>0</v>
      </c>
      <c r="S380" s="639">
        <v>0</v>
      </c>
      <c r="T380" s="813"/>
      <c r="V380" s="641">
        <f t="shared" si="185"/>
        <v>0</v>
      </c>
      <c r="W380" s="715">
        <f t="shared" si="186"/>
        <v>0</v>
      </c>
      <c r="X380" s="1016"/>
      <c r="Y380" s="675">
        <f t="shared" si="187"/>
        <v>0</v>
      </c>
      <c r="Z380" s="670"/>
      <c r="AA380" s="675">
        <f t="shared" si="188"/>
        <v>0</v>
      </c>
      <c r="AB380" s="670"/>
      <c r="AC380" s="675">
        <f t="shared" si="189"/>
        <v>0</v>
      </c>
      <c r="AD380" s="670"/>
      <c r="AE380" s="675">
        <f t="shared" si="190"/>
        <v>0</v>
      </c>
      <c r="AF380" s="670"/>
      <c r="AL380" s="489"/>
      <c r="AM380" s="489"/>
      <c r="AN380" s="489"/>
      <c r="AO380" s="489"/>
      <c r="AP380" s="489"/>
      <c r="AQ380" s="489"/>
      <c r="AR380" s="489"/>
      <c r="AS380" s="489"/>
    </row>
    <row r="381" spans="1:45" s="484" customFormat="1" hidden="1">
      <c r="A381" s="695" t="s">
        <v>1281</v>
      </c>
      <c r="B381" s="638">
        <v>5637570085</v>
      </c>
      <c r="C381" s="639"/>
      <c r="D381" s="639"/>
      <c r="E381" s="639">
        <v>0</v>
      </c>
      <c r="F381" s="703"/>
      <c r="G381" s="639">
        <v>0</v>
      </c>
      <c r="H381" s="639">
        <v>0</v>
      </c>
      <c r="I381" s="639">
        <v>0</v>
      </c>
      <c r="J381" s="639">
        <v>0</v>
      </c>
      <c r="K381" s="639">
        <v>0</v>
      </c>
      <c r="L381" s="639">
        <v>0</v>
      </c>
      <c r="M381" s="639">
        <v>0</v>
      </c>
      <c r="N381" s="639">
        <v>0</v>
      </c>
      <c r="O381" s="639">
        <v>0</v>
      </c>
      <c r="P381" s="639">
        <v>0</v>
      </c>
      <c r="Q381" s="639">
        <v>0</v>
      </c>
      <c r="R381" s="639">
        <v>0</v>
      </c>
      <c r="S381" s="639">
        <v>0</v>
      </c>
      <c r="T381" s="813"/>
      <c r="V381" s="641">
        <f t="shared" si="185"/>
        <v>0</v>
      </c>
      <c r="W381" s="715">
        <f t="shared" si="186"/>
        <v>0</v>
      </c>
      <c r="X381" s="1015"/>
      <c r="Y381" s="675">
        <f t="shared" si="187"/>
        <v>0</v>
      </c>
      <c r="Z381" s="675"/>
      <c r="AA381" s="675">
        <f t="shared" si="188"/>
        <v>0</v>
      </c>
      <c r="AB381" s="675"/>
      <c r="AC381" s="675">
        <f t="shared" si="189"/>
        <v>0</v>
      </c>
      <c r="AD381" s="675"/>
      <c r="AE381" s="675">
        <f t="shared" si="190"/>
        <v>0</v>
      </c>
      <c r="AF381" s="675"/>
      <c r="AL381" s="489"/>
      <c r="AM381" s="489"/>
      <c r="AN381" s="489"/>
      <c r="AO381" s="489"/>
      <c r="AP381" s="489"/>
      <c r="AQ381" s="489"/>
      <c r="AR381" s="489"/>
      <c r="AS381" s="489"/>
    </row>
    <row r="382" spans="1:45" s="484" customFormat="1" ht="14.5" hidden="1">
      <c r="A382" s="695" t="s">
        <v>1282</v>
      </c>
      <c r="B382" s="647"/>
      <c r="C382" s="644"/>
      <c r="D382" s="644"/>
      <c r="E382" s="639">
        <v>0</v>
      </c>
      <c r="F382" s="705"/>
      <c r="G382" s="639">
        <v>0</v>
      </c>
      <c r="H382" s="639">
        <v>0</v>
      </c>
      <c r="I382" s="639">
        <v>0</v>
      </c>
      <c r="J382" s="639">
        <v>0</v>
      </c>
      <c r="K382" s="639">
        <v>0</v>
      </c>
      <c r="L382" s="639">
        <v>0</v>
      </c>
      <c r="M382" s="639">
        <v>0</v>
      </c>
      <c r="N382" s="639">
        <v>0</v>
      </c>
      <c r="O382" s="639">
        <v>0</v>
      </c>
      <c r="P382" s="639">
        <v>0</v>
      </c>
      <c r="Q382" s="639">
        <v>0</v>
      </c>
      <c r="R382" s="639">
        <v>0</v>
      </c>
      <c r="S382" s="639">
        <v>0</v>
      </c>
      <c r="T382" s="813"/>
      <c r="V382" s="641">
        <f t="shared" si="185"/>
        <v>0</v>
      </c>
      <c r="W382" s="715">
        <f t="shared" si="186"/>
        <v>0</v>
      </c>
      <c r="X382" s="1016"/>
      <c r="Y382" s="675">
        <f t="shared" si="187"/>
        <v>0</v>
      </c>
      <c r="Z382" s="670"/>
      <c r="AA382" s="675">
        <f t="shared" si="188"/>
        <v>0</v>
      </c>
      <c r="AB382" s="670"/>
      <c r="AC382" s="675">
        <f t="shared" si="189"/>
        <v>0</v>
      </c>
      <c r="AD382" s="670"/>
      <c r="AE382" s="675">
        <f t="shared" si="190"/>
        <v>0</v>
      </c>
      <c r="AF382" s="670"/>
      <c r="AL382" s="489"/>
      <c r="AM382" s="489"/>
      <c r="AN382" s="489"/>
      <c r="AO382" s="489"/>
      <c r="AP382" s="489"/>
      <c r="AQ382" s="489"/>
      <c r="AR382" s="489"/>
      <c r="AS382" s="489"/>
    </row>
    <row r="383" spans="1:45" s="484" customFormat="1" hidden="1">
      <c r="A383" s="695" t="s">
        <v>1283</v>
      </c>
      <c r="B383" s="638">
        <v>12566671540</v>
      </c>
      <c r="C383" s="639"/>
      <c r="D383" s="639"/>
      <c r="E383" s="639">
        <v>0</v>
      </c>
      <c r="F383" s="703"/>
      <c r="G383" s="639">
        <v>0</v>
      </c>
      <c r="H383" s="639">
        <v>0</v>
      </c>
      <c r="I383" s="639">
        <v>0</v>
      </c>
      <c r="J383" s="639">
        <v>0</v>
      </c>
      <c r="K383" s="639">
        <v>0</v>
      </c>
      <c r="L383" s="639">
        <v>0</v>
      </c>
      <c r="M383" s="639">
        <v>0</v>
      </c>
      <c r="N383" s="639">
        <v>0</v>
      </c>
      <c r="O383" s="639">
        <v>0</v>
      </c>
      <c r="P383" s="639">
        <v>0</v>
      </c>
      <c r="Q383" s="639">
        <v>0</v>
      </c>
      <c r="R383" s="639">
        <v>0</v>
      </c>
      <c r="S383" s="639">
        <v>0</v>
      </c>
      <c r="T383" s="813"/>
      <c r="V383" s="641">
        <f t="shared" si="185"/>
        <v>0</v>
      </c>
      <c r="W383" s="715">
        <f t="shared" si="186"/>
        <v>0</v>
      </c>
      <c r="X383" s="1015"/>
      <c r="Y383" s="675">
        <f t="shared" si="187"/>
        <v>0</v>
      </c>
      <c r="Z383" s="675"/>
      <c r="AA383" s="675">
        <f t="shared" si="188"/>
        <v>0</v>
      </c>
      <c r="AB383" s="675"/>
      <c r="AC383" s="675">
        <f t="shared" si="189"/>
        <v>0</v>
      </c>
      <c r="AD383" s="675"/>
      <c r="AE383" s="675">
        <f t="shared" si="190"/>
        <v>0</v>
      </c>
      <c r="AF383" s="675"/>
      <c r="AL383" s="489"/>
      <c r="AM383" s="489"/>
      <c r="AN383" s="489"/>
      <c r="AO383" s="489"/>
      <c r="AP383" s="489"/>
      <c r="AQ383" s="489"/>
      <c r="AR383" s="489"/>
      <c r="AS383" s="489"/>
    </row>
    <row r="384" spans="1:45" s="484" customFormat="1" ht="14.5" hidden="1">
      <c r="A384" s="695" t="s">
        <v>1284</v>
      </c>
      <c r="B384" s="647"/>
      <c r="C384" s="644"/>
      <c r="D384" s="644"/>
      <c r="E384" s="639">
        <v>0</v>
      </c>
      <c r="F384" s="705"/>
      <c r="G384" s="639">
        <v>0</v>
      </c>
      <c r="H384" s="639">
        <v>0</v>
      </c>
      <c r="I384" s="639">
        <v>0</v>
      </c>
      <c r="J384" s="639">
        <v>0</v>
      </c>
      <c r="K384" s="639">
        <v>0</v>
      </c>
      <c r="L384" s="639">
        <v>0</v>
      </c>
      <c r="M384" s="639">
        <v>0</v>
      </c>
      <c r="N384" s="639">
        <v>0</v>
      </c>
      <c r="O384" s="639">
        <v>0</v>
      </c>
      <c r="P384" s="639">
        <v>0</v>
      </c>
      <c r="Q384" s="639">
        <v>0</v>
      </c>
      <c r="R384" s="639">
        <v>0</v>
      </c>
      <c r="S384" s="639">
        <v>0</v>
      </c>
      <c r="T384" s="813"/>
      <c r="V384" s="641">
        <f t="shared" si="185"/>
        <v>0</v>
      </c>
      <c r="W384" s="715">
        <f t="shared" si="186"/>
        <v>0</v>
      </c>
      <c r="X384" s="1016"/>
      <c r="Y384" s="675">
        <f t="shared" si="187"/>
        <v>0</v>
      </c>
      <c r="Z384" s="670"/>
      <c r="AA384" s="675">
        <f t="shared" si="188"/>
        <v>0</v>
      </c>
      <c r="AB384" s="670"/>
      <c r="AC384" s="675">
        <f t="shared" si="189"/>
        <v>0</v>
      </c>
      <c r="AD384" s="670"/>
      <c r="AE384" s="675">
        <f t="shared" si="190"/>
        <v>0</v>
      </c>
      <c r="AF384" s="670"/>
      <c r="AL384" s="489"/>
      <c r="AM384" s="489"/>
      <c r="AN384" s="489"/>
      <c r="AO384" s="489"/>
      <c r="AP384" s="489"/>
      <c r="AQ384" s="489"/>
      <c r="AR384" s="489"/>
      <c r="AS384" s="489"/>
    </row>
    <row r="385" spans="1:45" s="484" customFormat="1" hidden="1">
      <c r="A385" s="695" t="s">
        <v>1285</v>
      </c>
      <c r="B385" s="638">
        <v>3756181378.5600004</v>
      </c>
      <c r="C385" s="639"/>
      <c r="D385" s="639"/>
      <c r="E385" s="639">
        <v>0</v>
      </c>
      <c r="F385" s="703"/>
      <c r="G385" s="639">
        <v>0</v>
      </c>
      <c r="H385" s="639">
        <v>0</v>
      </c>
      <c r="I385" s="639">
        <v>0</v>
      </c>
      <c r="J385" s="639">
        <v>0</v>
      </c>
      <c r="K385" s="639">
        <v>0</v>
      </c>
      <c r="L385" s="639">
        <v>0</v>
      </c>
      <c r="M385" s="639">
        <v>0</v>
      </c>
      <c r="N385" s="639">
        <v>0</v>
      </c>
      <c r="O385" s="639">
        <v>0</v>
      </c>
      <c r="P385" s="639">
        <v>0</v>
      </c>
      <c r="Q385" s="639">
        <v>0</v>
      </c>
      <c r="R385" s="639">
        <v>0</v>
      </c>
      <c r="S385" s="639">
        <v>0</v>
      </c>
      <c r="T385" s="813"/>
      <c r="V385" s="641">
        <f t="shared" si="185"/>
        <v>0</v>
      </c>
      <c r="W385" s="715">
        <f t="shared" si="186"/>
        <v>0</v>
      </c>
      <c r="X385" s="1015"/>
      <c r="Y385" s="675">
        <f t="shared" si="187"/>
        <v>0</v>
      </c>
      <c r="Z385" s="675"/>
      <c r="AA385" s="675">
        <f t="shared" si="188"/>
        <v>0</v>
      </c>
      <c r="AB385" s="675"/>
      <c r="AC385" s="675">
        <f t="shared" si="189"/>
        <v>0</v>
      </c>
      <c r="AD385" s="675"/>
      <c r="AE385" s="675">
        <f t="shared" si="190"/>
        <v>0</v>
      </c>
      <c r="AF385" s="675"/>
      <c r="AL385" s="489"/>
      <c r="AM385" s="489"/>
      <c r="AN385" s="489"/>
      <c r="AO385" s="489"/>
      <c r="AP385" s="489"/>
      <c r="AQ385" s="489"/>
      <c r="AR385" s="489"/>
      <c r="AS385" s="489"/>
    </row>
    <row r="386" spans="1:45" s="484" customFormat="1" ht="14.5" hidden="1">
      <c r="A386" s="695" t="s">
        <v>1286</v>
      </c>
      <c r="B386" s="647"/>
      <c r="C386" s="644"/>
      <c r="D386" s="644"/>
      <c r="E386" s="639">
        <v>0</v>
      </c>
      <c r="F386" s="705"/>
      <c r="G386" s="639">
        <v>0</v>
      </c>
      <c r="H386" s="639">
        <v>0</v>
      </c>
      <c r="I386" s="639">
        <v>0</v>
      </c>
      <c r="J386" s="639">
        <v>0</v>
      </c>
      <c r="K386" s="639">
        <v>0</v>
      </c>
      <c r="L386" s="639">
        <v>0</v>
      </c>
      <c r="M386" s="639">
        <v>0</v>
      </c>
      <c r="N386" s="639">
        <v>0</v>
      </c>
      <c r="O386" s="639">
        <v>0</v>
      </c>
      <c r="P386" s="639">
        <v>0</v>
      </c>
      <c r="Q386" s="639">
        <v>0</v>
      </c>
      <c r="R386" s="639">
        <v>0</v>
      </c>
      <c r="S386" s="639">
        <v>0</v>
      </c>
      <c r="T386" s="813"/>
      <c r="V386" s="641">
        <f t="shared" si="185"/>
        <v>0</v>
      </c>
      <c r="W386" s="715">
        <f t="shared" si="186"/>
        <v>0</v>
      </c>
      <c r="X386" s="1016"/>
      <c r="Y386" s="675">
        <f t="shared" si="187"/>
        <v>0</v>
      </c>
      <c r="Z386" s="670"/>
      <c r="AA386" s="675">
        <f t="shared" si="188"/>
        <v>0</v>
      </c>
      <c r="AB386" s="670"/>
      <c r="AC386" s="675">
        <f t="shared" si="189"/>
        <v>0</v>
      </c>
      <c r="AD386" s="670"/>
      <c r="AE386" s="675">
        <f t="shared" si="190"/>
        <v>0</v>
      </c>
      <c r="AF386" s="670"/>
      <c r="AL386" s="489"/>
      <c r="AM386" s="489"/>
      <c r="AN386" s="489"/>
      <c r="AO386" s="489"/>
      <c r="AP386" s="489"/>
      <c r="AQ386" s="489"/>
      <c r="AR386" s="489"/>
      <c r="AS386" s="489"/>
    </row>
    <row r="387" spans="1:45" s="484" customFormat="1" hidden="1">
      <c r="A387" s="695" t="s">
        <v>1287</v>
      </c>
      <c r="B387" s="638">
        <v>0</v>
      </c>
      <c r="C387" s="639"/>
      <c r="D387" s="639"/>
      <c r="E387" s="639">
        <v>0</v>
      </c>
      <c r="F387" s="703"/>
      <c r="G387" s="639">
        <v>0</v>
      </c>
      <c r="H387" s="639">
        <v>0</v>
      </c>
      <c r="I387" s="639">
        <v>0</v>
      </c>
      <c r="J387" s="639">
        <v>0</v>
      </c>
      <c r="K387" s="639">
        <v>0</v>
      </c>
      <c r="L387" s="639">
        <v>0</v>
      </c>
      <c r="M387" s="639">
        <v>0</v>
      </c>
      <c r="N387" s="639">
        <v>0</v>
      </c>
      <c r="O387" s="639">
        <v>0</v>
      </c>
      <c r="P387" s="639">
        <v>0</v>
      </c>
      <c r="Q387" s="639">
        <v>0</v>
      </c>
      <c r="R387" s="639">
        <v>0</v>
      </c>
      <c r="S387" s="639">
        <v>0</v>
      </c>
      <c r="T387" s="813"/>
      <c r="V387" s="641">
        <f t="shared" si="185"/>
        <v>0</v>
      </c>
      <c r="W387" s="715">
        <f t="shared" si="186"/>
        <v>0</v>
      </c>
      <c r="X387" s="1015"/>
      <c r="Y387" s="675">
        <f t="shared" si="187"/>
        <v>0</v>
      </c>
      <c r="Z387" s="675"/>
      <c r="AA387" s="675">
        <f t="shared" si="188"/>
        <v>0</v>
      </c>
      <c r="AB387" s="675"/>
      <c r="AC387" s="675">
        <f t="shared" si="189"/>
        <v>0</v>
      </c>
      <c r="AD387" s="675"/>
      <c r="AE387" s="675">
        <f t="shared" si="190"/>
        <v>0</v>
      </c>
      <c r="AF387" s="675"/>
      <c r="AL387" s="489"/>
      <c r="AM387" s="489"/>
      <c r="AN387" s="489"/>
      <c r="AO387" s="489"/>
      <c r="AP387" s="489"/>
      <c r="AQ387" s="489"/>
      <c r="AR387" s="489"/>
      <c r="AS387" s="489"/>
    </row>
    <row r="388" spans="1:45" s="484" customFormat="1" ht="14.5" hidden="1">
      <c r="A388" s="695" t="s">
        <v>1288</v>
      </c>
      <c r="B388" s="647"/>
      <c r="C388" s="644"/>
      <c r="D388" s="644"/>
      <c r="E388" s="639">
        <v>0</v>
      </c>
      <c r="F388" s="705"/>
      <c r="G388" s="639">
        <v>0</v>
      </c>
      <c r="H388" s="639">
        <v>0</v>
      </c>
      <c r="I388" s="639">
        <v>0</v>
      </c>
      <c r="J388" s="639">
        <v>0</v>
      </c>
      <c r="K388" s="639">
        <v>0</v>
      </c>
      <c r="L388" s="639">
        <v>0</v>
      </c>
      <c r="M388" s="639">
        <v>0</v>
      </c>
      <c r="N388" s="639">
        <v>0</v>
      </c>
      <c r="O388" s="639">
        <v>0</v>
      </c>
      <c r="P388" s="639">
        <v>0</v>
      </c>
      <c r="Q388" s="639">
        <v>0</v>
      </c>
      <c r="R388" s="639">
        <v>0</v>
      </c>
      <c r="S388" s="639">
        <v>0</v>
      </c>
      <c r="T388" s="813"/>
      <c r="V388" s="641">
        <f t="shared" si="185"/>
        <v>0</v>
      </c>
      <c r="W388" s="715">
        <f t="shared" si="186"/>
        <v>0</v>
      </c>
      <c r="X388" s="1016"/>
      <c r="Y388" s="675">
        <f t="shared" si="187"/>
        <v>0</v>
      </c>
      <c r="Z388" s="670"/>
      <c r="AA388" s="675">
        <f t="shared" si="188"/>
        <v>0</v>
      </c>
      <c r="AB388" s="670"/>
      <c r="AC388" s="675">
        <f t="shared" si="189"/>
        <v>0</v>
      </c>
      <c r="AD388" s="670"/>
      <c r="AE388" s="675">
        <f t="shared" si="190"/>
        <v>0</v>
      </c>
      <c r="AF388" s="670"/>
      <c r="AL388" s="489"/>
      <c r="AM388" s="489"/>
      <c r="AN388" s="489"/>
      <c r="AO388" s="489"/>
      <c r="AP388" s="489"/>
      <c r="AQ388" s="489"/>
      <c r="AR388" s="489"/>
      <c r="AS388" s="489"/>
    </row>
    <row r="389" spans="1:45" s="484" customFormat="1" hidden="1">
      <c r="A389" s="695" t="s">
        <v>1289</v>
      </c>
      <c r="B389" s="647">
        <v>111809990517</v>
      </c>
      <c r="C389" s="648"/>
      <c r="D389" s="648"/>
      <c r="E389" s="639">
        <v>0</v>
      </c>
      <c r="F389" s="706"/>
      <c r="G389" s="639">
        <v>0</v>
      </c>
      <c r="H389" s="639">
        <v>0</v>
      </c>
      <c r="I389" s="639">
        <v>0</v>
      </c>
      <c r="J389" s="639">
        <v>0</v>
      </c>
      <c r="K389" s="639">
        <v>0</v>
      </c>
      <c r="L389" s="639">
        <v>0</v>
      </c>
      <c r="M389" s="639">
        <v>0</v>
      </c>
      <c r="N389" s="639">
        <v>0</v>
      </c>
      <c r="O389" s="639">
        <v>0</v>
      </c>
      <c r="P389" s="639">
        <v>0</v>
      </c>
      <c r="Q389" s="639">
        <v>0</v>
      </c>
      <c r="R389" s="639">
        <v>0</v>
      </c>
      <c r="S389" s="639">
        <v>0</v>
      </c>
      <c r="T389" s="813"/>
      <c r="V389" s="641">
        <f t="shared" si="185"/>
        <v>0</v>
      </c>
      <c r="W389" s="715">
        <f t="shared" si="186"/>
        <v>0</v>
      </c>
      <c r="X389" s="1015"/>
      <c r="Y389" s="675">
        <f t="shared" si="187"/>
        <v>0</v>
      </c>
      <c r="Z389" s="675"/>
      <c r="AA389" s="675">
        <f t="shared" si="188"/>
        <v>0</v>
      </c>
      <c r="AB389" s="675"/>
      <c r="AC389" s="675">
        <f t="shared" si="189"/>
        <v>0</v>
      </c>
      <c r="AD389" s="675"/>
      <c r="AE389" s="675">
        <f t="shared" si="190"/>
        <v>0</v>
      </c>
      <c r="AF389" s="675"/>
      <c r="AL389" s="489"/>
      <c r="AM389" s="489"/>
      <c r="AN389" s="489"/>
      <c r="AO389" s="489"/>
      <c r="AP389" s="489"/>
      <c r="AQ389" s="489"/>
      <c r="AR389" s="489"/>
      <c r="AS389" s="489"/>
    </row>
    <row r="390" spans="1:45" s="484" customFormat="1" ht="14.5" hidden="1">
      <c r="A390" s="695" t="s">
        <v>1290</v>
      </c>
      <c r="B390" s="647"/>
      <c r="C390" s="644"/>
      <c r="D390" s="644"/>
      <c r="E390" s="639">
        <v>0</v>
      </c>
      <c r="F390" s="705"/>
      <c r="G390" s="639">
        <v>0</v>
      </c>
      <c r="H390" s="639">
        <v>0</v>
      </c>
      <c r="I390" s="639">
        <v>0</v>
      </c>
      <c r="J390" s="639">
        <v>0</v>
      </c>
      <c r="K390" s="639">
        <v>0</v>
      </c>
      <c r="L390" s="639">
        <v>0</v>
      </c>
      <c r="M390" s="639">
        <v>0</v>
      </c>
      <c r="N390" s="639">
        <v>0</v>
      </c>
      <c r="O390" s="639">
        <v>0</v>
      </c>
      <c r="P390" s="639">
        <v>0</v>
      </c>
      <c r="Q390" s="639">
        <v>0</v>
      </c>
      <c r="R390" s="639">
        <v>0</v>
      </c>
      <c r="S390" s="639">
        <v>0</v>
      </c>
      <c r="T390" s="813"/>
      <c r="V390" s="641">
        <f t="shared" si="185"/>
        <v>0</v>
      </c>
      <c r="W390" s="715">
        <f t="shared" si="186"/>
        <v>0</v>
      </c>
      <c r="X390" s="1016"/>
      <c r="Y390" s="675">
        <f t="shared" si="187"/>
        <v>0</v>
      </c>
      <c r="AA390" s="675">
        <f t="shared" si="188"/>
        <v>0</v>
      </c>
      <c r="AC390" s="675">
        <f t="shared" si="189"/>
        <v>0</v>
      </c>
      <c r="AE390" s="675">
        <f t="shared" si="190"/>
        <v>0</v>
      </c>
      <c r="AF390" s="528"/>
      <c r="AL390" s="489"/>
      <c r="AM390" s="489"/>
      <c r="AN390" s="489"/>
      <c r="AO390" s="489"/>
      <c r="AP390" s="489"/>
      <c r="AQ390" s="489"/>
      <c r="AR390" s="489"/>
      <c r="AS390" s="489"/>
    </row>
    <row r="391" spans="1:45" s="484" customFormat="1" ht="14.5" hidden="1">
      <c r="A391" s="695" t="s">
        <v>1291</v>
      </c>
      <c r="B391" s="647"/>
      <c r="C391" s="644"/>
      <c r="D391" s="644"/>
      <c r="E391" s="639">
        <v>0</v>
      </c>
      <c r="F391" s="705"/>
      <c r="G391" s="639">
        <v>0</v>
      </c>
      <c r="H391" s="639">
        <v>0</v>
      </c>
      <c r="I391" s="639">
        <v>0</v>
      </c>
      <c r="J391" s="639">
        <v>0</v>
      </c>
      <c r="K391" s="639">
        <v>0</v>
      </c>
      <c r="L391" s="639">
        <v>0</v>
      </c>
      <c r="M391" s="639">
        <v>0</v>
      </c>
      <c r="N391" s="639">
        <v>0</v>
      </c>
      <c r="O391" s="639">
        <v>0</v>
      </c>
      <c r="P391" s="639">
        <v>0</v>
      </c>
      <c r="Q391" s="639">
        <v>0</v>
      </c>
      <c r="R391" s="639">
        <v>0</v>
      </c>
      <c r="S391" s="639">
        <v>0</v>
      </c>
      <c r="T391" s="813"/>
      <c r="V391" s="641">
        <f t="shared" si="185"/>
        <v>0</v>
      </c>
      <c r="W391" s="715">
        <f t="shared" si="186"/>
        <v>0</v>
      </c>
      <c r="X391" s="1016"/>
      <c r="Y391" s="675">
        <f t="shared" si="187"/>
        <v>0</v>
      </c>
      <c r="Z391" s="675"/>
      <c r="AA391" s="675">
        <f t="shared" si="188"/>
        <v>0</v>
      </c>
      <c r="AB391" s="675"/>
      <c r="AC391" s="675">
        <f t="shared" si="189"/>
        <v>0</v>
      </c>
      <c r="AD391" s="675"/>
      <c r="AE391" s="675">
        <f t="shared" si="190"/>
        <v>0</v>
      </c>
      <c r="AL391" s="489"/>
      <c r="AM391" s="489"/>
      <c r="AN391" s="489"/>
      <c r="AO391" s="489"/>
      <c r="AP391" s="489"/>
      <c r="AQ391" s="489"/>
      <c r="AR391" s="489"/>
      <c r="AS391" s="489"/>
    </row>
    <row r="392" spans="1:45" s="484" customFormat="1" ht="14.5" hidden="1">
      <c r="A392" s="695" t="s">
        <v>1292</v>
      </c>
      <c r="B392" s="647"/>
      <c r="C392" s="644"/>
      <c r="D392" s="644"/>
      <c r="E392" s="639">
        <v>0</v>
      </c>
      <c r="F392" s="705"/>
      <c r="G392" s="639">
        <v>0</v>
      </c>
      <c r="H392" s="639">
        <v>0</v>
      </c>
      <c r="I392" s="639">
        <v>0</v>
      </c>
      <c r="J392" s="639">
        <v>0</v>
      </c>
      <c r="K392" s="639">
        <v>0</v>
      </c>
      <c r="L392" s="639">
        <v>0</v>
      </c>
      <c r="M392" s="639">
        <v>0</v>
      </c>
      <c r="N392" s="639">
        <v>0</v>
      </c>
      <c r="O392" s="639">
        <v>0</v>
      </c>
      <c r="P392" s="639">
        <v>0</v>
      </c>
      <c r="Q392" s="639">
        <v>0</v>
      </c>
      <c r="R392" s="639">
        <v>0</v>
      </c>
      <c r="S392" s="639">
        <v>0</v>
      </c>
      <c r="T392" s="813"/>
      <c r="V392" s="641">
        <f t="shared" si="185"/>
        <v>0</v>
      </c>
      <c r="W392" s="715">
        <f t="shared" si="186"/>
        <v>0</v>
      </c>
      <c r="X392" s="1016"/>
      <c r="Y392" s="675">
        <f t="shared" si="187"/>
        <v>0</v>
      </c>
      <c r="AA392" s="675">
        <f t="shared" si="188"/>
        <v>0</v>
      </c>
      <c r="AC392" s="675">
        <f t="shared" si="189"/>
        <v>0</v>
      </c>
      <c r="AE392" s="675">
        <f t="shared" si="190"/>
        <v>0</v>
      </c>
      <c r="AL392" s="489"/>
      <c r="AM392" s="489"/>
      <c r="AN392" s="489"/>
      <c r="AO392" s="489"/>
      <c r="AP392" s="489"/>
      <c r="AQ392" s="489"/>
      <c r="AR392" s="489"/>
      <c r="AS392" s="489"/>
    </row>
    <row r="393" spans="1:45" s="484" customFormat="1" ht="14.5" hidden="1">
      <c r="A393" s="695" t="s">
        <v>1293</v>
      </c>
      <c r="B393" s="647"/>
      <c r="C393" s="644"/>
      <c r="D393" s="644"/>
      <c r="E393" s="639">
        <v>0</v>
      </c>
      <c r="F393" s="705"/>
      <c r="G393" s="639">
        <v>0</v>
      </c>
      <c r="H393" s="639">
        <v>0</v>
      </c>
      <c r="I393" s="639">
        <v>0</v>
      </c>
      <c r="J393" s="639">
        <v>0</v>
      </c>
      <c r="K393" s="639">
        <v>0</v>
      </c>
      <c r="L393" s="639">
        <v>0</v>
      </c>
      <c r="M393" s="639">
        <v>0</v>
      </c>
      <c r="N393" s="639">
        <v>0</v>
      </c>
      <c r="O393" s="639">
        <v>0</v>
      </c>
      <c r="P393" s="639">
        <v>0</v>
      </c>
      <c r="Q393" s="639">
        <v>0</v>
      </c>
      <c r="R393" s="639">
        <v>0</v>
      </c>
      <c r="S393" s="639">
        <v>0</v>
      </c>
      <c r="T393" s="813"/>
      <c r="V393" s="641">
        <f t="shared" si="185"/>
        <v>0</v>
      </c>
      <c r="W393" s="715">
        <f t="shared" si="186"/>
        <v>0</v>
      </c>
      <c r="X393" s="1016"/>
      <c r="Y393" s="675"/>
      <c r="AA393" s="675"/>
      <c r="AC393" s="675"/>
      <c r="AE393" s="675"/>
      <c r="AL393" s="489"/>
      <c r="AM393" s="489"/>
      <c r="AN393" s="489"/>
      <c r="AO393" s="489"/>
      <c r="AP393" s="489"/>
      <c r="AQ393" s="489"/>
      <c r="AR393" s="489"/>
      <c r="AS393" s="489"/>
    </row>
    <row r="394" spans="1:45" s="484" customFormat="1" ht="14.5" hidden="1">
      <c r="A394" s="695" t="s">
        <v>1294</v>
      </c>
      <c r="B394" s="647"/>
      <c r="C394" s="644"/>
      <c r="D394" s="644"/>
      <c r="E394" s="639">
        <v>0</v>
      </c>
      <c r="F394" s="705"/>
      <c r="G394" s="639">
        <v>0</v>
      </c>
      <c r="H394" s="639">
        <v>0</v>
      </c>
      <c r="I394" s="639">
        <v>0</v>
      </c>
      <c r="J394" s="639">
        <v>0</v>
      </c>
      <c r="K394" s="639">
        <v>0</v>
      </c>
      <c r="L394" s="639">
        <v>0</v>
      </c>
      <c r="M394" s="639">
        <v>0</v>
      </c>
      <c r="N394" s="639">
        <v>0</v>
      </c>
      <c r="O394" s="639">
        <v>0</v>
      </c>
      <c r="P394" s="639">
        <v>0</v>
      </c>
      <c r="Q394" s="639">
        <v>0</v>
      </c>
      <c r="R394" s="639">
        <v>0</v>
      </c>
      <c r="S394" s="639">
        <v>0</v>
      </c>
      <c r="T394" s="813"/>
      <c r="V394" s="641">
        <f t="shared" si="185"/>
        <v>0</v>
      </c>
      <c r="W394" s="715">
        <f t="shared" si="186"/>
        <v>0</v>
      </c>
      <c r="X394" s="1016"/>
      <c r="Y394" s="675"/>
      <c r="AA394" s="675"/>
      <c r="AC394" s="675"/>
      <c r="AE394" s="675"/>
      <c r="AL394" s="489"/>
      <c r="AM394" s="489"/>
      <c r="AN394" s="489"/>
      <c r="AO394" s="489"/>
      <c r="AP394" s="489"/>
      <c r="AQ394" s="489"/>
      <c r="AR394" s="489"/>
      <c r="AS394" s="489"/>
    </row>
    <row r="395" spans="1:45" s="484" customFormat="1" ht="14.5" hidden="1">
      <c r="A395" s="695" t="s">
        <v>1295</v>
      </c>
      <c r="B395" s="647"/>
      <c r="C395" s="644"/>
      <c r="D395" s="644"/>
      <c r="E395" s="639">
        <v>0</v>
      </c>
      <c r="F395" s="705"/>
      <c r="G395" s="639">
        <v>0</v>
      </c>
      <c r="H395" s="639">
        <v>0</v>
      </c>
      <c r="I395" s="639">
        <v>0</v>
      </c>
      <c r="J395" s="639">
        <v>0</v>
      </c>
      <c r="K395" s="639">
        <v>0</v>
      </c>
      <c r="L395" s="639">
        <v>0</v>
      </c>
      <c r="M395" s="639">
        <v>0</v>
      </c>
      <c r="N395" s="639">
        <v>0</v>
      </c>
      <c r="O395" s="639">
        <v>0</v>
      </c>
      <c r="P395" s="639">
        <v>0</v>
      </c>
      <c r="Q395" s="639">
        <v>0</v>
      </c>
      <c r="R395" s="639">
        <v>0</v>
      </c>
      <c r="S395" s="639">
        <v>0</v>
      </c>
      <c r="T395" s="813"/>
      <c r="V395" s="641">
        <f t="shared" si="185"/>
        <v>0</v>
      </c>
      <c r="W395" s="715">
        <f t="shared" si="186"/>
        <v>0</v>
      </c>
      <c r="X395" s="1016"/>
      <c r="Y395" s="675"/>
      <c r="AA395" s="675"/>
      <c r="AC395" s="675"/>
      <c r="AE395" s="675"/>
      <c r="AL395" s="489"/>
      <c r="AM395" s="489"/>
      <c r="AN395" s="489"/>
      <c r="AO395" s="489"/>
      <c r="AP395" s="489"/>
      <c r="AQ395" s="489"/>
      <c r="AR395" s="489"/>
      <c r="AS395" s="489"/>
    </row>
    <row r="396" spans="1:45" s="484" customFormat="1" ht="14.5" hidden="1">
      <c r="A396" s="695" t="s">
        <v>1296</v>
      </c>
      <c r="B396" s="647"/>
      <c r="C396" s="644"/>
      <c r="D396" s="644"/>
      <c r="E396" s="639">
        <v>0</v>
      </c>
      <c r="F396" s="705"/>
      <c r="G396" s="639">
        <v>0</v>
      </c>
      <c r="H396" s="639">
        <v>0</v>
      </c>
      <c r="I396" s="639">
        <v>0</v>
      </c>
      <c r="J396" s="639">
        <v>0</v>
      </c>
      <c r="K396" s="639">
        <v>0</v>
      </c>
      <c r="L396" s="639">
        <v>0</v>
      </c>
      <c r="M396" s="639">
        <v>0</v>
      </c>
      <c r="N396" s="639">
        <v>0</v>
      </c>
      <c r="O396" s="639">
        <v>0</v>
      </c>
      <c r="P396" s="639">
        <v>0</v>
      </c>
      <c r="Q396" s="639">
        <v>0</v>
      </c>
      <c r="R396" s="639">
        <v>0</v>
      </c>
      <c r="S396" s="639">
        <v>0</v>
      </c>
      <c r="T396" s="813"/>
      <c r="V396" s="641">
        <f t="shared" si="185"/>
        <v>0</v>
      </c>
      <c r="W396" s="715">
        <f t="shared" si="186"/>
        <v>0</v>
      </c>
      <c r="X396" s="1016"/>
      <c r="Y396" s="675"/>
      <c r="AA396" s="675"/>
      <c r="AC396" s="675"/>
      <c r="AE396" s="675"/>
      <c r="AL396" s="489"/>
      <c r="AM396" s="489"/>
      <c r="AN396" s="489"/>
      <c r="AO396" s="489"/>
      <c r="AP396" s="489"/>
      <c r="AQ396" s="489"/>
      <c r="AR396" s="489"/>
      <c r="AS396" s="489"/>
    </row>
    <row r="397" spans="1:45" s="484" customFormat="1" ht="14.5" hidden="1">
      <c r="A397" s="695" t="s">
        <v>1297</v>
      </c>
      <c r="B397" s="647"/>
      <c r="C397" s="644"/>
      <c r="D397" s="644"/>
      <c r="E397" s="639">
        <v>0</v>
      </c>
      <c r="F397" s="705"/>
      <c r="G397" s="639">
        <v>0</v>
      </c>
      <c r="H397" s="639">
        <v>0</v>
      </c>
      <c r="I397" s="639">
        <v>0</v>
      </c>
      <c r="J397" s="639">
        <v>0</v>
      </c>
      <c r="K397" s="639">
        <v>0</v>
      </c>
      <c r="L397" s="639">
        <v>0</v>
      </c>
      <c r="M397" s="639">
        <v>0</v>
      </c>
      <c r="N397" s="639">
        <v>0</v>
      </c>
      <c r="O397" s="639">
        <v>0</v>
      </c>
      <c r="P397" s="639">
        <v>0</v>
      </c>
      <c r="Q397" s="639">
        <v>0</v>
      </c>
      <c r="R397" s="639">
        <v>0</v>
      </c>
      <c r="S397" s="639">
        <v>0</v>
      </c>
      <c r="T397" s="813"/>
      <c r="V397" s="641">
        <f t="shared" si="185"/>
        <v>0</v>
      </c>
      <c r="W397" s="715">
        <f t="shared" si="186"/>
        <v>0</v>
      </c>
      <c r="X397" s="1016"/>
      <c r="Y397" s="675"/>
      <c r="AA397" s="675"/>
      <c r="AC397" s="675"/>
      <c r="AE397" s="675"/>
      <c r="AL397" s="489"/>
      <c r="AM397" s="489"/>
      <c r="AN397" s="489"/>
      <c r="AO397" s="489"/>
      <c r="AP397" s="489"/>
      <c r="AQ397" s="489"/>
      <c r="AR397" s="489"/>
      <c r="AS397" s="489"/>
    </row>
    <row r="398" spans="1:45" s="484" customFormat="1" ht="14.5" hidden="1">
      <c r="A398" s="695" t="s">
        <v>1298</v>
      </c>
      <c r="B398" s="647"/>
      <c r="C398" s="644"/>
      <c r="D398" s="644"/>
      <c r="E398" s="639">
        <v>0</v>
      </c>
      <c r="F398" s="705"/>
      <c r="G398" s="639">
        <v>0</v>
      </c>
      <c r="H398" s="639">
        <v>0</v>
      </c>
      <c r="I398" s="639">
        <v>0</v>
      </c>
      <c r="J398" s="639">
        <v>0</v>
      </c>
      <c r="K398" s="639">
        <v>0</v>
      </c>
      <c r="L398" s="639">
        <v>0</v>
      </c>
      <c r="M398" s="639">
        <v>0</v>
      </c>
      <c r="N398" s="639">
        <v>0</v>
      </c>
      <c r="O398" s="639">
        <v>0</v>
      </c>
      <c r="P398" s="639">
        <v>0</v>
      </c>
      <c r="Q398" s="639">
        <v>0</v>
      </c>
      <c r="R398" s="639">
        <v>0</v>
      </c>
      <c r="S398" s="639">
        <v>0</v>
      </c>
      <c r="T398" s="813"/>
      <c r="V398" s="641">
        <f t="shared" si="185"/>
        <v>0</v>
      </c>
      <c r="W398" s="715">
        <f t="shared" si="186"/>
        <v>0</v>
      </c>
      <c r="X398" s="1016"/>
      <c r="Y398" s="675"/>
      <c r="AA398" s="675"/>
      <c r="AC398" s="675"/>
      <c r="AE398" s="675"/>
      <c r="AL398" s="489"/>
      <c r="AM398" s="489"/>
      <c r="AN398" s="489"/>
      <c r="AO398" s="489"/>
      <c r="AP398" s="489"/>
      <c r="AQ398" s="489"/>
      <c r="AR398" s="489"/>
      <c r="AS398" s="489"/>
    </row>
    <row r="399" spans="1:45" s="484" customFormat="1" ht="14.5" hidden="1">
      <c r="A399" s="695" t="s">
        <v>1299</v>
      </c>
      <c r="B399" s="647"/>
      <c r="C399" s="644"/>
      <c r="D399" s="644"/>
      <c r="E399" s="639">
        <v>0</v>
      </c>
      <c r="F399" s="705"/>
      <c r="G399" s="639">
        <v>0</v>
      </c>
      <c r="H399" s="639">
        <v>0</v>
      </c>
      <c r="I399" s="639">
        <v>0</v>
      </c>
      <c r="J399" s="639">
        <v>0</v>
      </c>
      <c r="K399" s="639">
        <v>0</v>
      </c>
      <c r="L399" s="639">
        <v>0</v>
      </c>
      <c r="M399" s="639">
        <v>0</v>
      </c>
      <c r="N399" s="639">
        <v>0</v>
      </c>
      <c r="O399" s="639">
        <v>0</v>
      </c>
      <c r="P399" s="639">
        <v>0</v>
      </c>
      <c r="Q399" s="639">
        <v>0</v>
      </c>
      <c r="R399" s="639">
        <v>0</v>
      </c>
      <c r="S399" s="639">
        <v>0</v>
      </c>
      <c r="T399" s="813"/>
      <c r="V399" s="641">
        <f t="shared" si="185"/>
        <v>0</v>
      </c>
      <c r="W399" s="715">
        <f t="shared" si="186"/>
        <v>0</v>
      </c>
      <c r="X399" s="1016"/>
      <c r="Y399" s="675"/>
      <c r="AA399" s="675"/>
      <c r="AC399" s="675"/>
      <c r="AE399" s="675"/>
      <c r="AL399" s="489"/>
      <c r="AM399" s="489"/>
      <c r="AN399" s="489"/>
      <c r="AO399" s="489"/>
      <c r="AP399" s="489"/>
      <c r="AQ399" s="489"/>
      <c r="AR399" s="489"/>
      <c r="AS399" s="489"/>
    </row>
    <row r="400" spans="1:45" s="484" customFormat="1" ht="14.5" hidden="1">
      <c r="A400" s="695" t="s">
        <v>1300</v>
      </c>
      <c r="B400" s="647"/>
      <c r="C400" s="644"/>
      <c r="D400" s="644"/>
      <c r="E400" s="639">
        <v>0</v>
      </c>
      <c r="F400" s="705"/>
      <c r="G400" s="639">
        <v>0</v>
      </c>
      <c r="H400" s="639">
        <v>0</v>
      </c>
      <c r="I400" s="639">
        <v>0</v>
      </c>
      <c r="J400" s="639">
        <v>0</v>
      </c>
      <c r="K400" s="639">
        <v>0</v>
      </c>
      <c r="L400" s="639">
        <v>0</v>
      </c>
      <c r="M400" s="639">
        <v>0</v>
      </c>
      <c r="N400" s="639">
        <v>0</v>
      </c>
      <c r="O400" s="639">
        <v>0</v>
      </c>
      <c r="P400" s="639">
        <v>0</v>
      </c>
      <c r="Q400" s="639">
        <v>0</v>
      </c>
      <c r="R400" s="639">
        <v>0</v>
      </c>
      <c r="S400" s="639">
        <v>0</v>
      </c>
      <c r="T400" s="813"/>
      <c r="V400" s="641">
        <f t="shared" si="185"/>
        <v>0</v>
      </c>
      <c r="W400" s="715">
        <f t="shared" si="186"/>
        <v>0</v>
      </c>
      <c r="X400" s="1016"/>
      <c r="Y400" s="675"/>
      <c r="AA400" s="675"/>
      <c r="AC400" s="675"/>
      <c r="AE400" s="675"/>
      <c r="AL400" s="489"/>
      <c r="AM400" s="489"/>
      <c r="AN400" s="489"/>
      <c r="AO400" s="489"/>
      <c r="AP400" s="489"/>
      <c r="AQ400" s="489"/>
      <c r="AR400" s="489"/>
      <c r="AS400" s="489"/>
    </row>
    <row r="401" spans="1:45" s="484" customFormat="1" ht="14.5" hidden="1">
      <c r="A401" s="695" t="s">
        <v>1301</v>
      </c>
      <c r="B401" s="647"/>
      <c r="C401" s="644"/>
      <c r="D401" s="644"/>
      <c r="E401" s="639">
        <v>0</v>
      </c>
      <c r="F401" s="705"/>
      <c r="G401" s="639">
        <v>0</v>
      </c>
      <c r="H401" s="639">
        <v>0</v>
      </c>
      <c r="I401" s="639">
        <v>0</v>
      </c>
      <c r="J401" s="639">
        <v>0</v>
      </c>
      <c r="K401" s="639">
        <v>0</v>
      </c>
      <c r="L401" s="639">
        <v>0</v>
      </c>
      <c r="M401" s="639">
        <v>0</v>
      </c>
      <c r="N401" s="639">
        <v>0</v>
      </c>
      <c r="O401" s="639">
        <v>0</v>
      </c>
      <c r="P401" s="639">
        <v>0</v>
      </c>
      <c r="Q401" s="639">
        <v>0</v>
      </c>
      <c r="R401" s="639">
        <v>0</v>
      </c>
      <c r="S401" s="639">
        <v>0</v>
      </c>
      <c r="T401" s="813"/>
      <c r="V401" s="641">
        <f t="shared" si="185"/>
        <v>0</v>
      </c>
      <c r="W401" s="715">
        <f t="shared" si="186"/>
        <v>0</v>
      </c>
      <c r="X401" s="1016"/>
      <c r="Y401" s="675"/>
      <c r="AA401" s="675"/>
      <c r="AC401" s="675"/>
      <c r="AE401" s="675"/>
      <c r="AL401" s="489"/>
      <c r="AM401" s="489"/>
      <c r="AN401" s="489"/>
      <c r="AO401" s="489"/>
      <c r="AP401" s="489"/>
      <c r="AQ401" s="489"/>
      <c r="AR401" s="489"/>
      <c r="AS401" s="489"/>
    </row>
    <row r="402" spans="1:45" s="484" customFormat="1" ht="14.5" hidden="1">
      <c r="A402" s="695" t="s">
        <v>1302</v>
      </c>
      <c r="B402" s="647"/>
      <c r="C402" s="644"/>
      <c r="D402" s="644"/>
      <c r="E402" s="639">
        <v>0</v>
      </c>
      <c r="F402" s="705"/>
      <c r="G402" s="639">
        <v>0</v>
      </c>
      <c r="H402" s="639">
        <v>0</v>
      </c>
      <c r="I402" s="639">
        <v>0</v>
      </c>
      <c r="J402" s="639">
        <v>0</v>
      </c>
      <c r="K402" s="639">
        <v>0</v>
      </c>
      <c r="L402" s="639">
        <v>0</v>
      </c>
      <c r="M402" s="639">
        <v>0</v>
      </c>
      <c r="N402" s="639">
        <v>0</v>
      </c>
      <c r="O402" s="639">
        <v>0</v>
      </c>
      <c r="P402" s="639">
        <v>0</v>
      </c>
      <c r="Q402" s="639">
        <v>0</v>
      </c>
      <c r="R402" s="639">
        <v>0</v>
      </c>
      <c r="S402" s="639">
        <v>0</v>
      </c>
      <c r="T402" s="813"/>
      <c r="V402" s="641">
        <f t="shared" si="185"/>
        <v>0</v>
      </c>
      <c r="W402" s="715">
        <f t="shared" si="186"/>
        <v>0</v>
      </c>
      <c r="X402" s="1016"/>
      <c r="Y402" s="675"/>
      <c r="AA402" s="675"/>
      <c r="AC402" s="675"/>
      <c r="AE402" s="675"/>
      <c r="AL402" s="489"/>
      <c r="AM402" s="489"/>
      <c r="AN402" s="489"/>
      <c r="AO402" s="489"/>
      <c r="AP402" s="489"/>
      <c r="AQ402" s="489"/>
      <c r="AR402" s="489"/>
      <c r="AS402" s="489"/>
    </row>
    <row r="403" spans="1:45" s="484" customFormat="1" ht="14.5" hidden="1">
      <c r="A403" s="695" t="s">
        <v>1303</v>
      </c>
      <c r="B403" s="647"/>
      <c r="C403" s="644"/>
      <c r="D403" s="644"/>
      <c r="E403" s="639">
        <v>0</v>
      </c>
      <c r="F403" s="705"/>
      <c r="G403" s="639">
        <v>0</v>
      </c>
      <c r="H403" s="639">
        <v>0</v>
      </c>
      <c r="I403" s="639">
        <v>0</v>
      </c>
      <c r="J403" s="639">
        <v>0</v>
      </c>
      <c r="K403" s="639">
        <v>0</v>
      </c>
      <c r="L403" s="639">
        <v>0</v>
      </c>
      <c r="M403" s="639">
        <v>0</v>
      </c>
      <c r="N403" s="639">
        <v>0</v>
      </c>
      <c r="O403" s="639">
        <v>0</v>
      </c>
      <c r="P403" s="639">
        <v>0</v>
      </c>
      <c r="Q403" s="639">
        <v>0</v>
      </c>
      <c r="R403" s="639">
        <v>0</v>
      </c>
      <c r="S403" s="639">
        <v>0</v>
      </c>
      <c r="T403" s="813"/>
      <c r="V403" s="641">
        <f t="shared" si="185"/>
        <v>0</v>
      </c>
      <c r="W403" s="715">
        <f t="shared" si="186"/>
        <v>0</v>
      </c>
      <c r="X403" s="1016"/>
      <c r="Y403" s="675"/>
      <c r="AA403" s="675"/>
      <c r="AC403" s="675"/>
      <c r="AE403" s="675"/>
      <c r="AL403" s="489"/>
      <c r="AM403" s="489"/>
      <c r="AN403" s="489"/>
      <c r="AO403" s="489"/>
      <c r="AP403" s="489"/>
      <c r="AQ403" s="489"/>
      <c r="AR403" s="489"/>
      <c r="AS403" s="489"/>
    </row>
    <row r="404" spans="1:45" s="484" customFormat="1" ht="14.5" hidden="1">
      <c r="A404" s="695" t="s">
        <v>1304</v>
      </c>
      <c r="B404" s="647"/>
      <c r="C404" s="644"/>
      <c r="D404" s="644"/>
      <c r="E404" s="639">
        <v>0</v>
      </c>
      <c r="F404" s="705"/>
      <c r="G404" s="639">
        <v>0</v>
      </c>
      <c r="H404" s="639">
        <v>0</v>
      </c>
      <c r="I404" s="639">
        <v>0</v>
      </c>
      <c r="J404" s="639">
        <v>0</v>
      </c>
      <c r="K404" s="639">
        <v>0</v>
      </c>
      <c r="L404" s="639">
        <v>0</v>
      </c>
      <c r="M404" s="639">
        <v>0</v>
      </c>
      <c r="N404" s="639">
        <v>0</v>
      </c>
      <c r="O404" s="639">
        <v>0</v>
      </c>
      <c r="P404" s="639">
        <v>0</v>
      </c>
      <c r="Q404" s="639">
        <v>0</v>
      </c>
      <c r="R404" s="639">
        <v>0</v>
      </c>
      <c r="S404" s="639">
        <v>0</v>
      </c>
      <c r="T404" s="813"/>
      <c r="V404" s="641">
        <f t="shared" si="185"/>
        <v>0</v>
      </c>
      <c r="W404" s="715">
        <f t="shared" si="186"/>
        <v>0</v>
      </c>
      <c r="X404" s="1016"/>
      <c r="Y404" s="675"/>
      <c r="AA404" s="675"/>
      <c r="AC404" s="675"/>
      <c r="AE404" s="675"/>
      <c r="AL404" s="489"/>
      <c r="AM404" s="489"/>
      <c r="AN404" s="489"/>
      <c r="AO404" s="489"/>
      <c r="AP404" s="489"/>
      <c r="AQ404" s="489"/>
      <c r="AR404" s="489"/>
      <c r="AS404" s="489"/>
    </row>
    <row r="405" spans="1:45" s="484" customFormat="1" ht="14.5" hidden="1">
      <c r="A405" s="695" t="s">
        <v>1305</v>
      </c>
      <c r="B405" s="647"/>
      <c r="C405" s="644"/>
      <c r="D405" s="644"/>
      <c r="E405" s="639">
        <v>0</v>
      </c>
      <c r="F405" s="705"/>
      <c r="G405" s="639">
        <v>0</v>
      </c>
      <c r="H405" s="639">
        <v>0</v>
      </c>
      <c r="I405" s="639">
        <v>0</v>
      </c>
      <c r="J405" s="639">
        <v>0</v>
      </c>
      <c r="K405" s="639">
        <v>0</v>
      </c>
      <c r="L405" s="639">
        <v>0</v>
      </c>
      <c r="M405" s="639">
        <v>0</v>
      </c>
      <c r="N405" s="639">
        <v>0</v>
      </c>
      <c r="O405" s="639">
        <v>0</v>
      </c>
      <c r="P405" s="639">
        <v>0</v>
      </c>
      <c r="Q405" s="639">
        <v>0</v>
      </c>
      <c r="R405" s="639">
        <v>0</v>
      </c>
      <c r="S405" s="639">
        <v>0</v>
      </c>
      <c r="T405" s="813"/>
      <c r="V405" s="641">
        <f t="shared" si="185"/>
        <v>0</v>
      </c>
      <c r="W405" s="715">
        <f t="shared" si="186"/>
        <v>0</v>
      </c>
      <c r="X405" s="1016"/>
      <c r="Y405" s="675"/>
      <c r="AA405" s="675"/>
      <c r="AC405" s="675"/>
      <c r="AE405" s="675"/>
      <c r="AL405" s="489"/>
      <c r="AM405" s="489"/>
      <c r="AN405" s="489"/>
      <c r="AO405" s="489"/>
      <c r="AP405" s="489"/>
      <c r="AQ405" s="489"/>
      <c r="AR405" s="489"/>
      <c r="AS405" s="489"/>
    </row>
    <row r="406" spans="1:45" s="484" customFormat="1" ht="14.5" hidden="1">
      <c r="A406" s="695" t="s">
        <v>1306</v>
      </c>
      <c r="B406" s="647"/>
      <c r="C406" s="644"/>
      <c r="D406" s="644"/>
      <c r="E406" s="639">
        <v>0</v>
      </c>
      <c r="F406" s="705"/>
      <c r="G406" s="639">
        <v>0</v>
      </c>
      <c r="H406" s="639">
        <v>0</v>
      </c>
      <c r="I406" s="639">
        <v>0</v>
      </c>
      <c r="J406" s="639">
        <v>0</v>
      </c>
      <c r="K406" s="639">
        <v>0</v>
      </c>
      <c r="L406" s="639">
        <v>0</v>
      </c>
      <c r="M406" s="639">
        <v>0</v>
      </c>
      <c r="N406" s="639">
        <v>0</v>
      </c>
      <c r="O406" s="639">
        <v>0</v>
      </c>
      <c r="P406" s="639">
        <v>0</v>
      </c>
      <c r="Q406" s="639">
        <v>0</v>
      </c>
      <c r="R406" s="639">
        <v>0</v>
      </c>
      <c r="S406" s="639">
        <v>0</v>
      </c>
      <c r="T406" s="813"/>
      <c r="V406" s="641">
        <f t="shared" si="185"/>
        <v>0</v>
      </c>
      <c r="W406" s="715">
        <f t="shared" si="186"/>
        <v>0</v>
      </c>
      <c r="X406" s="1016"/>
      <c r="Y406" s="675"/>
      <c r="AA406" s="675"/>
      <c r="AC406" s="675"/>
      <c r="AE406" s="675"/>
      <c r="AL406" s="489"/>
      <c r="AM406" s="489"/>
      <c r="AN406" s="489"/>
      <c r="AO406" s="489"/>
      <c r="AP406" s="489"/>
      <c r="AQ406" s="489"/>
      <c r="AR406" s="489"/>
      <c r="AS406" s="489"/>
    </row>
    <row r="407" spans="1:45" s="484" customFormat="1" ht="14.5" hidden="1">
      <c r="A407" s="695" t="s">
        <v>1307</v>
      </c>
      <c r="B407" s="647"/>
      <c r="C407" s="644"/>
      <c r="D407" s="644"/>
      <c r="E407" s="639">
        <v>0</v>
      </c>
      <c r="F407" s="705"/>
      <c r="G407" s="639">
        <v>0</v>
      </c>
      <c r="H407" s="639">
        <v>0</v>
      </c>
      <c r="I407" s="639">
        <v>0</v>
      </c>
      <c r="J407" s="639">
        <v>0</v>
      </c>
      <c r="K407" s="639">
        <v>0</v>
      </c>
      <c r="L407" s="639">
        <v>0</v>
      </c>
      <c r="M407" s="639">
        <v>0</v>
      </c>
      <c r="N407" s="639">
        <v>0</v>
      </c>
      <c r="O407" s="639">
        <v>0</v>
      </c>
      <c r="P407" s="639">
        <v>0</v>
      </c>
      <c r="Q407" s="639">
        <v>0</v>
      </c>
      <c r="R407" s="639">
        <v>0</v>
      </c>
      <c r="S407" s="639">
        <v>0</v>
      </c>
      <c r="T407" s="813"/>
      <c r="V407" s="641">
        <f t="shared" si="185"/>
        <v>0</v>
      </c>
      <c r="W407" s="715">
        <f t="shared" si="186"/>
        <v>0</v>
      </c>
      <c r="X407" s="1016"/>
      <c r="Y407" s="675"/>
      <c r="AA407" s="675"/>
      <c r="AC407" s="675"/>
      <c r="AE407" s="675"/>
      <c r="AL407" s="489"/>
      <c r="AM407" s="489"/>
      <c r="AN407" s="489"/>
      <c r="AO407" s="489"/>
      <c r="AP407" s="489"/>
      <c r="AQ407" s="489"/>
      <c r="AR407" s="489"/>
      <c r="AS407" s="489"/>
    </row>
    <row r="408" spans="1:45" s="484" customFormat="1" ht="14.5" hidden="1">
      <c r="A408" s="695" t="s">
        <v>1308</v>
      </c>
      <c r="B408" s="647"/>
      <c r="C408" s="644"/>
      <c r="D408" s="644"/>
      <c r="E408" s="639">
        <v>0</v>
      </c>
      <c r="F408" s="705"/>
      <c r="G408" s="639">
        <v>0</v>
      </c>
      <c r="H408" s="639">
        <v>0</v>
      </c>
      <c r="I408" s="639">
        <v>0</v>
      </c>
      <c r="J408" s="639">
        <v>0</v>
      </c>
      <c r="K408" s="639">
        <v>0</v>
      </c>
      <c r="L408" s="639">
        <v>0</v>
      </c>
      <c r="M408" s="639">
        <v>0</v>
      </c>
      <c r="N408" s="639">
        <v>0</v>
      </c>
      <c r="O408" s="639">
        <v>0</v>
      </c>
      <c r="P408" s="639">
        <v>0</v>
      </c>
      <c r="Q408" s="639">
        <v>0</v>
      </c>
      <c r="R408" s="639">
        <v>0</v>
      </c>
      <c r="S408" s="639">
        <v>0</v>
      </c>
      <c r="T408" s="813"/>
      <c r="V408" s="641">
        <f t="shared" si="185"/>
        <v>0</v>
      </c>
      <c r="W408" s="715">
        <f t="shared" si="186"/>
        <v>0</v>
      </c>
      <c r="X408" s="1016"/>
      <c r="Y408" s="675"/>
      <c r="AA408" s="675"/>
      <c r="AC408" s="675"/>
      <c r="AE408" s="675"/>
      <c r="AL408" s="489"/>
      <c r="AM408" s="489"/>
      <c r="AN408" s="489"/>
      <c r="AO408" s="489"/>
      <c r="AP408" s="489"/>
      <c r="AQ408" s="489"/>
      <c r="AR408" s="489"/>
      <c r="AS408" s="489"/>
    </row>
    <row r="409" spans="1:45" s="484" customFormat="1" ht="14.5">
      <c r="A409" s="695" t="s">
        <v>1309</v>
      </c>
      <c r="B409" s="647"/>
      <c r="C409" s="644"/>
      <c r="D409" s="644"/>
      <c r="E409" s="639">
        <v>0</v>
      </c>
      <c r="F409" s="705"/>
      <c r="G409" s="639">
        <v>417155348554.15997</v>
      </c>
      <c r="H409" s="639">
        <v>417155348554.15997</v>
      </c>
      <c r="I409" s="639">
        <v>417155348554.15997</v>
      </c>
      <c r="J409" s="639">
        <v>417155348554.15997</v>
      </c>
      <c r="K409" s="639">
        <v>417155348554.15997</v>
      </c>
      <c r="L409" s="639">
        <v>417155348554.15997</v>
      </c>
      <c r="M409" s="639">
        <v>417155348554.15997</v>
      </c>
      <c r="N409" s="639">
        <v>417155348554.15997</v>
      </c>
      <c r="O409" s="639">
        <v>417155348554.15997</v>
      </c>
      <c r="P409" s="639">
        <v>417155348554.15997</v>
      </c>
      <c r="Q409" s="639">
        <v>417155348554.15997</v>
      </c>
      <c r="R409" s="639">
        <v>417155348554.15997</v>
      </c>
      <c r="S409" s="639">
        <v>417155348554.15997</v>
      </c>
      <c r="T409" s="813"/>
      <c r="V409" s="641">
        <f t="shared" si="185"/>
        <v>417155348554.15997</v>
      </c>
      <c r="W409" s="715">
        <f t="shared" si="186"/>
        <v>6.7024127166029096E-2</v>
      </c>
      <c r="X409" s="1016"/>
      <c r="Y409" s="675"/>
      <c r="AA409" s="675"/>
      <c r="AC409" s="675"/>
      <c r="AE409" s="675"/>
      <c r="AL409" s="489"/>
      <c r="AM409" s="489"/>
      <c r="AN409" s="489"/>
      <c r="AO409" s="489"/>
      <c r="AP409" s="489"/>
      <c r="AQ409" s="489"/>
      <c r="AR409" s="489"/>
      <c r="AS409" s="489"/>
    </row>
    <row r="410" spans="1:45" s="484" customFormat="1" ht="14.5">
      <c r="A410" s="695"/>
      <c r="B410" s="647"/>
      <c r="C410" s="644"/>
      <c r="D410" s="644"/>
      <c r="E410" s="644"/>
      <c r="F410" s="705"/>
      <c r="G410" s="639"/>
      <c r="H410" s="493"/>
      <c r="I410" s="493"/>
      <c r="J410" s="493"/>
      <c r="K410" s="493"/>
      <c r="L410" s="493"/>
      <c r="M410" s="493"/>
      <c r="N410" s="493"/>
      <c r="O410" s="493"/>
      <c r="P410" s="493"/>
      <c r="Q410" s="493"/>
      <c r="R410" s="493"/>
      <c r="S410" s="493"/>
      <c r="T410" s="794"/>
      <c r="V410" s="641">
        <f t="shared" si="185"/>
        <v>0</v>
      </c>
      <c r="W410" s="715">
        <f t="shared" si="186"/>
        <v>0</v>
      </c>
      <c r="X410" s="1016"/>
      <c r="Y410" s="675"/>
      <c r="AA410" s="675"/>
      <c r="AC410" s="675"/>
      <c r="AE410" s="675"/>
      <c r="AL410" s="489"/>
      <c r="AM410" s="489"/>
      <c r="AN410" s="489"/>
      <c r="AO410" s="489"/>
      <c r="AP410" s="489"/>
      <c r="AQ410" s="489"/>
      <c r="AR410" s="489"/>
      <c r="AS410" s="489"/>
    </row>
    <row r="411" spans="1:45" s="484" customFormat="1">
      <c r="A411" s="726" t="s">
        <v>1316</v>
      </c>
      <c r="B411" s="727">
        <v>191512506424.56</v>
      </c>
      <c r="C411" s="728"/>
      <c r="D411" s="728">
        <f>SUM(D375:D389)</f>
        <v>0</v>
      </c>
      <c r="E411" s="728">
        <f>SUM(E375:E410)</f>
        <v>0</v>
      </c>
      <c r="F411" s="721">
        <f t="shared" ref="F411:V411" si="191">SUM(F375:F410)</f>
        <v>0</v>
      </c>
      <c r="G411" s="728">
        <f t="shared" si="191"/>
        <v>417155348554.15997</v>
      </c>
      <c r="H411" s="728">
        <f t="shared" si="191"/>
        <v>417155348554.15997</v>
      </c>
      <c r="I411" s="728">
        <f t="shared" si="191"/>
        <v>417155348554.15997</v>
      </c>
      <c r="J411" s="728">
        <f t="shared" si="191"/>
        <v>417155348554.15997</v>
      </c>
      <c r="K411" s="728">
        <f t="shared" si="191"/>
        <v>417155348554.15997</v>
      </c>
      <c r="L411" s="728">
        <f t="shared" si="191"/>
        <v>417155348554.15997</v>
      </c>
      <c r="M411" s="728">
        <f t="shared" si="191"/>
        <v>417155348554.15997</v>
      </c>
      <c r="N411" s="728">
        <f t="shared" si="191"/>
        <v>417155348554.15997</v>
      </c>
      <c r="O411" s="728">
        <f t="shared" si="191"/>
        <v>417155348554.15997</v>
      </c>
      <c r="P411" s="728">
        <f t="shared" si="191"/>
        <v>417155348554.15997</v>
      </c>
      <c r="Q411" s="728">
        <f t="shared" si="191"/>
        <v>417155348554.15997</v>
      </c>
      <c r="R411" s="728">
        <f>SUM(R375:R410)</f>
        <v>417155348554.15997</v>
      </c>
      <c r="S411" s="728">
        <f>SUM(S375:S410)</f>
        <v>417155348554.15997</v>
      </c>
      <c r="T411" s="826"/>
      <c r="V411" s="728">
        <f t="shared" si="191"/>
        <v>417155348554.15997</v>
      </c>
      <c r="W411" s="715">
        <f t="shared" si="186"/>
        <v>6.7024127166029096E-2</v>
      </c>
      <c r="X411" s="1025"/>
      <c r="Y411" s="729">
        <f>SUM(Y375:Y392)-Y384</f>
        <v>0</v>
      </c>
      <c r="Z411" s="730">
        <f>Y411/V411-1</f>
        <v>-1</v>
      </c>
      <c r="AA411" s="729">
        <f>SUM(AA375:AA392)-AA384</f>
        <v>0</v>
      </c>
      <c r="AB411" s="730" t="e">
        <f>+AA411/Y411-1</f>
        <v>#DIV/0!</v>
      </c>
      <c r="AC411" s="729">
        <f>SUM(AC375:AC392)-AC384</f>
        <v>0</v>
      </c>
      <c r="AD411" s="730" t="e">
        <f>+AC411/AA411-1</f>
        <v>#DIV/0!</v>
      </c>
      <c r="AE411" s="729">
        <f>SUM(AE375:AE392)-AE384</f>
        <v>0</v>
      </c>
      <c r="AF411" s="730" t="e">
        <f>+AE411/AC411-1</f>
        <v>#DIV/0!</v>
      </c>
      <c r="AL411" s="489"/>
      <c r="AM411" s="489"/>
      <c r="AN411" s="489"/>
      <c r="AO411" s="489"/>
      <c r="AP411" s="489"/>
      <c r="AQ411" s="489"/>
      <c r="AR411" s="489"/>
      <c r="AS411" s="489"/>
    </row>
    <row r="412" spans="1:45" s="736" customFormat="1">
      <c r="A412" s="731"/>
      <c r="B412" s="732"/>
      <c r="C412" s="732"/>
      <c r="D412" s="732"/>
      <c r="E412" s="732"/>
      <c r="F412" s="733"/>
      <c r="G412" s="732"/>
      <c r="H412" s="732"/>
      <c r="I412" s="732"/>
      <c r="J412" s="732"/>
      <c r="K412" s="732"/>
      <c r="L412" s="732"/>
      <c r="M412" s="732"/>
      <c r="N412" s="732"/>
      <c r="O412" s="732"/>
      <c r="P412" s="774"/>
      <c r="Q412" s="732"/>
      <c r="R412" s="732"/>
      <c r="S412" s="732"/>
      <c r="T412" s="827"/>
      <c r="V412" s="732"/>
      <c r="W412" s="734"/>
      <c r="X412" s="1026"/>
      <c r="Y412" s="735"/>
      <c r="Z412" s="734"/>
      <c r="AA412" s="735"/>
      <c r="AB412" s="734"/>
      <c r="AC412" s="735"/>
      <c r="AD412" s="734"/>
      <c r="AE412" s="735"/>
      <c r="AF412" s="734"/>
    </row>
    <row r="413" spans="1:45" s="484" customFormat="1">
      <c r="A413" s="490"/>
      <c r="B413" s="653"/>
      <c r="C413" s="654"/>
      <c r="D413" s="654"/>
      <c r="E413" s="654"/>
      <c r="F413" s="707"/>
      <c r="G413" s="737"/>
      <c r="H413" s="709"/>
      <c r="I413" s="709"/>
      <c r="J413" s="709"/>
      <c r="K413" s="709"/>
      <c r="L413" s="709"/>
      <c r="M413" s="709"/>
      <c r="N413" s="709"/>
      <c r="O413" s="709"/>
      <c r="P413" s="709"/>
      <c r="Q413" s="738"/>
      <c r="R413" s="738"/>
      <c r="S413" s="656"/>
      <c r="T413" s="824"/>
      <c r="V413" s="656"/>
      <c r="W413" s="708"/>
      <c r="X413" s="1017"/>
      <c r="Y413" s="656"/>
      <c r="AA413" s="656"/>
      <c r="AC413" s="656"/>
      <c r="AE413" s="656"/>
      <c r="AF413" s="739"/>
      <c r="AL413" s="489"/>
      <c r="AM413" s="489"/>
      <c r="AN413" s="489"/>
      <c r="AO413" s="489"/>
      <c r="AP413" s="489"/>
      <c r="AQ413" s="489"/>
      <c r="AR413" s="489"/>
      <c r="AS413" s="489"/>
    </row>
    <row r="414" spans="1:45" s="484" customFormat="1">
      <c r="A414" s="490" t="s">
        <v>1317</v>
      </c>
      <c r="B414" s="633" t="s">
        <v>1273</v>
      </c>
      <c r="C414" s="634"/>
      <c r="D414" s="693" t="s">
        <v>1313</v>
      </c>
      <c r="E414" s="690">
        <v>42613</v>
      </c>
      <c r="F414" s="711"/>
      <c r="G414" s="690">
        <v>42735</v>
      </c>
      <c r="H414" s="690">
        <v>42736</v>
      </c>
      <c r="I414" s="690">
        <v>42768</v>
      </c>
      <c r="J414" s="690">
        <v>42800</v>
      </c>
      <c r="K414" s="690">
        <v>42832</v>
      </c>
      <c r="L414" s="690">
        <v>42864</v>
      </c>
      <c r="M414" s="690">
        <v>42896</v>
      </c>
      <c r="N414" s="690">
        <v>42928</v>
      </c>
      <c r="O414" s="690">
        <v>42960</v>
      </c>
      <c r="P414" s="690">
        <v>42992</v>
      </c>
      <c r="Q414" s="690">
        <v>43024</v>
      </c>
      <c r="R414" s="690">
        <v>43056</v>
      </c>
      <c r="S414" s="690">
        <v>43088</v>
      </c>
      <c r="T414" s="822"/>
      <c r="V414" s="690" t="s">
        <v>1159</v>
      </c>
      <c r="W414" s="660"/>
      <c r="X414" s="1014"/>
      <c r="Y414" s="634"/>
      <c r="Z414" s="634"/>
      <c r="AA414" s="661"/>
      <c r="AB414" s="661"/>
      <c r="AC414" s="661"/>
      <c r="AD414" s="661"/>
      <c r="AE414" s="661"/>
      <c r="AF414" s="661"/>
      <c r="AL414" s="489"/>
      <c r="AM414" s="489"/>
      <c r="AN414" s="489"/>
      <c r="AO414" s="489"/>
      <c r="AP414" s="489"/>
      <c r="AQ414" s="489"/>
      <c r="AR414" s="489"/>
      <c r="AS414" s="489"/>
    </row>
    <row r="415" spans="1:45" s="484" customFormat="1">
      <c r="A415" s="695" t="s">
        <v>1275</v>
      </c>
      <c r="B415" s="638">
        <v>2891247907</v>
      </c>
      <c r="C415" s="639"/>
      <c r="D415" s="639"/>
      <c r="E415" s="639">
        <v>0</v>
      </c>
      <c r="F415" s="703"/>
      <c r="G415" s="639">
        <v>0</v>
      </c>
      <c r="H415" s="639">
        <v>0</v>
      </c>
      <c r="I415" s="639">
        <v>0</v>
      </c>
      <c r="J415" s="639">
        <v>0</v>
      </c>
      <c r="K415" s="639">
        <v>0</v>
      </c>
      <c r="L415" s="639">
        <v>0</v>
      </c>
      <c r="M415" s="639">
        <v>0</v>
      </c>
      <c r="N415" s="639">
        <v>0</v>
      </c>
      <c r="O415" s="639">
        <v>0</v>
      </c>
      <c r="P415" s="639">
        <v>0</v>
      </c>
      <c r="Q415" s="639">
        <v>0</v>
      </c>
      <c r="R415" s="639">
        <v>0</v>
      </c>
      <c r="S415" s="639">
        <v>0</v>
      </c>
      <c r="T415" s="813"/>
      <c r="V415" s="641">
        <f t="shared" ref="V415:V450" si="192">+S415</f>
        <v>0</v>
      </c>
      <c r="W415" s="715">
        <f>+V415/$V$256</f>
        <v>0</v>
      </c>
      <c r="X415" s="1015"/>
      <c r="Y415" s="675">
        <f>+V415*(100%+$Y$16)</f>
        <v>0</v>
      </c>
      <c r="Z415" s="664"/>
      <c r="AA415" s="675">
        <f>+Y415*(100%+$AA$16)</f>
        <v>0</v>
      </c>
      <c r="AB415" s="664"/>
      <c r="AC415" s="675">
        <f>+AA415*(100%+$AC$16)</f>
        <v>0</v>
      </c>
      <c r="AD415" s="664"/>
      <c r="AE415" s="675">
        <f>+AC415*(100%+$AE$16)</f>
        <v>0</v>
      </c>
      <c r="AF415" s="664"/>
      <c r="AL415" s="489"/>
      <c r="AM415" s="489"/>
      <c r="AN415" s="489"/>
      <c r="AO415" s="489"/>
      <c r="AP415" s="489"/>
      <c r="AQ415" s="489"/>
      <c r="AR415" s="489"/>
      <c r="AS415" s="489"/>
    </row>
    <row r="416" spans="1:45" s="484" customFormat="1" ht="14.5">
      <c r="A416" s="695" t="s">
        <v>1276</v>
      </c>
      <c r="B416" s="647"/>
      <c r="C416" s="644"/>
      <c r="D416" s="644"/>
      <c r="E416" s="639">
        <v>0</v>
      </c>
      <c r="F416" s="705"/>
      <c r="G416" s="639">
        <v>0</v>
      </c>
      <c r="H416" s="639">
        <v>957000000</v>
      </c>
      <c r="I416" s="639">
        <v>1914000000</v>
      </c>
      <c r="J416" s="639">
        <v>2871000000</v>
      </c>
      <c r="K416" s="639">
        <v>3828000000</v>
      </c>
      <c r="L416" s="639">
        <v>4785000000</v>
      </c>
      <c r="M416" s="639">
        <v>5742000000</v>
      </c>
      <c r="N416" s="639">
        <v>6539500000</v>
      </c>
      <c r="O416" s="639">
        <v>7337000000</v>
      </c>
      <c r="P416" s="639">
        <v>8134500000</v>
      </c>
      <c r="Q416" s="639">
        <v>8613000000</v>
      </c>
      <c r="R416" s="639">
        <v>9091500000</v>
      </c>
      <c r="S416" s="639">
        <v>9570000000</v>
      </c>
      <c r="T416" s="813"/>
      <c r="V416" s="641">
        <f t="shared" si="192"/>
        <v>9570000000</v>
      </c>
      <c r="W416" s="715">
        <f t="shared" ref="W416:W451" si="193">+V416/$V$256</f>
        <v>1.5376067913357263E-3</v>
      </c>
      <c r="X416" s="1016"/>
      <c r="Y416" s="675">
        <f t="shared" ref="Y416:Y432" si="194">+V416*(100%+$Y$16)</f>
        <v>11484000000</v>
      </c>
      <c r="Z416" s="670"/>
      <c r="AA416" s="675">
        <f>+Y416*(100%+$AA$16)</f>
        <v>16077599999.999998</v>
      </c>
      <c r="AB416" s="670"/>
      <c r="AC416" s="675">
        <f>+AA416*(100%+$AC$16)</f>
        <v>24116399999.999996</v>
      </c>
      <c r="AD416" s="670"/>
      <c r="AE416" s="675">
        <f>+AC416*(100%+$AE$16)</f>
        <v>30145499999.999996</v>
      </c>
      <c r="AF416" s="670"/>
      <c r="AL416" s="489"/>
      <c r="AM416" s="489"/>
      <c r="AN416" s="489"/>
      <c r="AO416" s="489"/>
      <c r="AP416" s="489"/>
      <c r="AQ416" s="489"/>
      <c r="AR416" s="489"/>
      <c r="AS416" s="489"/>
    </row>
    <row r="417" spans="1:45" s="484" customFormat="1">
      <c r="A417" s="695" t="s">
        <v>1277</v>
      </c>
      <c r="B417" s="638">
        <v>20896385642</v>
      </c>
      <c r="C417" s="639"/>
      <c r="D417" s="639"/>
      <c r="E417" s="639">
        <v>0</v>
      </c>
      <c r="F417" s="703"/>
      <c r="G417" s="639">
        <v>0</v>
      </c>
      <c r="H417" s="639">
        <v>0</v>
      </c>
      <c r="I417" s="639">
        <v>0</v>
      </c>
      <c r="J417" s="639">
        <v>0</v>
      </c>
      <c r="K417" s="639">
        <v>0</v>
      </c>
      <c r="L417" s="639">
        <v>0</v>
      </c>
      <c r="M417" s="639">
        <v>0</v>
      </c>
      <c r="N417" s="639">
        <v>0</v>
      </c>
      <c r="O417" s="639">
        <v>0</v>
      </c>
      <c r="P417" s="639">
        <v>0</v>
      </c>
      <c r="Q417" s="639">
        <v>0</v>
      </c>
      <c r="R417" s="639">
        <v>0</v>
      </c>
      <c r="S417" s="639">
        <v>0</v>
      </c>
      <c r="T417" s="813"/>
      <c r="V417" s="641">
        <f t="shared" si="192"/>
        <v>0</v>
      </c>
      <c r="W417" s="715">
        <f t="shared" si="193"/>
        <v>0</v>
      </c>
      <c r="X417" s="1015"/>
      <c r="Y417" s="675">
        <f t="shared" si="194"/>
        <v>0</v>
      </c>
      <c r="Z417" s="675"/>
      <c r="AA417" s="675">
        <f t="shared" ref="AA417:AA432" si="195">+Y417*(100%+$AA$16)</f>
        <v>0</v>
      </c>
      <c r="AB417" s="675"/>
      <c r="AC417" s="675">
        <f t="shared" ref="AC417:AC432" si="196">+AA417*(100%+$AC$16)</f>
        <v>0</v>
      </c>
      <c r="AD417" s="675"/>
      <c r="AE417" s="675">
        <f t="shared" ref="AE417:AE432" si="197">+AC417*(100%+$AE$16)</f>
        <v>0</v>
      </c>
      <c r="AF417" s="675"/>
      <c r="AL417" s="489"/>
      <c r="AM417" s="489"/>
      <c r="AN417" s="489"/>
      <c r="AO417" s="489"/>
      <c r="AP417" s="489"/>
      <c r="AQ417" s="489"/>
      <c r="AR417" s="489"/>
      <c r="AS417" s="489"/>
    </row>
    <row r="418" spans="1:45" s="484" customFormat="1" ht="14.5">
      <c r="A418" s="695" t="s">
        <v>1278</v>
      </c>
      <c r="B418" s="647"/>
      <c r="C418" s="644"/>
      <c r="D418" s="644"/>
      <c r="E418" s="639">
        <v>0</v>
      </c>
      <c r="F418" s="705"/>
      <c r="G418" s="639">
        <v>0</v>
      </c>
      <c r="H418" s="639">
        <v>0</v>
      </c>
      <c r="I418" s="639">
        <v>0</v>
      </c>
      <c r="J418" s="639">
        <v>0</v>
      </c>
      <c r="K418" s="639">
        <v>0</v>
      </c>
      <c r="L418" s="639">
        <v>0</v>
      </c>
      <c r="M418" s="639">
        <v>0</v>
      </c>
      <c r="N418" s="639">
        <v>0</v>
      </c>
      <c r="O418" s="639">
        <v>0</v>
      </c>
      <c r="P418" s="639">
        <v>0</v>
      </c>
      <c r="Q418" s="639">
        <v>0</v>
      </c>
      <c r="R418" s="639">
        <v>0</v>
      </c>
      <c r="S418" s="639">
        <v>0</v>
      </c>
      <c r="T418" s="813"/>
      <c r="V418" s="641">
        <f t="shared" si="192"/>
        <v>0</v>
      </c>
      <c r="W418" s="715">
        <f t="shared" si="193"/>
        <v>0</v>
      </c>
      <c r="X418" s="1016"/>
      <c r="Y418" s="675">
        <f t="shared" si="194"/>
        <v>0</v>
      </c>
      <c r="Z418" s="670"/>
      <c r="AA418" s="675">
        <f t="shared" si="195"/>
        <v>0</v>
      </c>
      <c r="AB418" s="670"/>
      <c r="AC418" s="675">
        <f t="shared" si="196"/>
        <v>0</v>
      </c>
      <c r="AD418" s="670"/>
      <c r="AE418" s="675">
        <f t="shared" si="197"/>
        <v>0</v>
      </c>
      <c r="AF418" s="670"/>
      <c r="AL418" s="489"/>
      <c r="AM418" s="489"/>
      <c r="AN418" s="489"/>
      <c r="AO418" s="489"/>
      <c r="AP418" s="489"/>
      <c r="AQ418" s="489"/>
      <c r="AR418" s="489"/>
      <c r="AS418" s="489"/>
    </row>
    <row r="419" spans="1:45" s="484" customFormat="1">
      <c r="A419" s="695" t="s">
        <v>1279</v>
      </c>
      <c r="B419" s="638">
        <v>12712848871</v>
      </c>
      <c r="C419" s="639"/>
      <c r="D419" s="639"/>
      <c r="E419" s="639">
        <v>0</v>
      </c>
      <c r="F419" s="703"/>
      <c r="G419" s="639">
        <v>0</v>
      </c>
      <c r="H419" s="639">
        <v>14355000000</v>
      </c>
      <c r="I419" s="639">
        <v>28710000000</v>
      </c>
      <c r="J419" s="639">
        <v>43065000000</v>
      </c>
      <c r="K419" s="639">
        <v>57420000000</v>
      </c>
      <c r="L419" s="639">
        <v>71775000000</v>
      </c>
      <c r="M419" s="639">
        <v>86130000000</v>
      </c>
      <c r="N419" s="639">
        <v>98092500000</v>
      </c>
      <c r="O419" s="639">
        <v>110055000000</v>
      </c>
      <c r="P419" s="639">
        <v>122017500000</v>
      </c>
      <c r="Q419" s="639">
        <v>129195000000</v>
      </c>
      <c r="R419" s="639">
        <v>136372500000</v>
      </c>
      <c r="S419" s="639">
        <v>143550000000</v>
      </c>
      <c r="T419" s="813"/>
      <c r="V419" s="641">
        <f t="shared" si="192"/>
        <v>143550000000</v>
      </c>
      <c r="W419" s="715">
        <f t="shared" si="193"/>
        <v>2.3064101870035894E-2</v>
      </c>
      <c r="X419" s="1015"/>
      <c r="Y419" s="675">
        <f t="shared" si="194"/>
        <v>172260000000</v>
      </c>
      <c r="Z419" s="675"/>
      <c r="AA419" s="675">
        <f t="shared" si="195"/>
        <v>241163999999.99997</v>
      </c>
      <c r="AB419" s="675"/>
      <c r="AC419" s="675">
        <f t="shared" si="196"/>
        <v>361745999999.99994</v>
      </c>
      <c r="AD419" s="675"/>
      <c r="AE419" s="675">
        <f t="shared" si="197"/>
        <v>452182499999.99994</v>
      </c>
      <c r="AF419" s="675"/>
      <c r="AL419" s="489"/>
      <c r="AM419" s="489"/>
      <c r="AN419" s="489"/>
      <c r="AO419" s="489"/>
      <c r="AP419" s="489"/>
      <c r="AQ419" s="489"/>
      <c r="AR419" s="489"/>
      <c r="AS419" s="489"/>
    </row>
    <row r="420" spans="1:45" s="484" customFormat="1" ht="14.5">
      <c r="A420" s="695" t="s">
        <v>1280</v>
      </c>
      <c r="B420" s="647"/>
      <c r="C420" s="644"/>
      <c r="D420" s="644"/>
      <c r="E420" s="639">
        <v>0</v>
      </c>
      <c r="F420" s="705"/>
      <c r="G420" s="639">
        <v>0</v>
      </c>
      <c r="H420" s="639">
        <v>9570000000</v>
      </c>
      <c r="I420" s="639">
        <v>19140000000</v>
      </c>
      <c r="J420" s="639">
        <v>28710000000</v>
      </c>
      <c r="K420" s="639">
        <v>38280000000</v>
      </c>
      <c r="L420" s="639">
        <v>47850000000</v>
      </c>
      <c r="M420" s="639">
        <v>57420000000</v>
      </c>
      <c r="N420" s="639">
        <v>65395000000</v>
      </c>
      <c r="O420" s="639">
        <v>73370000000</v>
      </c>
      <c r="P420" s="639">
        <v>81345000000</v>
      </c>
      <c r="Q420" s="639">
        <v>86130000000</v>
      </c>
      <c r="R420" s="639">
        <v>90915000000</v>
      </c>
      <c r="S420" s="639">
        <v>95700000000</v>
      </c>
      <c r="T420" s="813"/>
      <c r="V420" s="641">
        <f t="shared" si="192"/>
        <v>95700000000</v>
      </c>
      <c r="W420" s="715">
        <f t="shared" si="193"/>
        <v>1.5376067913357263E-2</v>
      </c>
      <c r="X420" s="1016"/>
      <c r="Y420" s="675">
        <f t="shared" si="194"/>
        <v>114840000000</v>
      </c>
      <c r="Z420" s="670"/>
      <c r="AA420" s="675">
        <f t="shared" si="195"/>
        <v>160776000000</v>
      </c>
      <c r="AB420" s="670"/>
      <c r="AC420" s="675">
        <f t="shared" si="196"/>
        <v>241164000000</v>
      </c>
      <c r="AD420" s="670"/>
      <c r="AE420" s="675">
        <f t="shared" si="197"/>
        <v>301455000000</v>
      </c>
      <c r="AF420" s="670"/>
      <c r="AL420" s="489"/>
      <c r="AM420" s="489"/>
      <c r="AN420" s="489"/>
      <c r="AO420" s="489"/>
      <c r="AP420" s="489"/>
      <c r="AQ420" s="489"/>
      <c r="AR420" s="489"/>
      <c r="AS420" s="489"/>
    </row>
    <row r="421" spans="1:45" s="484" customFormat="1">
      <c r="A421" s="695" t="s">
        <v>1281</v>
      </c>
      <c r="B421" s="638">
        <v>5637570085</v>
      </c>
      <c r="C421" s="639"/>
      <c r="D421" s="639"/>
      <c r="E421" s="639">
        <v>0</v>
      </c>
      <c r="F421" s="703"/>
      <c r="G421" s="639">
        <v>0</v>
      </c>
      <c r="H421" s="639">
        <v>957000000</v>
      </c>
      <c r="I421" s="639">
        <v>1914000000</v>
      </c>
      <c r="J421" s="639">
        <v>2871000000</v>
      </c>
      <c r="K421" s="639">
        <v>3828000000</v>
      </c>
      <c r="L421" s="639">
        <v>4785000000</v>
      </c>
      <c r="M421" s="639">
        <v>5742000000</v>
      </c>
      <c r="N421" s="639">
        <v>6539500000</v>
      </c>
      <c r="O421" s="639">
        <v>7337000000</v>
      </c>
      <c r="P421" s="639">
        <v>8134500000</v>
      </c>
      <c r="Q421" s="639">
        <v>8613000000</v>
      </c>
      <c r="R421" s="639">
        <v>9091500000</v>
      </c>
      <c r="S421" s="639">
        <v>9570000000</v>
      </c>
      <c r="T421" s="813"/>
      <c r="V421" s="641">
        <f t="shared" si="192"/>
        <v>9570000000</v>
      </c>
      <c r="W421" s="715">
        <f t="shared" si="193"/>
        <v>1.5376067913357263E-3</v>
      </c>
      <c r="X421" s="1015"/>
      <c r="Y421" s="675">
        <f t="shared" si="194"/>
        <v>11484000000</v>
      </c>
      <c r="Z421" s="675"/>
      <c r="AA421" s="675">
        <f t="shared" si="195"/>
        <v>16077599999.999998</v>
      </c>
      <c r="AB421" s="675"/>
      <c r="AC421" s="675">
        <f t="shared" si="196"/>
        <v>24116399999.999996</v>
      </c>
      <c r="AD421" s="675"/>
      <c r="AE421" s="675">
        <f t="shared" si="197"/>
        <v>30145499999.999996</v>
      </c>
      <c r="AF421" s="675"/>
      <c r="AL421" s="489"/>
      <c r="AM421" s="489"/>
      <c r="AN421" s="489"/>
      <c r="AO421" s="489"/>
      <c r="AP421" s="489"/>
      <c r="AQ421" s="489"/>
      <c r="AR421" s="489"/>
      <c r="AS421" s="489"/>
    </row>
    <row r="422" spans="1:45" s="484" customFormat="1" ht="14.5">
      <c r="A422" s="695" t="s">
        <v>1282</v>
      </c>
      <c r="B422" s="647"/>
      <c r="C422" s="644"/>
      <c r="D422" s="644"/>
      <c r="E422" s="639">
        <v>0</v>
      </c>
      <c r="F422" s="705"/>
      <c r="G422" s="639">
        <v>0</v>
      </c>
      <c r="H422" s="639">
        <v>0</v>
      </c>
      <c r="I422" s="639">
        <v>0</v>
      </c>
      <c r="J422" s="639">
        <v>0</v>
      </c>
      <c r="K422" s="639">
        <v>0</v>
      </c>
      <c r="L422" s="639">
        <v>0</v>
      </c>
      <c r="M422" s="639">
        <v>0</v>
      </c>
      <c r="N422" s="639">
        <v>0</v>
      </c>
      <c r="O422" s="639">
        <v>0</v>
      </c>
      <c r="P422" s="639">
        <v>0</v>
      </c>
      <c r="Q422" s="639">
        <v>0</v>
      </c>
      <c r="R422" s="639">
        <v>0</v>
      </c>
      <c r="S422" s="639">
        <v>0</v>
      </c>
      <c r="T422" s="813"/>
      <c r="V422" s="641">
        <f t="shared" si="192"/>
        <v>0</v>
      </c>
      <c r="W422" s="715">
        <f t="shared" si="193"/>
        <v>0</v>
      </c>
      <c r="X422" s="1016"/>
      <c r="Y422" s="675">
        <f t="shared" si="194"/>
        <v>0</v>
      </c>
      <c r="Z422" s="670"/>
      <c r="AA422" s="675">
        <f t="shared" si="195"/>
        <v>0</v>
      </c>
      <c r="AB422" s="670"/>
      <c r="AC422" s="675">
        <f t="shared" si="196"/>
        <v>0</v>
      </c>
      <c r="AD422" s="670"/>
      <c r="AE422" s="675">
        <f t="shared" si="197"/>
        <v>0</v>
      </c>
      <c r="AF422" s="670"/>
      <c r="AL422" s="489"/>
      <c r="AM422" s="489"/>
      <c r="AN422" s="489"/>
      <c r="AO422" s="489"/>
      <c r="AP422" s="489"/>
      <c r="AQ422" s="489"/>
      <c r="AR422" s="489"/>
      <c r="AS422" s="489"/>
    </row>
    <row r="423" spans="1:45" s="484" customFormat="1">
      <c r="A423" s="695" t="s">
        <v>1283</v>
      </c>
      <c r="B423" s="638">
        <v>12566671540</v>
      </c>
      <c r="C423" s="639"/>
      <c r="D423" s="639"/>
      <c r="E423" s="639">
        <v>0</v>
      </c>
      <c r="F423" s="703"/>
      <c r="G423" s="639">
        <v>0</v>
      </c>
      <c r="H423" s="639">
        <v>0</v>
      </c>
      <c r="I423" s="639">
        <v>0</v>
      </c>
      <c r="J423" s="639">
        <v>0</v>
      </c>
      <c r="K423" s="639">
        <v>0</v>
      </c>
      <c r="L423" s="639">
        <v>0</v>
      </c>
      <c r="M423" s="639">
        <v>0</v>
      </c>
      <c r="N423" s="639">
        <v>0</v>
      </c>
      <c r="O423" s="639">
        <v>0</v>
      </c>
      <c r="P423" s="639">
        <v>0</v>
      </c>
      <c r="Q423" s="639">
        <v>0</v>
      </c>
      <c r="R423" s="639">
        <v>0</v>
      </c>
      <c r="S423" s="639">
        <v>0</v>
      </c>
      <c r="T423" s="813"/>
      <c r="V423" s="641">
        <f t="shared" si="192"/>
        <v>0</v>
      </c>
      <c r="W423" s="715">
        <f t="shared" si="193"/>
        <v>0</v>
      </c>
      <c r="X423" s="1015"/>
      <c r="Y423" s="675">
        <f t="shared" si="194"/>
        <v>0</v>
      </c>
      <c r="Z423" s="675"/>
      <c r="AA423" s="675">
        <f t="shared" si="195"/>
        <v>0</v>
      </c>
      <c r="AB423" s="675"/>
      <c r="AC423" s="675">
        <f t="shared" si="196"/>
        <v>0</v>
      </c>
      <c r="AD423" s="675"/>
      <c r="AE423" s="675">
        <f t="shared" si="197"/>
        <v>0</v>
      </c>
      <c r="AF423" s="675"/>
      <c r="AL423" s="489"/>
      <c r="AM423" s="489"/>
      <c r="AN423" s="489"/>
      <c r="AO423" s="489"/>
      <c r="AP423" s="489"/>
      <c r="AQ423" s="489"/>
      <c r="AR423" s="489"/>
      <c r="AS423" s="489"/>
    </row>
    <row r="424" spans="1:45" s="484" customFormat="1" ht="14.5">
      <c r="A424" s="695" t="s">
        <v>1284</v>
      </c>
      <c r="B424" s="647"/>
      <c r="C424" s="644"/>
      <c r="D424" s="644"/>
      <c r="E424" s="639">
        <v>0</v>
      </c>
      <c r="F424" s="705"/>
      <c r="G424" s="639">
        <v>0</v>
      </c>
      <c r="H424" s="639">
        <v>9570000000</v>
      </c>
      <c r="I424" s="639">
        <v>19140000000</v>
      </c>
      <c r="J424" s="639">
        <v>28710000000</v>
      </c>
      <c r="K424" s="639">
        <v>38280000000</v>
      </c>
      <c r="L424" s="639">
        <v>47850000000</v>
      </c>
      <c r="M424" s="639">
        <v>57420000000</v>
      </c>
      <c r="N424" s="639">
        <v>65395000000</v>
      </c>
      <c r="O424" s="639">
        <v>73370000000</v>
      </c>
      <c r="P424" s="639">
        <v>81345000000</v>
      </c>
      <c r="Q424" s="639">
        <v>86130000000</v>
      </c>
      <c r="R424" s="639">
        <v>90915000000</v>
      </c>
      <c r="S424" s="639">
        <v>95700000000</v>
      </c>
      <c r="T424" s="813"/>
      <c r="V424" s="641">
        <f t="shared" si="192"/>
        <v>95700000000</v>
      </c>
      <c r="W424" s="715">
        <f t="shared" si="193"/>
        <v>1.5376067913357263E-2</v>
      </c>
      <c r="X424" s="1016"/>
      <c r="Y424" s="675">
        <f t="shared" si="194"/>
        <v>114840000000</v>
      </c>
      <c r="Z424" s="670"/>
      <c r="AA424" s="675">
        <f t="shared" si="195"/>
        <v>160776000000</v>
      </c>
      <c r="AB424" s="670"/>
      <c r="AC424" s="675">
        <f t="shared" si="196"/>
        <v>241164000000</v>
      </c>
      <c r="AD424" s="670"/>
      <c r="AE424" s="675">
        <f t="shared" si="197"/>
        <v>301455000000</v>
      </c>
      <c r="AF424" s="670"/>
      <c r="AL424" s="489"/>
      <c r="AM424" s="489"/>
      <c r="AN424" s="489"/>
      <c r="AO424" s="489"/>
      <c r="AP424" s="489"/>
      <c r="AQ424" s="489"/>
      <c r="AR424" s="489"/>
      <c r="AS424" s="489"/>
    </row>
    <row r="425" spans="1:45" s="484" customFormat="1">
      <c r="A425" s="695" t="s">
        <v>1285</v>
      </c>
      <c r="B425" s="638">
        <v>3756181378.5600004</v>
      </c>
      <c r="C425" s="639"/>
      <c r="D425" s="639"/>
      <c r="E425" s="639">
        <v>0</v>
      </c>
      <c r="F425" s="703"/>
      <c r="G425" s="639">
        <v>25000296272.669998</v>
      </c>
      <c r="H425" s="639">
        <v>34570296272.669998</v>
      </c>
      <c r="I425" s="639">
        <v>44140296272.669998</v>
      </c>
      <c r="J425" s="639">
        <v>53710296272.669998</v>
      </c>
      <c r="K425" s="639">
        <v>63280296272.669998</v>
      </c>
      <c r="L425" s="639">
        <v>72850296272.669998</v>
      </c>
      <c r="M425" s="639">
        <v>82420296272.669998</v>
      </c>
      <c r="N425" s="639">
        <v>90395296272.669998</v>
      </c>
      <c r="O425" s="639">
        <v>98370296272.669998</v>
      </c>
      <c r="P425" s="639">
        <v>106345296272.67</v>
      </c>
      <c r="Q425" s="639">
        <v>111130296272.67</v>
      </c>
      <c r="R425" s="639">
        <v>115915296272.67</v>
      </c>
      <c r="S425" s="639">
        <v>120700296272.67</v>
      </c>
      <c r="T425" s="813"/>
      <c r="V425" s="641">
        <f t="shared" si="192"/>
        <v>120700296272.67</v>
      </c>
      <c r="W425" s="715">
        <f t="shared" si="193"/>
        <v>1.9392852169811039E-2</v>
      </c>
      <c r="X425" s="1015"/>
      <c r="Y425" s="675">
        <f t="shared" si="194"/>
        <v>144840355527.20398</v>
      </c>
      <c r="Z425" s="675"/>
      <c r="AA425" s="675">
        <f t="shared" si="195"/>
        <v>202776497738.08557</v>
      </c>
      <c r="AB425" s="675"/>
      <c r="AC425" s="675">
        <f t="shared" si="196"/>
        <v>304164746607.12836</v>
      </c>
      <c r="AD425" s="675"/>
      <c r="AE425" s="675">
        <f t="shared" si="197"/>
        <v>380205933258.91046</v>
      </c>
      <c r="AF425" s="675"/>
      <c r="AL425" s="489"/>
      <c r="AM425" s="489"/>
      <c r="AN425" s="489"/>
      <c r="AO425" s="489"/>
      <c r="AP425" s="489"/>
      <c r="AQ425" s="489"/>
      <c r="AR425" s="489"/>
      <c r="AS425" s="489"/>
    </row>
    <row r="426" spans="1:45" s="484" customFormat="1" ht="14.5">
      <c r="A426" s="695" t="s">
        <v>1286</v>
      </c>
      <c r="B426" s="647"/>
      <c r="C426" s="644"/>
      <c r="D426" s="644"/>
      <c r="E426" s="639">
        <v>0</v>
      </c>
      <c r="F426" s="705"/>
      <c r="G426" s="639">
        <v>0</v>
      </c>
      <c r="H426" s="639">
        <v>0</v>
      </c>
      <c r="I426" s="639">
        <v>0</v>
      </c>
      <c r="J426" s="639">
        <v>0</v>
      </c>
      <c r="K426" s="639">
        <v>0</v>
      </c>
      <c r="L426" s="639">
        <v>0</v>
      </c>
      <c r="M426" s="639">
        <v>0</v>
      </c>
      <c r="N426" s="639">
        <v>0</v>
      </c>
      <c r="O426" s="639">
        <v>0</v>
      </c>
      <c r="P426" s="639">
        <v>0</v>
      </c>
      <c r="Q426" s="639">
        <v>0</v>
      </c>
      <c r="R426" s="639">
        <v>0</v>
      </c>
      <c r="S426" s="639">
        <v>0</v>
      </c>
      <c r="T426" s="813"/>
      <c r="V426" s="641">
        <f t="shared" si="192"/>
        <v>0</v>
      </c>
      <c r="W426" s="715">
        <f t="shared" si="193"/>
        <v>0</v>
      </c>
      <c r="X426" s="1016"/>
      <c r="Y426" s="675">
        <f t="shared" si="194"/>
        <v>0</v>
      </c>
      <c r="Z426" s="670"/>
      <c r="AA426" s="675">
        <f t="shared" si="195"/>
        <v>0</v>
      </c>
      <c r="AB426" s="670"/>
      <c r="AC426" s="675">
        <f t="shared" si="196"/>
        <v>0</v>
      </c>
      <c r="AD426" s="670"/>
      <c r="AE426" s="675">
        <f t="shared" si="197"/>
        <v>0</v>
      </c>
      <c r="AF426" s="670"/>
      <c r="AL426" s="489"/>
      <c r="AM426" s="489"/>
      <c r="AN426" s="489"/>
      <c r="AO426" s="489"/>
      <c r="AP426" s="489"/>
      <c r="AQ426" s="489"/>
      <c r="AR426" s="489"/>
      <c r="AS426" s="489"/>
    </row>
    <row r="427" spans="1:45" s="484" customFormat="1">
      <c r="A427" s="695" t="s">
        <v>1287</v>
      </c>
      <c r="B427" s="638">
        <v>0</v>
      </c>
      <c r="C427" s="639"/>
      <c r="D427" s="639"/>
      <c r="E427" s="639">
        <v>0</v>
      </c>
      <c r="F427" s="703"/>
      <c r="G427" s="639">
        <v>0</v>
      </c>
      <c r="H427" s="639">
        <v>0</v>
      </c>
      <c r="I427" s="639">
        <v>0</v>
      </c>
      <c r="J427" s="639">
        <v>0</v>
      </c>
      <c r="K427" s="639">
        <v>0</v>
      </c>
      <c r="L427" s="639">
        <v>0</v>
      </c>
      <c r="M427" s="639">
        <v>0</v>
      </c>
      <c r="N427" s="639">
        <v>0</v>
      </c>
      <c r="O427" s="639">
        <v>0</v>
      </c>
      <c r="P427" s="639">
        <v>0</v>
      </c>
      <c r="Q427" s="639">
        <v>0</v>
      </c>
      <c r="R427" s="639">
        <v>0</v>
      </c>
      <c r="S427" s="639">
        <v>0</v>
      </c>
      <c r="T427" s="813"/>
      <c r="V427" s="641">
        <f t="shared" si="192"/>
        <v>0</v>
      </c>
      <c r="W427" s="715">
        <f t="shared" si="193"/>
        <v>0</v>
      </c>
      <c r="X427" s="1015"/>
      <c r="Y427" s="675">
        <f t="shared" si="194"/>
        <v>0</v>
      </c>
      <c r="Z427" s="675"/>
      <c r="AA427" s="675">
        <f t="shared" si="195"/>
        <v>0</v>
      </c>
      <c r="AB427" s="675"/>
      <c r="AC427" s="675">
        <f t="shared" si="196"/>
        <v>0</v>
      </c>
      <c r="AD427" s="675"/>
      <c r="AE427" s="675">
        <f t="shared" si="197"/>
        <v>0</v>
      </c>
      <c r="AF427" s="675"/>
      <c r="AL427" s="489"/>
      <c r="AM427" s="489"/>
      <c r="AN427" s="489"/>
      <c r="AO427" s="489"/>
      <c r="AP427" s="489"/>
      <c r="AQ427" s="489"/>
      <c r="AR427" s="489"/>
      <c r="AS427" s="489"/>
    </row>
    <row r="428" spans="1:45" s="484" customFormat="1" ht="14.5">
      <c r="A428" s="695" t="s">
        <v>1288</v>
      </c>
      <c r="B428" s="647"/>
      <c r="C428" s="644"/>
      <c r="D428" s="644"/>
      <c r="E428" s="639">
        <v>0</v>
      </c>
      <c r="F428" s="705"/>
      <c r="G428" s="639">
        <v>0</v>
      </c>
      <c r="H428" s="639">
        <v>0</v>
      </c>
      <c r="I428" s="639">
        <v>0</v>
      </c>
      <c r="J428" s="639">
        <v>0</v>
      </c>
      <c r="K428" s="639">
        <v>0</v>
      </c>
      <c r="L428" s="639">
        <v>0</v>
      </c>
      <c r="M428" s="639">
        <v>0</v>
      </c>
      <c r="N428" s="639">
        <v>0</v>
      </c>
      <c r="O428" s="639">
        <v>0</v>
      </c>
      <c r="P428" s="639">
        <v>0</v>
      </c>
      <c r="Q428" s="639">
        <v>0</v>
      </c>
      <c r="R428" s="639">
        <v>0</v>
      </c>
      <c r="S428" s="639">
        <v>0</v>
      </c>
      <c r="T428" s="813"/>
      <c r="V428" s="641">
        <f t="shared" si="192"/>
        <v>0</v>
      </c>
      <c r="W428" s="715">
        <f t="shared" si="193"/>
        <v>0</v>
      </c>
      <c r="X428" s="1016"/>
      <c r="Y428" s="675">
        <f t="shared" si="194"/>
        <v>0</v>
      </c>
      <c r="Z428" s="670"/>
      <c r="AA428" s="675">
        <f t="shared" si="195"/>
        <v>0</v>
      </c>
      <c r="AB428" s="670"/>
      <c r="AC428" s="675">
        <f t="shared" si="196"/>
        <v>0</v>
      </c>
      <c r="AD428" s="670"/>
      <c r="AE428" s="675">
        <f t="shared" si="197"/>
        <v>0</v>
      </c>
      <c r="AF428" s="670"/>
      <c r="AL428" s="489"/>
      <c r="AM428" s="489"/>
      <c r="AN428" s="489"/>
      <c r="AO428" s="489"/>
      <c r="AP428" s="489"/>
      <c r="AQ428" s="489"/>
      <c r="AR428" s="489"/>
      <c r="AS428" s="489"/>
    </row>
    <row r="429" spans="1:45" s="484" customFormat="1">
      <c r="A429" s="695" t="s">
        <v>1289</v>
      </c>
      <c r="B429" s="647">
        <v>111809990517</v>
      </c>
      <c r="C429" s="648"/>
      <c r="D429" s="648"/>
      <c r="E429" s="639">
        <v>0</v>
      </c>
      <c r="F429" s="706"/>
      <c r="G429" s="639">
        <v>0</v>
      </c>
      <c r="H429" s="639">
        <v>9570000000</v>
      </c>
      <c r="I429" s="639">
        <v>19140000000</v>
      </c>
      <c r="J429" s="639">
        <v>28710000000</v>
      </c>
      <c r="K429" s="639">
        <v>38280000000</v>
      </c>
      <c r="L429" s="639">
        <v>47850000000</v>
      </c>
      <c r="M429" s="639">
        <v>57420000000</v>
      </c>
      <c r="N429" s="639">
        <v>65395000000</v>
      </c>
      <c r="O429" s="639">
        <v>73370000000</v>
      </c>
      <c r="P429" s="639">
        <v>81345000000</v>
      </c>
      <c r="Q429" s="639">
        <v>86130000000</v>
      </c>
      <c r="R429" s="639">
        <v>90915000000</v>
      </c>
      <c r="S429" s="639">
        <v>95700000000</v>
      </c>
      <c r="T429" s="813"/>
      <c r="V429" s="641">
        <f t="shared" si="192"/>
        <v>95700000000</v>
      </c>
      <c r="W429" s="715">
        <f t="shared" si="193"/>
        <v>1.5376067913357263E-2</v>
      </c>
      <c r="X429" s="1015"/>
      <c r="Y429" s="675">
        <f t="shared" si="194"/>
        <v>114840000000</v>
      </c>
      <c r="Z429" s="675"/>
      <c r="AA429" s="675">
        <f t="shared" si="195"/>
        <v>160776000000</v>
      </c>
      <c r="AB429" s="675"/>
      <c r="AC429" s="675">
        <f t="shared" si="196"/>
        <v>241164000000</v>
      </c>
      <c r="AD429" s="675"/>
      <c r="AE429" s="675">
        <f t="shared" si="197"/>
        <v>301455000000</v>
      </c>
      <c r="AF429" s="675"/>
      <c r="AL429" s="489"/>
      <c r="AM429" s="489"/>
      <c r="AN429" s="489"/>
      <c r="AO429" s="489"/>
      <c r="AP429" s="489"/>
      <c r="AQ429" s="489"/>
      <c r="AR429" s="489"/>
      <c r="AS429" s="489"/>
    </row>
    <row r="430" spans="1:45" s="484" customFormat="1" ht="14.5">
      <c r="A430" s="695" t="s">
        <v>1290</v>
      </c>
      <c r="B430" s="647"/>
      <c r="C430" s="644"/>
      <c r="D430" s="644"/>
      <c r="E430" s="639">
        <v>0</v>
      </c>
      <c r="F430" s="705"/>
      <c r="G430" s="639">
        <v>0</v>
      </c>
      <c r="H430" s="639">
        <v>0</v>
      </c>
      <c r="I430" s="639">
        <v>0</v>
      </c>
      <c r="J430" s="639">
        <v>0</v>
      </c>
      <c r="K430" s="639">
        <v>0</v>
      </c>
      <c r="L430" s="639">
        <v>0</v>
      </c>
      <c r="M430" s="639">
        <v>0</v>
      </c>
      <c r="N430" s="639">
        <v>0</v>
      </c>
      <c r="O430" s="639">
        <v>0</v>
      </c>
      <c r="P430" s="639">
        <v>0</v>
      </c>
      <c r="Q430" s="639">
        <v>0</v>
      </c>
      <c r="R430" s="639">
        <v>0</v>
      </c>
      <c r="S430" s="639">
        <v>0</v>
      </c>
      <c r="T430" s="813"/>
      <c r="V430" s="641">
        <f t="shared" si="192"/>
        <v>0</v>
      </c>
      <c r="W430" s="715">
        <f t="shared" si="193"/>
        <v>0</v>
      </c>
      <c r="X430" s="1016"/>
      <c r="Y430" s="675">
        <f t="shared" si="194"/>
        <v>0</v>
      </c>
      <c r="AA430" s="675">
        <f t="shared" si="195"/>
        <v>0</v>
      </c>
      <c r="AC430" s="675">
        <f t="shared" si="196"/>
        <v>0</v>
      </c>
      <c r="AE430" s="675">
        <f t="shared" si="197"/>
        <v>0</v>
      </c>
      <c r="AF430" s="528"/>
      <c r="AL430" s="489"/>
      <c r="AM430" s="489"/>
      <c r="AN430" s="489"/>
      <c r="AO430" s="489"/>
      <c r="AP430" s="489"/>
      <c r="AQ430" s="489"/>
      <c r="AR430" s="489"/>
      <c r="AS430" s="489"/>
    </row>
    <row r="431" spans="1:45" s="484" customFormat="1" ht="14.5">
      <c r="A431" s="695" t="s">
        <v>1291</v>
      </c>
      <c r="B431" s="647"/>
      <c r="C431" s="644"/>
      <c r="D431" s="644"/>
      <c r="E431" s="639">
        <v>0</v>
      </c>
      <c r="F431" s="705"/>
      <c r="G431" s="639">
        <v>0</v>
      </c>
      <c r="H431" s="639">
        <v>0</v>
      </c>
      <c r="I431" s="639">
        <v>0</v>
      </c>
      <c r="J431" s="639">
        <v>0</v>
      </c>
      <c r="K431" s="639">
        <v>0</v>
      </c>
      <c r="L431" s="639">
        <v>0</v>
      </c>
      <c r="M431" s="639">
        <v>0</v>
      </c>
      <c r="N431" s="639">
        <v>0</v>
      </c>
      <c r="O431" s="639">
        <v>0</v>
      </c>
      <c r="P431" s="639">
        <v>0</v>
      </c>
      <c r="Q431" s="639">
        <v>0</v>
      </c>
      <c r="R431" s="639">
        <v>0</v>
      </c>
      <c r="S431" s="639">
        <v>0</v>
      </c>
      <c r="T431" s="813"/>
      <c r="V431" s="641">
        <f t="shared" si="192"/>
        <v>0</v>
      </c>
      <c r="W431" s="715">
        <f t="shared" si="193"/>
        <v>0</v>
      </c>
      <c r="X431" s="1016"/>
      <c r="Y431" s="675">
        <f t="shared" si="194"/>
        <v>0</v>
      </c>
      <c r="Z431" s="675"/>
      <c r="AA431" s="675">
        <f t="shared" si="195"/>
        <v>0</v>
      </c>
      <c r="AB431" s="675"/>
      <c r="AC431" s="675">
        <f t="shared" si="196"/>
        <v>0</v>
      </c>
      <c r="AD431" s="675"/>
      <c r="AE431" s="675">
        <f t="shared" si="197"/>
        <v>0</v>
      </c>
      <c r="AL431" s="489"/>
      <c r="AM431" s="489"/>
      <c r="AN431" s="489"/>
      <c r="AO431" s="489"/>
      <c r="AP431" s="489"/>
      <c r="AQ431" s="489"/>
      <c r="AR431" s="489"/>
      <c r="AS431" s="489"/>
    </row>
    <row r="432" spans="1:45" s="484" customFormat="1" ht="14.5">
      <c r="A432" s="695" t="s">
        <v>1292</v>
      </c>
      <c r="B432" s="647"/>
      <c r="C432" s="644"/>
      <c r="D432" s="644"/>
      <c r="E432" s="639">
        <v>0</v>
      </c>
      <c r="F432" s="705"/>
      <c r="G432" s="639">
        <v>0</v>
      </c>
      <c r="H432" s="639">
        <v>0</v>
      </c>
      <c r="I432" s="639">
        <v>0</v>
      </c>
      <c r="J432" s="639">
        <v>0</v>
      </c>
      <c r="K432" s="639">
        <v>0</v>
      </c>
      <c r="L432" s="639">
        <v>0</v>
      </c>
      <c r="M432" s="639">
        <v>0</v>
      </c>
      <c r="N432" s="639">
        <v>0</v>
      </c>
      <c r="O432" s="639">
        <v>0</v>
      </c>
      <c r="P432" s="639">
        <v>0</v>
      </c>
      <c r="Q432" s="639">
        <v>0</v>
      </c>
      <c r="R432" s="639">
        <v>0</v>
      </c>
      <c r="S432" s="639">
        <v>0</v>
      </c>
      <c r="T432" s="813"/>
      <c r="V432" s="641">
        <f t="shared" si="192"/>
        <v>0</v>
      </c>
      <c r="W432" s="715">
        <f t="shared" si="193"/>
        <v>0</v>
      </c>
      <c r="X432" s="1016"/>
      <c r="Y432" s="675">
        <f t="shared" si="194"/>
        <v>0</v>
      </c>
      <c r="AA432" s="675">
        <f t="shared" si="195"/>
        <v>0</v>
      </c>
      <c r="AC432" s="675">
        <f t="shared" si="196"/>
        <v>0</v>
      </c>
      <c r="AE432" s="675">
        <f t="shared" si="197"/>
        <v>0</v>
      </c>
      <c r="AL432" s="489"/>
      <c r="AM432" s="489"/>
      <c r="AN432" s="489"/>
      <c r="AO432" s="489"/>
      <c r="AP432" s="489"/>
      <c r="AQ432" s="489"/>
      <c r="AR432" s="489"/>
      <c r="AS432" s="489"/>
    </row>
    <row r="433" spans="1:45" s="484" customFormat="1" ht="14.5">
      <c r="A433" s="695" t="s">
        <v>1293</v>
      </c>
      <c r="B433" s="647"/>
      <c r="C433" s="644"/>
      <c r="D433" s="644"/>
      <c r="E433" s="639">
        <v>0</v>
      </c>
      <c r="F433" s="705"/>
      <c r="G433" s="639">
        <v>0</v>
      </c>
      <c r="H433" s="639">
        <v>0</v>
      </c>
      <c r="I433" s="639">
        <v>0</v>
      </c>
      <c r="J433" s="639">
        <v>0</v>
      </c>
      <c r="K433" s="639">
        <v>0</v>
      </c>
      <c r="L433" s="639">
        <v>0</v>
      </c>
      <c r="M433" s="639">
        <v>0</v>
      </c>
      <c r="N433" s="639">
        <v>0</v>
      </c>
      <c r="O433" s="639">
        <v>0</v>
      </c>
      <c r="P433" s="639">
        <v>0</v>
      </c>
      <c r="Q433" s="639">
        <v>0</v>
      </c>
      <c r="R433" s="639">
        <v>0</v>
      </c>
      <c r="S433" s="639">
        <v>0</v>
      </c>
      <c r="T433" s="813"/>
      <c r="V433" s="641">
        <f t="shared" si="192"/>
        <v>0</v>
      </c>
      <c r="W433" s="715">
        <f t="shared" si="193"/>
        <v>0</v>
      </c>
      <c r="X433" s="1016"/>
      <c r="Y433" s="675"/>
      <c r="AA433" s="675"/>
      <c r="AC433" s="675"/>
      <c r="AE433" s="675"/>
      <c r="AL433" s="489"/>
      <c r="AM433" s="489"/>
      <c r="AN433" s="489"/>
      <c r="AO433" s="489"/>
      <c r="AP433" s="489"/>
      <c r="AQ433" s="489"/>
      <c r="AR433" s="489"/>
      <c r="AS433" s="489"/>
    </row>
    <row r="434" spans="1:45" s="484" customFormat="1" ht="14.5">
      <c r="A434" s="695" t="s">
        <v>1294</v>
      </c>
      <c r="B434" s="647"/>
      <c r="C434" s="644"/>
      <c r="D434" s="644"/>
      <c r="E434" s="639">
        <v>30234236163.630001</v>
      </c>
      <c r="F434" s="705"/>
      <c r="G434" s="639">
        <v>57046396593.460075</v>
      </c>
      <c r="H434" s="639">
        <v>71401396593.460083</v>
      </c>
      <c r="I434" s="639">
        <v>85756396593.460083</v>
      </c>
      <c r="J434" s="639">
        <v>100111396593.46008</v>
      </c>
      <c r="K434" s="639">
        <v>114466396593.46008</v>
      </c>
      <c r="L434" s="639">
        <v>128821396593.46008</v>
      </c>
      <c r="M434" s="639">
        <v>143176396593.46008</v>
      </c>
      <c r="N434" s="639">
        <v>155138896593.46008</v>
      </c>
      <c r="O434" s="639">
        <v>167101396593.46008</v>
      </c>
      <c r="P434" s="639">
        <v>179063896593.46008</v>
      </c>
      <c r="Q434" s="639">
        <v>186241396593.46008</v>
      </c>
      <c r="R434" s="639">
        <v>193418896593.46008</v>
      </c>
      <c r="S434" s="639">
        <v>200596396593.46008</v>
      </c>
      <c r="T434" s="813"/>
      <c r="V434" s="641">
        <f t="shared" si="192"/>
        <v>200596396593.46008</v>
      </c>
      <c r="W434" s="715">
        <f t="shared" si="193"/>
        <v>3.2229715958158725E-2</v>
      </c>
      <c r="X434" s="1016"/>
      <c r="Y434" s="675"/>
      <c r="AA434" s="675"/>
      <c r="AC434" s="675"/>
      <c r="AE434" s="675"/>
      <c r="AL434" s="489"/>
      <c r="AM434" s="489"/>
      <c r="AN434" s="489"/>
      <c r="AO434" s="489"/>
      <c r="AP434" s="489"/>
      <c r="AQ434" s="489"/>
      <c r="AR434" s="489"/>
      <c r="AS434" s="489"/>
    </row>
    <row r="435" spans="1:45" s="484" customFormat="1" ht="14.5">
      <c r="A435" s="695" t="s">
        <v>1295</v>
      </c>
      <c r="B435" s="647"/>
      <c r="C435" s="644"/>
      <c r="D435" s="644"/>
      <c r="E435" s="639">
        <v>0</v>
      </c>
      <c r="F435" s="705"/>
      <c r="G435" s="639">
        <v>0</v>
      </c>
      <c r="H435" s="639">
        <v>2871000000</v>
      </c>
      <c r="I435" s="639">
        <v>5742000000</v>
      </c>
      <c r="J435" s="639">
        <v>8613000000</v>
      </c>
      <c r="K435" s="639">
        <v>11484000000</v>
      </c>
      <c r="L435" s="639">
        <v>14355000000</v>
      </c>
      <c r="M435" s="639">
        <v>17226000000</v>
      </c>
      <c r="N435" s="639">
        <v>19618500000</v>
      </c>
      <c r="O435" s="639">
        <v>22011000000</v>
      </c>
      <c r="P435" s="639">
        <v>24403500000</v>
      </c>
      <c r="Q435" s="639">
        <v>25839000000</v>
      </c>
      <c r="R435" s="639">
        <v>27274500000</v>
      </c>
      <c r="S435" s="639">
        <v>28710000000</v>
      </c>
      <c r="T435" s="813"/>
      <c r="V435" s="641">
        <f t="shared" si="192"/>
        <v>28710000000</v>
      </c>
      <c r="W435" s="715">
        <f t="shared" si="193"/>
        <v>4.6128203740071795E-3</v>
      </c>
      <c r="X435" s="1016"/>
      <c r="Y435" s="675"/>
      <c r="AA435" s="675"/>
      <c r="AC435" s="675"/>
      <c r="AE435" s="675"/>
      <c r="AL435" s="489"/>
      <c r="AM435" s="489"/>
      <c r="AN435" s="489"/>
      <c r="AO435" s="489"/>
      <c r="AP435" s="489"/>
      <c r="AQ435" s="489"/>
      <c r="AR435" s="489"/>
      <c r="AS435" s="489"/>
    </row>
    <row r="436" spans="1:45" s="484" customFormat="1" ht="14.5">
      <c r="A436" s="695" t="s">
        <v>1296</v>
      </c>
      <c r="B436" s="647"/>
      <c r="C436" s="644"/>
      <c r="D436" s="644"/>
      <c r="E436" s="639">
        <v>0</v>
      </c>
      <c r="F436" s="705"/>
      <c r="G436" s="639">
        <v>0</v>
      </c>
      <c r="H436" s="639">
        <v>0</v>
      </c>
      <c r="I436" s="639">
        <v>0</v>
      </c>
      <c r="J436" s="639">
        <v>39250000000</v>
      </c>
      <c r="K436" s="639">
        <v>39250000000</v>
      </c>
      <c r="L436" s="639">
        <v>39250000000</v>
      </c>
      <c r="M436" s="639">
        <v>39250000000</v>
      </c>
      <c r="N436" s="639">
        <v>139250000000</v>
      </c>
      <c r="O436" s="639">
        <v>139250000000</v>
      </c>
      <c r="P436" s="639">
        <v>139250000000</v>
      </c>
      <c r="Q436" s="639">
        <v>239250000000</v>
      </c>
      <c r="R436" s="639">
        <v>239250000000</v>
      </c>
      <c r="S436" s="639">
        <v>239250000000</v>
      </c>
      <c r="T436" s="813"/>
      <c r="V436" s="641">
        <f t="shared" si="192"/>
        <v>239250000000</v>
      </c>
      <c r="W436" s="715">
        <f t="shared" si="193"/>
        <v>3.8440169783393159E-2</v>
      </c>
      <c r="X436" s="1016"/>
      <c r="Y436" s="675"/>
      <c r="AA436" s="675"/>
      <c r="AC436" s="675"/>
      <c r="AE436" s="675"/>
      <c r="AL436" s="489"/>
      <c r="AM436" s="489"/>
      <c r="AN436" s="489"/>
      <c r="AO436" s="489"/>
      <c r="AP436" s="489"/>
      <c r="AQ436" s="489"/>
      <c r="AR436" s="489"/>
      <c r="AS436" s="489"/>
    </row>
    <row r="437" spans="1:45" s="484" customFormat="1" ht="14.5">
      <c r="A437" s="695" t="s">
        <v>1297</v>
      </c>
      <c r="B437" s="647"/>
      <c r="C437" s="644"/>
      <c r="D437" s="644"/>
      <c r="E437" s="639">
        <v>0</v>
      </c>
      <c r="F437" s="705"/>
      <c r="G437" s="639">
        <v>0</v>
      </c>
      <c r="H437" s="639">
        <v>0</v>
      </c>
      <c r="I437" s="639">
        <v>0</v>
      </c>
      <c r="J437" s="639">
        <v>0</v>
      </c>
      <c r="K437" s="639">
        <v>0</v>
      </c>
      <c r="L437" s="639">
        <v>0</v>
      </c>
      <c r="M437" s="639">
        <v>0</v>
      </c>
      <c r="N437" s="639">
        <v>0</v>
      </c>
      <c r="O437" s="639">
        <v>0</v>
      </c>
      <c r="P437" s="639">
        <v>0</v>
      </c>
      <c r="Q437" s="639">
        <v>0</v>
      </c>
      <c r="R437" s="639">
        <v>0</v>
      </c>
      <c r="S437" s="639">
        <v>0</v>
      </c>
      <c r="T437" s="813"/>
      <c r="V437" s="641">
        <f t="shared" si="192"/>
        <v>0</v>
      </c>
      <c r="W437" s="715">
        <f t="shared" si="193"/>
        <v>0</v>
      </c>
      <c r="X437" s="1016"/>
      <c r="Y437" s="675"/>
      <c r="AA437" s="675"/>
      <c r="AC437" s="675"/>
      <c r="AE437" s="675"/>
      <c r="AL437" s="489"/>
      <c r="AM437" s="489"/>
      <c r="AN437" s="489"/>
      <c r="AO437" s="489"/>
      <c r="AP437" s="489"/>
      <c r="AQ437" s="489"/>
      <c r="AR437" s="489"/>
      <c r="AS437" s="489"/>
    </row>
    <row r="438" spans="1:45" s="484" customFormat="1" ht="14.5">
      <c r="A438" s="695" t="s">
        <v>1298</v>
      </c>
      <c r="B438" s="647"/>
      <c r="C438" s="644"/>
      <c r="D438" s="644"/>
      <c r="E438" s="639">
        <v>0</v>
      </c>
      <c r="F438" s="705"/>
      <c r="G438" s="639">
        <v>0</v>
      </c>
      <c r="H438" s="639">
        <v>0</v>
      </c>
      <c r="I438" s="639">
        <v>0</v>
      </c>
      <c r="J438" s="639">
        <v>0</v>
      </c>
      <c r="K438" s="639">
        <v>0</v>
      </c>
      <c r="L438" s="639">
        <v>0</v>
      </c>
      <c r="M438" s="639">
        <v>0</v>
      </c>
      <c r="N438" s="639">
        <v>0</v>
      </c>
      <c r="O438" s="639">
        <v>0</v>
      </c>
      <c r="P438" s="639">
        <v>0</v>
      </c>
      <c r="Q438" s="639">
        <v>0</v>
      </c>
      <c r="R438" s="639">
        <v>0</v>
      </c>
      <c r="S438" s="639">
        <v>0</v>
      </c>
      <c r="T438" s="813"/>
      <c r="V438" s="641">
        <f t="shared" si="192"/>
        <v>0</v>
      </c>
      <c r="W438" s="715">
        <f t="shared" si="193"/>
        <v>0</v>
      </c>
      <c r="X438" s="1016"/>
      <c r="Y438" s="675"/>
      <c r="AA438" s="675"/>
      <c r="AC438" s="675"/>
      <c r="AE438" s="675"/>
      <c r="AL438" s="489"/>
      <c r="AM438" s="489"/>
      <c r="AN438" s="489"/>
      <c r="AO438" s="489"/>
      <c r="AP438" s="489"/>
      <c r="AQ438" s="489"/>
      <c r="AR438" s="489"/>
      <c r="AS438" s="489"/>
    </row>
    <row r="439" spans="1:45" s="484" customFormat="1" ht="14.5">
      <c r="A439" s="695" t="s">
        <v>1299</v>
      </c>
      <c r="B439" s="647"/>
      <c r="C439" s="644"/>
      <c r="D439" s="644"/>
      <c r="E439" s="639">
        <v>0</v>
      </c>
      <c r="F439" s="705"/>
      <c r="G439" s="639">
        <v>0</v>
      </c>
      <c r="H439" s="639">
        <v>0</v>
      </c>
      <c r="I439" s="639">
        <v>0</v>
      </c>
      <c r="J439" s="639">
        <v>0</v>
      </c>
      <c r="K439" s="639">
        <v>0</v>
      </c>
      <c r="L439" s="639">
        <v>0</v>
      </c>
      <c r="M439" s="639">
        <v>0</v>
      </c>
      <c r="N439" s="639">
        <v>0</v>
      </c>
      <c r="O439" s="639">
        <v>0</v>
      </c>
      <c r="P439" s="639">
        <v>0</v>
      </c>
      <c r="Q439" s="639">
        <v>0</v>
      </c>
      <c r="R439" s="639">
        <v>0</v>
      </c>
      <c r="S439" s="639">
        <v>0</v>
      </c>
      <c r="T439" s="813"/>
      <c r="V439" s="641">
        <f t="shared" si="192"/>
        <v>0</v>
      </c>
      <c r="W439" s="715">
        <f t="shared" si="193"/>
        <v>0</v>
      </c>
      <c r="X439" s="1016"/>
      <c r="Y439" s="675"/>
      <c r="AA439" s="675"/>
      <c r="AC439" s="675"/>
      <c r="AE439" s="675"/>
      <c r="AL439" s="489"/>
      <c r="AM439" s="489"/>
      <c r="AN439" s="489"/>
      <c r="AO439" s="489"/>
      <c r="AP439" s="489"/>
      <c r="AQ439" s="489"/>
      <c r="AR439" s="489"/>
      <c r="AS439" s="489"/>
    </row>
    <row r="440" spans="1:45" s="484" customFormat="1" ht="14.5">
      <c r="A440" s="695" t="s">
        <v>1300</v>
      </c>
      <c r="B440" s="647"/>
      <c r="C440" s="644"/>
      <c r="D440" s="644"/>
      <c r="E440" s="639">
        <v>0</v>
      </c>
      <c r="F440" s="705"/>
      <c r="G440" s="639">
        <v>0</v>
      </c>
      <c r="H440" s="639">
        <v>0</v>
      </c>
      <c r="I440" s="639">
        <v>0</v>
      </c>
      <c r="J440" s="639">
        <v>0</v>
      </c>
      <c r="K440" s="639">
        <v>0</v>
      </c>
      <c r="L440" s="639">
        <v>0</v>
      </c>
      <c r="M440" s="639">
        <v>0</v>
      </c>
      <c r="N440" s="639">
        <v>0</v>
      </c>
      <c r="O440" s="639">
        <v>0</v>
      </c>
      <c r="P440" s="639">
        <v>0</v>
      </c>
      <c r="Q440" s="639">
        <v>0</v>
      </c>
      <c r="R440" s="639">
        <v>0</v>
      </c>
      <c r="S440" s="639">
        <v>0</v>
      </c>
      <c r="T440" s="813"/>
      <c r="V440" s="641">
        <f t="shared" si="192"/>
        <v>0</v>
      </c>
      <c r="W440" s="715">
        <f t="shared" si="193"/>
        <v>0</v>
      </c>
      <c r="X440" s="1016"/>
      <c r="Y440" s="675"/>
      <c r="AA440" s="675"/>
      <c r="AC440" s="675"/>
      <c r="AE440" s="675"/>
      <c r="AL440" s="489"/>
      <c r="AM440" s="489"/>
      <c r="AN440" s="489"/>
      <c r="AO440" s="489"/>
      <c r="AP440" s="489"/>
      <c r="AQ440" s="489"/>
      <c r="AR440" s="489"/>
      <c r="AS440" s="489"/>
    </row>
    <row r="441" spans="1:45" s="484" customFormat="1" ht="14.5">
      <c r="A441" s="695" t="s">
        <v>1301</v>
      </c>
      <c r="B441" s="647"/>
      <c r="C441" s="644"/>
      <c r="D441" s="644"/>
      <c r="E441" s="639">
        <v>0</v>
      </c>
      <c r="F441" s="705"/>
      <c r="G441" s="639">
        <v>0</v>
      </c>
      <c r="H441" s="639">
        <v>0</v>
      </c>
      <c r="I441" s="639">
        <v>0</v>
      </c>
      <c r="J441" s="639">
        <v>0</v>
      </c>
      <c r="K441" s="639">
        <v>0</v>
      </c>
      <c r="L441" s="639">
        <v>0</v>
      </c>
      <c r="M441" s="639">
        <v>0</v>
      </c>
      <c r="N441" s="639">
        <v>0</v>
      </c>
      <c r="O441" s="639">
        <v>0</v>
      </c>
      <c r="P441" s="639">
        <v>0</v>
      </c>
      <c r="Q441" s="639">
        <v>0</v>
      </c>
      <c r="R441" s="639">
        <v>0</v>
      </c>
      <c r="S441" s="639">
        <v>0</v>
      </c>
      <c r="T441" s="813"/>
      <c r="V441" s="641">
        <f t="shared" si="192"/>
        <v>0</v>
      </c>
      <c r="W441" s="715">
        <f t="shared" si="193"/>
        <v>0</v>
      </c>
      <c r="X441" s="1016"/>
      <c r="Y441" s="675"/>
      <c r="AA441" s="675"/>
      <c r="AC441" s="675"/>
      <c r="AE441" s="675"/>
      <c r="AL441" s="489"/>
      <c r="AM441" s="489"/>
      <c r="AN441" s="489"/>
      <c r="AO441" s="489"/>
      <c r="AP441" s="489"/>
      <c r="AQ441" s="489"/>
      <c r="AR441" s="489"/>
      <c r="AS441" s="489"/>
    </row>
    <row r="442" spans="1:45" s="484" customFormat="1" ht="14.5">
      <c r="A442" s="695" t="s">
        <v>1302</v>
      </c>
      <c r="B442" s="647"/>
      <c r="C442" s="644"/>
      <c r="D442" s="644"/>
      <c r="E442" s="639">
        <v>0</v>
      </c>
      <c r="F442" s="705"/>
      <c r="G442" s="639">
        <v>0</v>
      </c>
      <c r="H442" s="639">
        <v>0</v>
      </c>
      <c r="I442" s="639">
        <v>0</v>
      </c>
      <c r="J442" s="639">
        <v>0</v>
      </c>
      <c r="K442" s="639">
        <v>0</v>
      </c>
      <c r="L442" s="639">
        <v>0</v>
      </c>
      <c r="M442" s="639">
        <v>0</v>
      </c>
      <c r="N442" s="639">
        <v>0</v>
      </c>
      <c r="O442" s="639">
        <v>0</v>
      </c>
      <c r="P442" s="639">
        <v>0</v>
      </c>
      <c r="Q442" s="639">
        <v>0</v>
      </c>
      <c r="R442" s="639">
        <v>0</v>
      </c>
      <c r="S442" s="639">
        <v>0</v>
      </c>
      <c r="T442" s="813"/>
      <c r="V442" s="641">
        <f t="shared" si="192"/>
        <v>0</v>
      </c>
      <c r="W442" s="715">
        <f t="shared" si="193"/>
        <v>0</v>
      </c>
      <c r="X442" s="1016"/>
      <c r="Y442" s="675"/>
      <c r="AA442" s="675"/>
      <c r="AC442" s="675"/>
      <c r="AE442" s="675"/>
      <c r="AL442" s="489"/>
      <c r="AM442" s="489"/>
      <c r="AN442" s="489"/>
      <c r="AO442" s="489"/>
      <c r="AP442" s="489"/>
      <c r="AQ442" s="489"/>
      <c r="AR442" s="489"/>
      <c r="AS442" s="489"/>
    </row>
    <row r="443" spans="1:45" s="484" customFormat="1" ht="14.5">
      <c r="A443" s="695" t="s">
        <v>1303</v>
      </c>
      <c r="B443" s="647"/>
      <c r="C443" s="644"/>
      <c r="D443" s="644"/>
      <c r="E443" s="639">
        <v>0</v>
      </c>
      <c r="F443" s="705"/>
      <c r="G443" s="639">
        <v>0</v>
      </c>
      <c r="H443" s="639">
        <v>0</v>
      </c>
      <c r="I443" s="639">
        <v>0</v>
      </c>
      <c r="J443" s="639">
        <v>0</v>
      </c>
      <c r="K443" s="639">
        <v>0</v>
      </c>
      <c r="L443" s="639">
        <v>0</v>
      </c>
      <c r="M443" s="639">
        <v>0</v>
      </c>
      <c r="N443" s="639">
        <v>0</v>
      </c>
      <c r="O443" s="639">
        <v>0</v>
      </c>
      <c r="P443" s="639">
        <v>0</v>
      </c>
      <c r="Q443" s="639">
        <v>0</v>
      </c>
      <c r="R443" s="639">
        <v>0</v>
      </c>
      <c r="S443" s="639">
        <v>0</v>
      </c>
      <c r="T443" s="813"/>
      <c r="V443" s="641">
        <f t="shared" si="192"/>
        <v>0</v>
      </c>
      <c r="W443" s="715">
        <f t="shared" si="193"/>
        <v>0</v>
      </c>
      <c r="X443" s="1016"/>
      <c r="Y443" s="675"/>
      <c r="AA443" s="675"/>
      <c r="AC443" s="675"/>
      <c r="AE443" s="675"/>
      <c r="AL443" s="489"/>
      <c r="AM443" s="489"/>
      <c r="AN443" s="489"/>
      <c r="AO443" s="489"/>
      <c r="AP443" s="489"/>
      <c r="AQ443" s="489"/>
      <c r="AR443" s="489"/>
      <c r="AS443" s="489"/>
    </row>
    <row r="444" spans="1:45" s="484" customFormat="1" ht="14.5">
      <c r="A444" s="695" t="s">
        <v>1304</v>
      </c>
      <c r="B444" s="647"/>
      <c r="C444" s="644"/>
      <c r="D444" s="644"/>
      <c r="E444" s="639">
        <v>0</v>
      </c>
      <c r="F444" s="705"/>
      <c r="G444" s="639">
        <v>0</v>
      </c>
      <c r="H444" s="639">
        <v>0</v>
      </c>
      <c r="I444" s="639">
        <v>0</v>
      </c>
      <c r="J444" s="639">
        <v>0</v>
      </c>
      <c r="K444" s="639">
        <v>0</v>
      </c>
      <c r="L444" s="639">
        <v>0</v>
      </c>
      <c r="M444" s="639">
        <v>0</v>
      </c>
      <c r="N444" s="639">
        <v>0</v>
      </c>
      <c r="O444" s="639">
        <v>0</v>
      </c>
      <c r="P444" s="639">
        <v>0</v>
      </c>
      <c r="Q444" s="639">
        <v>0</v>
      </c>
      <c r="R444" s="639">
        <v>0</v>
      </c>
      <c r="S444" s="639">
        <v>0</v>
      </c>
      <c r="T444" s="813"/>
      <c r="V444" s="641">
        <f t="shared" si="192"/>
        <v>0</v>
      </c>
      <c r="W444" s="715">
        <f t="shared" si="193"/>
        <v>0</v>
      </c>
      <c r="X444" s="1016"/>
      <c r="Y444" s="675"/>
      <c r="AA444" s="675"/>
      <c r="AC444" s="675"/>
      <c r="AE444" s="675"/>
      <c r="AL444" s="489"/>
      <c r="AM444" s="489"/>
      <c r="AN444" s="489"/>
      <c r="AO444" s="489"/>
      <c r="AP444" s="489"/>
      <c r="AQ444" s="489"/>
      <c r="AR444" s="489"/>
      <c r="AS444" s="489"/>
    </row>
    <row r="445" spans="1:45" s="484" customFormat="1" ht="14.5">
      <c r="A445" s="695" t="s">
        <v>1305</v>
      </c>
      <c r="B445" s="647"/>
      <c r="C445" s="644"/>
      <c r="D445" s="644"/>
      <c r="E445" s="639">
        <v>0</v>
      </c>
      <c r="F445" s="705"/>
      <c r="G445" s="639">
        <v>0</v>
      </c>
      <c r="H445" s="639">
        <v>0</v>
      </c>
      <c r="I445" s="639">
        <v>0</v>
      </c>
      <c r="J445" s="639">
        <v>0</v>
      </c>
      <c r="K445" s="639">
        <v>0</v>
      </c>
      <c r="L445" s="639">
        <v>0</v>
      </c>
      <c r="M445" s="639">
        <v>0</v>
      </c>
      <c r="N445" s="639">
        <v>0</v>
      </c>
      <c r="O445" s="639">
        <v>0</v>
      </c>
      <c r="P445" s="639">
        <v>0</v>
      </c>
      <c r="Q445" s="639">
        <v>0</v>
      </c>
      <c r="R445" s="639">
        <v>0</v>
      </c>
      <c r="S445" s="639">
        <v>0</v>
      </c>
      <c r="T445" s="813"/>
      <c r="V445" s="641">
        <f t="shared" si="192"/>
        <v>0</v>
      </c>
      <c r="W445" s="715">
        <f t="shared" si="193"/>
        <v>0</v>
      </c>
      <c r="X445" s="1016"/>
      <c r="Y445" s="675"/>
      <c r="AA445" s="675"/>
      <c r="AC445" s="675"/>
      <c r="AE445" s="675"/>
      <c r="AL445" s="489"/>
      <c r="AM445" s="489"/>
      <c r="AN445" s="489"/>
      <c r="AO445" s="489"/>
      <c r="AP445" s="489"/>
      <c r="AQ445" s="489"/>
      <c r="AR445" s="489"/>
      <c r="AS445" s="489"/>
    </row>
    <row r="446" spans="1:45" s="484" customFormat="1" ht="14.5">
      <c r="A446" s="695" t="s">
        <v>1306</v>
      </c>
      <c r="B446" s="647"/>
      <c r="C446" s="644"/>
      <c r="D446" s="644"/>
      <c r="E446" s="639">
        <v>0</v>
      </c>
      <c r="F446" s="705"/>
      <c r="G446" s="639">
        <v>0</v>
      </c>
      <c r="H446" s="639">
        <v>0</v>
      </c>
      <c r="I446" s="639">
        <v>0</v>
      </c>
      <c r="J446" s="639">
        <v>0</v>
      </c>
      <c r="K446" s="639">
        <v>0</v>
      </c>
      <c r="L446" s="639">
        <v>0</v>
      </c>
      <c r="M446" s="639">
        <v>0</v>
      </c>
      <c r="N446" s="639">
        <v>0</v>
      </c>
      <c r="O446" s="639">
        <v>0</v>
      </c>
      <c r="P446" s="639">
        <v>0</v>
      </c>
      <c r="Q446" s="639">
        <v>0</v>
      </c>
      <c r="R446" s="639">
        <v>0</v>
      </c>
      <c r="S446" s="639">
        <v>0</v>
      </c>
      <c r="T446" s="813"/>
      <c r="V446" s="641">
        <f t="shared" si="192"/>
        <v>0</v>
      </c>
      <c r="W446" s="715">
        <f t="shared" si="193"/>
        <v>0</v>
      </c>
      <c r="X446" s="1016"/>
      <c r="Y446" s="675"/>
      <c r="AA446" s="675"/>
      <c r="AC446" s="675"/>
      <c r="AE446" s="675"/>
      <c r="AL446" s="489"/>
      <c r="AM446" s="489"/>
      <c r="AN446" s="489"/>
      <c r="AO446" s="489"/>
      <c r="AP446" s="489"/>
      <c r="AQ446" s="489"/>
      <c r="AR446" s="489"/>
      <c r="AS446" s="489"/>
    </row>
    <row r="447" spans="1:45" s="484" customFormat="1" ht="14.5">
      <c r="A447" s="695" t="s">
        <v>1307</v>
      </c>
      <c r="B447" s="647"/>
      <c r="C447" s="644"/>
      <c r="D447" s="644"/>
      <c r="E447" s="639">
        <v>0</v>
      </c>
      <c r="F447" s="705"/>
      <c r="G447" s="639">
        <v>0</v>
      </c>
      <c r="H447" s="639">
        <v>0</v>
      </c>
      <c r="I447" s="639">
        <v>0</v>
      </c>
      <c r="J447" s="639">
        <v>0</v>
      </c>
      <c r="K447" s="639">
        <v>0</v>
      </c>
      <c r="L447" s="639">
        <v>0</v>
      </c>
      <c r="M447" s="639">
        <v>0</v>
      </c>
      <c r="N447" s="639">
        <v>0</v>
      </c>
      <c r="O447" s="639">
        <v>0</v>
      </c>
      <c r="P447" s="639">
        <v>0</v>
      </c>
      <c r="Q447" s="639">
        <v>0</v>
      </c>
      <c r="R447" s="639">
        <v>0</v>
      </c>
      <c r="S447" s="639">
        <v>0</v>
      </c>
      <c r="T447" s="813"/>
      <c r="V447" s="641">
        <f t="shared" si="192"/>
        <v>0</v>
      </c>
      <c r="W447" s="715">
        <f t="shared" si="193"/>
        <v>0</v>
      </c>
      <c r="X447" s="1016"/>
      <c r="Y447" s="675"/>
      <c r="AA447" s="675"/>
      <c r="AC447" s="675"/>
      <c r="AE447" s="675"/>
      <c r="AL447" s="489"/>
      <c r="AM447" s="489"/>
      <c r="AN447" s="489"/>
      <c r="AO447" s="489"/>
      <c r="AP447" s="489"/>
      <c r="AQ447" s="489"/>
      <c r="AR447" s="489"/>
      <c r="AS447" s="489"/>
    </row>
    <row r="448" spans="1:45" s="484" customFormat="1" ht="14.5">
      <c r="A448" s="695" t="s">
        <v>1308</v>
      </c>
      <c r="B448" s="647"/>
      <c r="C448" s="644"/>
      <c r="D448" s="644"/>
      <c r="E448" s="639">
        <v>0</v>
      </c>
      <c r="F448" s="705"/>
      <c r="G448" s="639">
        <v>0</v>
      </c>
      <c r="H448" s="639">
        <v>0</v>
      </c>
      <c r="I448" s="639">
        <v>0</v>
      </c>
      <c r="J448" s="639">
        <v>0</v>
      </c>
      <c r="K448" s="639">
        <v>0</v>
      </c>
      <c r="L448" s="639">
        <v>0</v>
      </c>
      <c r="M448" s="639">
        <v>0</v>
      </c>
      <c r="N448" s="639">
        <v>0</v>
      </c>
      <c r="O448" s="639">
        <v>0</v>
      </c>
      <c r="P448" s="639">
        <v>0</v>
      </c>
      <c r="Q448" s="639">
        <v>0</v>
      </c>
      <c r="R448" s="639">
        <v>0</v>
      </c>
      <c r="S448" s="639">
        <v>0</v>
      </c>
      <c r="T448" s="813"/>
      <c r="V448" s="641">
        <f t="shared" si="192"/>
        <v>0</v>
      </c>
      <c r="W448" s="715">
        <f t="shared" si="193"/>
        <v>0</v>
      </c>
      <c r="X448" s="1016"/>
      <c r="Y448" s="675"/>
      <c r="AA448" s="675"/>
      <c r="AC448" s="675"/>
      <c r="AE448" s="675"/>
      <c r="AL448" s="489"/>
      <c r="AM448" s="489"/>
      <c r="AN448" s="489"/>
      <c r="AO448" s="489"/>
      <c r="AP448" s="489"/>
      <c r="AQ448" s="489"/>
      <c r="AR448" s="489"/>
      <c r="AS448" s="489"/>
    </row>
    <row r="449" spans="1:45" s="484" customFormat="1" ht="14.5">
      <c r="A449" s="695" t="s">
        <v>1309</v>
      </c>
      <c r="B449" s="647"/>
      <c r="C449" s="644"/>
      <c r="D449" s="644"/>
      <c r="E449" s="639"/>
      <c r="F449" s="705"/>
      <c r="G449" s="639"/>
      <c r="H449" s="639"/>
      <c r="I449" s="639"/>
      <c r="J449" s="639"/>
      <c r="K449" s="639"/>
      <c r="L449" s="639"/>
      <c r="M449" s="639"/>
      <c r="N449" s="639"/>
      <c r="O449" s="639"/>
      <c r="P449" s="639"/>
      <c r="Q449" s="639"/>
      <c r="R449" s="639"/>
      <c r="S449" s="639"/>
      <c r="T449" s="813"/>
      <c r="V449" s="641">
        <f t="shared" si="192"/>
        <v>0</v>
      </c>
      <c r="W449" s="715">
        <f t="shared" si="193"/>
        <v>0</v>
      </c>
      <c r="X449" s="1016"/>
      <c r="Y449" s="675"/>
      <c r="AA449" s="675"/>
      <c r="AC449" s="675"/>
      <c r="AE449" s="675"/>
      <c r="AL449" s="489"/>
      <c r="AM449" s="489"/>
      <c r="AN449" s="489"/>
      <c r="AO449" s="489"/>
      <c r="AP449" s="489"/>
      <c r="AQ449" s="489"/>
      <c r="AR449" s="489"/>
      <c r="AS449" s="489"/>
    </row>
    <row r="450" spans="1:45" s="484" customFormat="1" ht="14.5">
      <c r="A450" s="695"/>
      <c r="B450" s="647"/>
      <c r="C450" s="644"/>
      <c r="D450" s="644"/>
      <c r="E450" s="644"/>
      <c r="F450" s="705"/>
      <c r="G450" s="639"/>
      <c r="H450" s="493"/>
      <c r="I450" s="493"/>
      <c r="J450" s="493"/>
      <c r="K450" s="493"/>
      <c r="L450" s="493"/>
      <c r="M450" s="493"/>
      <c r="N450" s="493"/>
      <c r="O450" s="493"/>
      <c r="P450" s="493"/>
      <c r="Q450" s="493"/>
      <c r="R450" s="493"/>
      <c r="S450" s="493"/>
      <c r="T450" s="794"/>
      <c r="V450" s="641">
        <f t="shared" si="192"/>
        <v>0</v>
      </c>
      <c r="W450" s="715">
        <f t="shared" si="193"/>
        <v>0</v>
      </c>
      <c r="X450" s="1016"/>
      <c r="Y450" s="675"/>
      <c r="AA450" s="675"/>
      <c r="AC450" s="675"/>
      <c r="AE450" s="675"/>
      <c r="AL450" s="489"/>
      <c r="AM450" s="489"/>
      <c r="AN450" s="489"/>
      <c r="AO450" s="489"/>
      <c r="AP450" s="489"/>
      <c r="AQ450" s="489"/>
      <c r="AR450" s="489"/>
      <c r="AS450" s="489"/>
    </row>
    <row r="451" spans="1:45" s="484" customFormat="1">
      <c r="A451" s="726" t="s">
        <v>1318</v>
      </c>
      <c r="B451" s="727">
        <v>191512506424.56</v>
      </c>
      <c r="C451" s="728"/>
      <c r="D451" s="728">
        <f>SUM(D415:D429)</f>
        <v>0</v>
      </c>
      <c r="E451" s="728">
        <f>SUM(E415:E450)</f>
        <v>30234236163.630001</v>
      </c>
      <c r="F451" s="721">
        <f t="shared" ref="F451" si="198">SUM(F415:F450)</f>
        <v>0</v>
      </c>
      <c r="G451" s="728">
        <f>SUM(G415:G450)</f>
        <v>82046692866.130066</v>
      </c>
      <c r="H451" s="728">
        <f t="shared" ref="H451:V451" si="199">SUM(H415:H450)</f>
        <v>153821692866.13007</v>
      </c>
      <c r="I451" s="728">
        <f t="shared" si="199"/>
        <v>225596692866.13007</v>
      </c>
      <c r="J451" s="728">
        <f t="shared" si="199"/>
        <v>336621692866.13007</v>
      </c>
      <c r="K451" s="728">
        <f t="shared" si="199"/>
        <v>408396692866.13007</v>
      </c>
      <c r="L451" s="728">
        <f t="shared" si="199"/>
        <v>480171692866.13007</v>
      </c>
      <c r="M451" s="728">
        <f t="shared" si="199"/>
        <v>551946692866.13013</v>
      </c>
      <c r="N451" s="728">
        <f t="shared" si="199"/>
        <v>711759192866.13013</v>
      </c>
      <c r="O451" s="728">
        <f t="shared" si="199"/>
        <v>771571692866.13013</v>
      </c>
      <c r="P451" s="728">
        <f t="shared" si="199"/>
        <v>831384192866.13013</v>
      </c>
      <c r="Q451" s="728">
        <f t="shared" si="199"/>
        <v>967271692866.13013</v>
      </c>
      <c r="R451" s="728">
        <f>SUM(R415:R450)</f>
        <v>1003159192866.1301</v>
      </c>
      <c r="S451" s="728">
        <f>SUM(S415:S450)</f>
        <v>1039046692866.13</v>
      </c>
      <c r="T451" s="826"/>
      <c r="V451" s="728">
        <f t="shared" si="199"/>
        <v>1039046692866.13</v>
      </c>
      <c r="W451" s="715">
        <f t="shared" si="193"/>
        <v>0.16694307747814924</v>
      </c>
      <c r="X451" s="1025"/>
      <c r="Y451" s="729">
        <f>SUM(Y415:Y432)-Y424</f>
        <v>569748355527.20398</v>
      </c>
      <c r="Z451" s="730">
        <f>Y451/V451-1</f>
        <v>-0.45166241378854965</v>
      </c>
      <c r="AA451" s="729">
        <f>SUM(AA415:AA432)-AA424</f>
        <v>797647697738.08557</v>
      </c>
      <c r="AB451" s="730">
        <f>+AA451/Y451-1</f>
        <v>0.39999999999999991</v>
      </c>
      <c r="AC451" s="729">
        <f>SUM(AC415:AC432)-AC424</f>
        <v>1196471546607.1284</v>
      </c>
      <c r="AD451" s="730">
        <f>+AC451/AA451-1</f>
        <v>0.5</v>
      </c>
      <c r="AE451" s="729">
        <f>SUM(AE415:AE432)-AE424</f>
        <v>1495589433258.9104</v>
      </c>
      <c r="AF451" s="730">
        <f>+AE451/AC451-1</f>
        <v>0.25</v>
      </c>
      <c r="AL451" s="489"/>
      <c r="AM451" s="489"/>
      <c r="AN451" s="489"/>
      <c r="AO451" s="489"/>
      <c r="AP451" s="489"/>
      <c r="AQ451" s="489"/>
      <c r="AR451" s="489"/>
      <c r="AS451" s="489"/>
    </row>
    <row r="452" spans="1:45" s="736" customFormat="1">
      <c r="A452" s="731"/>
      <c r="B452" s="732"/>
      <c r="C452" s="732"/>
      <c r="D452" s="732"/>
      <c r="E452" s="732"/>
      <c r="F452" s="733"/>
      <c r="G452" s="732"/>
      <c r="H452" s="732"/>
      <c r="I452" s="732"/>
      <c r="J452" s="732"/>
      <c r="K452" s="732"/>
      <c r="L452" s="732"/>
      <c r="M452" s="732"/>
      <c r="N452" s="732"/>
      <c r="O452" s="732"/>
      <c r="P452" s="774"/>
      <c r="Q452" s="732"/>
      <c r="R452" s="732"/>
      <c r="S452" s="732"/>
      <c r="T452" s="827"/>
      <c r="V452" s="732"/>
      <c r="W452" s="734"/>
      <c r="X452" s="1026"/>
      <c r="Y452" s="735"/>
      <c r="Z452" s="734"/>
      <c r="AA452" s="735"/>
      <c r="AB452" s="734"/>
      <c r="AC452" s="735"/>
      <c r="AD452" s="734"/>
      <c r="AE452" s="735"/>
      <c r="AF452" s="734"/>
    </row>
    <row r="453" spans="1:45" s="484" customFormat="1">
      <c r="A453" s="490" t="s">
        <v>1319</v>
      </c>
      <c r="B453" s="633" t="s">
        <v>1273</v>
      </c>
      <c r="C453" s="634"/>
      <c r="D453" s="693" t="s">
        <v>1313</v>
      </c>
      <c r="E453" s="690">
        <v>42613</v>
      </c>
      <c r="F453" s="711"/>
      <c r="G453" s="690">
        <v>42735</v>
      </c>
      <c r="H453" s="690">
        <v>42736</v>
      </c>
      <c r="I453" s="690">
        <v>42768</v>
      </c>
      <c r="J453" s="690">
        <v>42800</v>
      </c>
      <c r="K453" s="690">
        <v>42832</v>
      </c>
      <c r="L453" s="690">
        <v>42864</v>
      </c>
      <c r="M453" s="690">
        <v>42896</v>
      </c>
      <c r="N453" s="690">
        <v>42928</v>
      </c>
      <c r="O453" s="690">
        <v>42960</v>
      </c>
      <c r="P453" s="690">
        <v>42992</v>
      </c>
      <c r="Q453" s="690">
        <v>43024</v>
      </c>
      <c r="R453" s="690">
        <v>43056</v>
      </c>
      <c r="S453" s="690">
        <v>43088</v>
      </c>
      <c r="T453" s="822"/>
      <c r="V453" s="690" t="s">
        <v>1159</v>
      </c>
      <c r="W453" s="660"/>
      <c r="X453" s="1014"/>
      <c r="Y453" s="634"/>
      <c r="Z453" s="634"/>
      <c r="AA453" s="661"/>
      <c r="AB453" s="661"/>
      <c r="AC453" s="661"/>
      <c r="AD453" s="661"/>
      <c r="AE453" s="661"/>
      <c r="AF453" s="661"/>
      <c r="AL453" s="489"/>
      <c r="AM453" s="489"/>
      <c r="AN453" s="489"/>
      <c r="AO453" s="489"/>
      <c r="AP453" s="489"/>
      <c r="AQ453" s="489"/>
      <c r="AR453" s="489"/>
      <c r="AS453" s="489"/>
    </row>
    <row r="454" spans="1:45" s="484" customFormat="1" hidden="1">
      <c r="A454" s="695" t="s">
        <v>1275</v>
      </c>
      <c r="B454" s="638">
        <v>2891247907</v>
      </c>
      <c r="C454" s="639"/>
      <c r="D454" s="639"/>
      <c r="E454" s="639">
        <v>0</v>
      </c>
      <c r="F454" s="703"/>
      <c r="G454" s="639">
        <v>0</v>
      </c>
      <c r="H454" s="639">
        <v>0</v>
      </c>
      <c r="I454" s="639">
        <v>0</v>
      </c>
      <c r="J454" s="639">
        <v>0</v>
      </c>
      <c r="K454" s="639">
        <v>0</v>
      </c>
      <c r="L454" s="639">
        <v>0</v>
      </c>
      <c r="M454" s="639">
        <v>0</v>
      </c>
      <c r="N454" s="639">
        <v>0</v>
      </c>
      <c r="O454" s="639">
        <v>0</v>
      </c>
      <c r="P454" s="639">
        <v>0</v>
      </c>
      <c r="Q454" s="639">
        <v>0</v>
      </c>
      <c r="R454" s="639">
        <v>0</v>
      </c>
      <c r="S454" s="639">
        <v>0</v>
      </c>
      <c r="T454" s="813"/>
      <c r="V454" s="641">
        <f t="shared" ref="V454:V489" si="200">+S454</f>
        <v>0</v>
      </c>
      <c r="W454" s="715">
        <f>+V454/$V$256</f>
        <v>0</v>
      </c>
      <c r="X454" s="1015"/>
      <c r="Y454" s="675">
        <f>+V454*(100%+$Y$16)</f>
        <v>0</v>
      </c>
      <c r="Z454" s="664"/>
      <c r="AA454" s="675">
        <f>+Y454*(100%+$AA$16)</f>
        <v>0</v>
      </c>
      <c r="AB454" s="664"/>
      <c r="AC454" s="675">
        <f>+AA454*(100%+$AC$16)</f>
        <v>0</v>
      </c>
      <c r="AD454" s="664"/>
      <c r="AE454" s="675">
        <f>+AC454*(100%+$AE$16)</f>
        <v>0</v>
      </c>
      <c r="AF454" s="664"/>
      <c r="AL454" s="489"/>
      <c r="AM454" s="489"/>
      <c r="AN454" s="489"/>
      <c r="AO454" s="489"/>
      <c r="AP454" s="489"/>
      <c r="AQ454" s="489"/>
      <c r="AR454" s="489"/>
      <c r="AS454" s="489"/>
    </row>
    <row r="455" spans="1:45" s="484" customFormat="1" ht="14.5" hidden="1">
      <c r="A455" s="695" t="s">
        <v>1276</v>
      </c>
      <c r="B455" s="647"/>
      <c r="C455" s="644"/>
      <c r="D455" s="644"/>
      <c r="E455" s="639">
        <v>0</v>
      </c>
      <c r="F455" s="705"/>
      <c r="G455" s="639">
        <v>0</v>
      </c>
      <c r="H455" s="639">
        <v>0</v>
      </c>
      <c r="I455" s="639">
        <v>0</v>
      </c>
      <c r="J455" s="639">
        <v>0</v>
      </c>
      <c r="K455" s="639">
        <v>0</v>
      </c>
      <c r="L455" s="639">
        <v>0</v>
      </c>
      <c r="M455" s="639">
        <v>0</v>
      </c>
      <c r="N455" s="639">
        <v>0</v>
      </c>
      <c r="O455" s="639">
        <v>0</v>
      </c>
      <c r="P455" s="639">
        <v>0</v>
      </c>
      <c r="Q455" s="639">
        <v>0</v>
      </c>
      <c r="R455" s="639">
        <v>0</v>
      </c>
      <c r="S455" s="639">
        <v>0</v>
      </c>
      <c r="T455" s="813"/>
      <c r="V455" s="641">
        <f t="shared" si="200"/>
        <v>0</v>
      </c>
      <c r="W455" s="715">
        <f t="shared" ref="W455:W490" si="201">+V455/$V$256</f>
        <v>0</v>
      </c>
      <c r="X455" s="1016"/>
      <c r="Y455" s="675">
        <f t="shared" ref="Y455:Y471" si="202">+V455*(100%+$Y$16)</f>
        <v>0</v>
      </c>
      <c r="Z455" s="670"/>
      <c r="AA455" s="675">
        <f>+Y455*(100%+$AA$16)</f>
        <v>0</v>
      </c>
      <c r="AB455" s="670"/>
      <c r="AC455" s="675">
        <f>+AA455*(100%+$AC$16)</f>
        <v>0</v>
      </c>
      <c r="AD455" s="670"/>
      <c r="AE455" s="675">
        <f>+AC455*(100%+$AE$16)</f>
        <v>0</v>
      </c>
      <c r="AF455" s="670"/>
      <c r="AL455" s="489"/>
      <c r="AM455" s="489"/>
      <c r="AN455" s="489"/>
      <c r="AO455" s="489"/>
      <c r="AP455" s="489"/>
      <c r="AQ455" s="489"/>
      <c r="AR455" s="489"/>
      <c r="AS455" s="489"/>
    </row>
    <row r="456" spans="1:45" s="484" customFormat="1" hidden="1">
      <c r="A456" s="695" t="s">
        <v>1277</v>
      </c>
      <c r="B456" s="638">
        <v>20896385642</v>
      </c>
      <c r="C456" s="639"/>
      <c r="D456" s="639"/>
      <c r="E456" s="639">
        <v>0</v>
      </c>
      <c r="F456" s="703"/>
      <c r="G456" s="639">
        <v>0</v>
      </c>
      <c r="H456" s="639">
        <v>0</v>
      </c>
      <c r="I456" s="639">
        <v>0</v>
      </c>
      <c r="J456" s="639">
        <v>0</v>
      </c>
      <c r="K456" s="639">
        <v>0</v>
      </c>
      <c r="L456" s="639">
        <v>0</v>
      </c>
      <c r="M456" s="639">
        <v>0</v>
      </c>
      <c r="N456" s="639">
        <v>0</v>
      </c>
      <c r="O456" s="639">
        <v>0</v>
      </c>
      <c r="P456" s="639">
        <v>0</v>
      </c>
      <c r="Q456" s="639">
        <v>0</v>
      </c>
      <c r="R456" s="639">
        <v>0</v>
      </c>
      <c r="S456" s="639">
        <v>0</v>
      </c>
      <c r="T456" s="813"/>
      <c r="V456" s="641">
        <f t="shared" si="200"/>
        <v>0</v>
      </c>
      <c r="W456" s="715">
        <f t="shared" si="201"/>
        <v>0</v>
      </c>
      <c r="X456" s="1015"/>
      <c r="Y456" s="675">
        <f t="shared" si="202"/>
        <v>0</v>
      </c>
      <c r="Z456" s="675"/>
      <c r="AA456" s="675">
        <f t="shared" ref="AA456:AA471" si="203">+Y456*(100%+$AA$16)</f>
        <v>0</v>
      </c>
      <c r="AB456" s="675"/>
      <c r="AC456" s="675">
        <f t="shared" ref="AC456:AC471" si="204">+AA456*(100%+$AC$16)</f>
        <v>0</v>
      </c>
      <c r="AD456" s="675"/>
      <c r="AE456" s="675">
        <f t="shared" ref="AE456:AE471" si="205">+AC456*(100%+$AE$16)</f>
        <v>0</v>
      </c>
      <c r="AF456" s="675"/>
      <c r="AL456" s="489"/>
      <c r="AM456" s="489"/>
      <c r="AN456" s="489"/>
      <c r="AO456" s="489"/>
      <c r="AP456" s="489"/>
      <c r="AQ456" s="489"/>
      <c r="AR456" s="489"/>
      <c r="AS456" s="489"/>
    </row>
    <row r="457" spans="1:45" s="484" customFormat="1" ht="14.5" hidden="1">
      <c r="A457" s="695" t="s">
        <v>1278</v>
      </c>
      <c r="B457" s="647"/>
      <c r="C457" s="644"/>
      <c r="D457" s="644"/>
      <c r="E457" s="639">
        <v>0</v>
      </c>
      <c r="F457" s="705"/>
      <c r="G457" s="639">
        <v>0</v>
      </c>
      <c r="H457" s="639">
        <v>0</v>
      </c>
      <c r="I457" s="639">
        <v>0</v>
      </c>
      <c r="J457" s="639">
        <v>0</v>
      </c>
      <c r="K457" s="639">
        <v>0</v>
      </c>
      <c r="L457" s="639">
        <v>0</v>
      </c>
      <c r="M457" s="639">
        <v>0</v>
      </c>
      <c r="N457" s="639">
        <v>0</v>
      </c>
      <c r="O457" s="639">
        <v>0</v>
      </c>
      <c r="P457" s="639">
        <v>0</v>
      </c>
      <c r="Q457" s="639">
        <v>0</v>
      </c>
      <c r="R457" s="639">
        <v>0</v>
      </c>
      <c r="S457" s="639">
        <v>0</v>
      </c>
      <c r="T457" s="813"/>
      <c r="V457" s="641">
        <f t="shared" si="200"/>
        <v>0</v>
      </c>
      <c r="W457" s="715">
        <f t="shared" si="201"/>
        <v>0</v>
      </c>
      <c r="X457" s="1016"/>
      <c r="Y457" s="675">
        <f t="shared" si="202"/>
        <v>0</v>
      </c>
      <c r="Z457" s="670"/>
      <c r="AA457" s="675">
        <f t="shared" si="203"/>
        <v>0</v>
      </c>
      <c r="AB457" s="670"/>
      <c r="AC457" s="675">
        <f t="shared" si="204"/>
        <v>0</v>
      </c>
      <c r="AD457" s="670"/>
      <c r="AE457" s="675">
        <f t="shared" si="205"/>
        <v>0</v>
      </c>
      <c r="AF457" s="670"/>
      <c r="AL457" s="489"/>
      <c r="AM457" s="489"/>
      <c r="AN457" s="489"/>
      <c r="AO457" s="489"/>
      <c r="AP457" s="489"/>
      <c r="AQ457" s="489"/>
      <c r="AR457" s="489"/>
      <c r="AS457" s="489"/>
    </row>
    <row r="458" spans="1:45" s="484" customFormat="1" hidden="1">
      <c r="A458" s="695" t="s">
        <v>1279</v>
      </c>
      <c r="B458" s="638">
        <v>12712848871</v>
      </c>
      <c r="C458" s="639"/>
      <c r="D458" s="639"/>
      <c r="E458" s="639">
        <v>0</v>
      </c>
      <c r="F458" s="703"/>
      <c r="G458" s="639">
        <v>0</v>
      </c>
      <c r="H458" s="639">
        <v>0</v>
      </c>
      <c r="I458" s="639">
        <v>0</v>
      </c>
      <c r="J458" s="639">
        <v>0</v>
      </c>
      <c r="K458" s="639">
        <v>0</v>
      </c>
      <c r="L458" s="639">
        <v>0</v>
      </c>
      <c r="M458" s="639">
        <v>0</v>
      </c>
      <c r="N458" s="639">
        <v>0</v>
      </c>
      <c r="O458" s="639">
        <v>0</v>
      </c>
      <c r="P458" s="639">
        <v>0</v>
      </c>
      <c r="Q458" s="639">
        <v>0</v>
      </c>
      <c r="R458" s="639">
        <v>0</v>
      </c>
      <c r="S458" s="639">
        <v>0</v>
      </c>
      <c r="T458" s="813"/>
      <c r="V458" s="641">
        <f t="shared" si="200"/>
        <v>0</v>
      </c>
      <c r="W458" s="715">
        <f t="shared" si="201"/>
        <v>0</v>
      </c>
      <c r="X458" s="1015"/>
      <c r="Y458" s="675">
        <f t="shared" si="202"/>
        <v>0</v>
      </c>
      <c r="Z458" s="675"/>
      <c r="AA458" s="675">
        <f t="shared" si="203"/>
        <v>0</v>
      </c>
      <c r="AB458" s="675"/>
      <c r="AC458" s="675">
        <f t="shared" si="204"/>
        <v>0</v>
      </c>
      <c r="AD458" s="675"/>
      <c r="AE458" s="675">
        <f t="shared" si="205"/>
        <v>0</v>
      </c>
      <c r="AF458" s="675"/>
      <c r="AL458" s="489"/>
      <c r="AM458" s="489"/>
      <c r="AN458" s="489"/>
      <c r="AO458" s="489"/>
      <c r="AP458" s="489"/>
      <c r="AQ458" s="489"/>
      <c r="AR458" s="489"/>
      <c r="AS458" s="489"/>
    </row>
    <row r="459" spans="1:45" s="484" customFormat="1" ht="14.5" hidden="1">
      <c r="A459" s="695" t="s">
        <v>1280</v>
      </c>
      <c r="B459" s="647"/>
      <c r="C459" s="644"/>
      <c r="D459" s="644"/>
      <c r="E459" s="639">
        <v>0</v>
      </c>
      <c r="F459" s="705"/>
      <c r="G459" s="639">
        <v>0</v>
      </c>
      <c r="H459" s="639">
        <v>0</v>
      </c>
      <c r="I459" s="639">
        <v>0</v>
      </c>
      <c r="J459" s="639">
        <v>0</v>
      </c>
      <c r="K459" s="639">
        <v>0</v>
      </c>
      <c r="L459" s="639">
        <v>0</v>
      </c>
      <c r="M459" s="639">
        <v>0</v>
      </c>
      <c r="N459" s="639">
        <v>0</v>
      </c>
      <c r="O459" s="639">
        <v>0</v>
      </c>
      <c r="P459" s="639">
        <v>0</v>
      </c>
      <c r="Q459" s="639">
        <v>0</v>
      </c>
      <c r="R459" s="639">
        <v>0</v>
      </c>
      <c r="S459" s="639">
        <v>0</v>
      </c>
      <c r="T459" s="813"/>
      <c r="V459" s="641">
        <f t="shared" si="200"/>
        <v>0</v>
      </c>
      <c r="W459" s="715">
        <f t="shared" si="201"/>
        <v>0</v>
      </c>
      <c r="X459" s="1016"/>
      <c r="Y459" s="675">
        <f t="shared" si="202"/>
        <v>0</v>
      </c>
      <c r="Z459" s="670"/>
      <c r="AA459" s="675">
        <f t="shared" si="203"/>
        <v>0</v>
      </c>
      <c r="AB459" s="670"/>
      <c r="AC459" s="675">
        <f t="shared" si="204"/>
        <v>0</v>
      </c>
      <c r="AD459" s="670"/>
      <c r="AE459" s="675">
        <f t="shared" si="205"/>
        <v>0</v>
      </c>
      <c r="AF459" s="670"/>
      <c r="AL459" s="489"/>
      <c r="AM459" s="489"/>
      <c r="AN459" s="489"/>
      <c r="AO459" s="489"/>
      <c r="AP459" s="489"/>
      <c r="AQ459" s="489"/>
      <c r="AR459" s="489"/>
      <c r="AS459" s="489"/>
    </row>
    <row r="460" spans="1:45" s="484" customFormat="1" hidden="1">
      <c r="A460" s="695" t="s">
        <v>1281</v>
      </c>
      <c r="B460" s="638">
        <v>5637570085</v>
      </c>
      <c r="C460" s="639"/>
      <c r="D460" s="639"/>
      <c r="E460" s="639">
        <v>0</v>
      </c>
      <c r="F460" s="703"/>
      <c r="G460" s="639">
        <v>0</v>
      </c>
      <c r="H460" s="639">
        <v>0</v>
      </c>
      <c r="I460" s="639">
        <v>0</v>
      </c>
      <c r="J460" s="639">
        <v>0</v>
      </c>
      <c r="K460" s="639">
        <v>0</v>
      </c>
      <c r="L460" s="639">
        <v>0</v>
      </c>
      <c r="M460" s="639">
        <v>0</v>
      </c>
      <c r="N460" s="639">
        <v>0</v>
      </c>
      <c r="O460" s="639">
        <v>0</v>
      </c>
      <c r="P460" s="639">
        <v>0</v>
      </c>
      <c r="Q460" s="639">
        <v>0</v>
      </c>
      <c r="R460" s="639">
        <v>0</v>
      </c>
      <c r="S460" s="639">
        <v>0</v>
      </c>
      <c r="T460" s="813"/>
      <c r="V460" s="641">
        <f t="shared" si="200"/>
        <v>0</v>
      </c>
      <c r="W460" s="715">
        <f t="shared" si="201"/>
        <v>0</v>
      </c>
      <c r="X460" s="1015"/>
      <c r="Y460" s="675">
        <f t="shared" si="202"/>
        <v>0</v>
      </c>
      <c r="Z460" s="675"/>
      <c r="AA460" s="675">
        <f t="shared" si="203"/>
        <v>0</v>
      </c>
      <c r="AB460" s="675"/>
      <c r="AC460" s="675">
        <f t="shared" si="204"/>
        <v>0</v>
      </c>
      <c r="AD460" s="675"/>
      <c r="AE460" s="675">
        <f t="shared" si="205"/>
        <v>0</v>
      </c>
      <c r="AF460" s="675"/>
      <c r="AL460" s="489"/>
      <c r="AM460" s="489"/>
      <c r="AN460" s="489"/>
      <c r="AO460" s="489"/>
      <c r="AP460" s="489"/>
      <c r="AQ460" s="489"/>
      <c r="AR460" s="489"/>
      <c r="AS460" s="489"/>
    </row>
    <row r="461" spans="1:45" s="484" customFormat="1" ht="14.5" hidden="1">
      <c r="A461" s="695" t="s">
        <v>1282</v>
      </c>
      <c r="B461" s="647"/>
      <c r="C461" s="644"/>
      <c r="D461" s="644"/>
      <c r="E461" s="639">
        <v>0</v>
      </c>
      <c r="F461" s="705"/>
      <c r="G461" s="639">
        <v>0</v>
      </c>
      <c r="H461" s="639">
        <v>0</v>
      </c>
      <c r="I461" s="639">
        <v>0</v>
      </c>
      <c r="J461" s="639">
        <v>0</v>
      </c>
      <c r="K461" s="639">
        <v>0</v>
      </c>
      <c r="L461" s="639">
        <v>0</v>
      </c>
      <c r="M461" s="639">
        <v>0</v>
      </c>
      <c r="N461" s="639">
        <v>0</v>
      </c>
      <c r="O461" s="639">
        <v>0</v>
      </c>
      <c r="P461" s="639">
        <v>0</v>
      </c>
      <c r="Q461" s="639">
        <v>0</v>
      </c>
      <c r="R461" s="639">
        <v>0</v>
      </c>
      <c r="S461" s="639">
        <v>0</v>
      </c>
      <c r="T461" s="813"/>
      <c r="V461" s="641">
        <f t="shared" si="200"/>
        <v>0</v>
      </c>
      <c r="W461" s="715">
        <f t="shared" si="201"/>
        <v>0</v>
      </c>
      <c r="X461" s="1016"/>
      <c r="Y461" s="675">
        <f t="shared" si="202"/>
        <v>0</v>
      </c>
      <c r="Z461" s="670"/>
      <c r="AA461" s="675">
        <f t="shared" si="203"/>
        <v>0</v>
      </c>
      <c r="AB461" s="670"/>
      <c r="AC461" s="675">
        <f t="shared" si="204"/>
        <v>0</v>
      </c>
      <c r="AD461" s="670"/>
      <c r="AE461" s="675">
        <f t="shared" si="205"/>
        <v>0</v>
      </c>
      <c r="AF461" s="670"/>
      <c r="AL461" s="489"/>
      <c r="AM461" s="489"/>
      <c r="AN461" s="489"/>
      <c r="AO461" s="489"/>
      <c r="AP461" s="489"/>
      <c r="AQ461" s="489"/>
      <c r="AR461" s="489"/>
      <c r="AS461" s="489"/>
    </row>
    <row r="462" spans="1:45" s="484" customFormat="1" hidden="1">
      <c r="A462" s="695" t="s">
        <v>1283</v>
      </c>
      <c r="B462" s="638">
        <v>12566671540</v>
      </c>
      <c r="C462" s="639"/>
      <c r="D462" s="639"/>
      <c r="E462" s="639">
        <v>0</v>
      </c>
      <c r="F462" s="703"/>
      <c r="G462" s="639">
        <v>0</v>
      </c>
      <c r="H462" s="639">
        <v>0</v>
      </c>
      <c r="I462" s="639">
        <v>0</v>
      </c>
      <c r="J462" s="639">
        <v>0</v>
      </c>
      <c r="K462" s="639">
        <v>0</v>
      </c>
      <c r="L462" s="639">
        <v>0</v>
      </c>
      <c r="M462" s="639">
        <v>0</v>
      </c>
      <c r="N462" s="639">
        <v>0</v>
      </c>
      <c r="O462" s="639">
        <v>0</v>
      </c>
      <c r="P462" s="639">
        <v>0</v>
      </c>
      <c r="Q462" s="639">
        <v>0</v>
      </c>
      <c r="R462" s="639">
        <v>0</v>
      </c>
      <c r="S462" s="639">
        <v>0</v>
      </c>
      <c r="T462" s="813"/>
      <c r="V462" s="641">
        <f t="shared" si="200"/>
        <v>0</v>
      </c>
      <c r="W462" s="715">
        <f t="shared" si="201"/>
        <v>0</v>
      </c>
      <c r="X462" s="1015"/>
      <c r="Y462" s="675">
        <f t="shared" si="202"/>
        <v>0</v>
      </c>
      <c r="Z462" s="675"/>
      <c r="AA462" s="675">
        <f t="shared" si="203"/>
        <v>0</v>
      </c>
      <c r="AB462" s="675"/>
      <c r="AC462" s="675">
        <f t="shared" si="204"/>
        <v>0</v>
      </c>
      <c r="AD462" s="675"/>
      <c r="AE462" s="675">
        <f t="shared" si="205"/>
        <v>0</v>
      </c>
      <c r="AF462" s="675"/>
      <c r="AL462" s="489"/>
      <c r="AM462" s="489"/>
      <c r="AN462" s="489"/>
      <c r="AO462" s="489"/>
      <c r="AP462" s="489"/>
      <c r="AQ462" s="489"/>
      <c r="AR462" s="489"/>
      <c r="AS462" s="489"/>
    </row>
    <row r="463" spans="1:45" s="484" customFormat="1" ht="14.5" hidden="1">
      <c r="A463" s="695" t="s">
        <v>1284</v>
      </c>
      <c r="B463" s="647"/>
      <c r="C463" s="644"/>
      <c r="D463" s="644"/>
      <c r="E463" s="639">
        <v>0</v>
      </c>
      <c r="F463" s="705"/>
      <c r="G463" s="639">
        <v>0</v>
      </c>
      <c r="H463" s="639">
        <v>0</v>
      </c>
      <c r="I463" s="639">
        <v>0</v>
      </c>
      <c r="J463" s="639">
        <v>0</v>
      </c>
      <c r="K463" s="639">
        <v>0</v>
      </c>
      <c r="L463" s="639">
        <v>0</v>
      </c>
      <c r="M463" s="639">
        <v>0</v>
      </c>
      <c r="N463" s="639">
        <v>0</v>
      </c>
      <c r="O463" s="639">
        <v>0</v>
      </c>
      <c r="P463" s="639">
        <v>0</v>
      </c>
      <c r="Q463" s="639">
        <v>0</v>
      </c>
      <c r="R463" s="639">
        <v>0</v>
      </c>
      <c r="S463" s="639">
        <v>0</v>
      </c>
      <c r="T463" s="813"/>
      <c r="V463" s="641">
        <f t="shared" si="200"/>
        <v>0</v>
      </c>
      <c r="W463" s="715">
        <f t="shared" si="201"/>
        <v>0</v>
      </c>
      <c r="X463" s="1016"/>
      <c r="Y463" s="675">
        <f t="shared" si="202"/>
        <v>0</v>
      </c>
      <c r="Z463" s="670"/>
      <c r="AA463" s="675">
        <f t="shared" si="203"/>
        <v>0</v>
      </c>
      <c r="AB463" s="670"/>
      <c r="AC463" s="675">
        <f t="shared" si="204"/>
        <v>0</v>
      </c>
      <c r="AD463" s="670"/>
      <c r="AE463" s="675">
        <f t="shared" si="205"/>
        <v>0</v>
      </c>
      <c r="AF463" s="670"/>
      <c r="AL463" s="489"/>
      <c r="AM463" s="489"/>
      <c r="AN463" s="489"/>
      <c r="AO463" s="489"/>
      <c r="AP463" s="489"/>
      <c r="AQ463" s="489"/>
      <c r="AR463" s="489"/>
      <c r="AS463" s="489"/>
    </row>
    <row r="464" spans="1:45" s="484" customFormat="1" hidden="1">
      <c r="A464" s="695" t="s">
        <v>1285</v>
      </c>
      <c r="B464" s="638">
        <v>3756181378.5600004</v>
      </c>
      <c r="C464" s="639"/>
      <c r="D464" s="639"/>
      <c r="E464" s="639">
        <v>0</v>
      </c>
      <c r="F464" s="703"/>
      <c r="G464" s="639">
        <v>0</v>
      </c>
      <c r="H464" s="639">
        <v>0</v>
      </c>
      <c r="I464" s="639">
        <v>0</v>
      </c>
      <c r="J464" s="639">
        <v>0</v>
      </c>
      <c r="K464" s="639">
        <v>0</v>
      </c>
      <c r="L464" s="639">
        <v>0</v>
      </c>
      <c r="M464" s="639">
        <v>0</v>
      </c>
      <c r="N464" s="639">
        <v>0</v>
      </c>
      <c r="O464" s="639">
        <v>0</v>
      </c>
      <c r="P464" s="639">
        <v>0</v>
      </c>
      <c r="Q464" s="639">
        <v>0</v>
      </c>
      <c r="R464" s="639">
        <v>0</v>
      </c>
      <c r="S464" s="639">
        <v>0</v>
      </c>
      <c r="T464" s="813"/>
      <c r="V464" s="641">
        <f t="shared" si="200"/>
        <v>0</v>
      </c>
      <c r="W464" s="715">
        <f t="shared" si="201"/>
        <v>0</v>
      </c>
      <c r="X464" s="1015"/>
      <c r="Y464" s="675">
        <f t="shared" si="202"/>
        <v>0</v>
      </c>
      <c r="Z464" s="675"/>
      <c r="AA464" s="675">
        <f t="shared" si="203"/>
        <v>0</v>
      </c>
      <c r="AB464" s="675"/>
      <c r="AC464" s="675">
        <f t="shared" si="204"/>
        <v>0</v>
      </c>
      <c r="AD464" s="675"/>
      <c r="AE464" s="675">
        <f t="shared" si="205"/>
        <v>0</v>
      </c>
      <c r="AF464" s="675"/>
      <c r="AL464" s="489"/>
      <c r="AM464" s="489"/>
      <c r="AN464" s="489"/>
      <c r="AO464" s="489"/>
      <c r="AP464" s="489"/>
      <c r="AQ464" s="489"/>
      <c r="AR464" s="489"/>
      <c r="AS464" s="489"/>
    </row>
    <row r="465" spans="1:45" s="484" customFormat="1" ht="14.5" hidden="1">
      <c r="A465" s="695" t="s">
        <v>1286</v>
      </c>
      <c r="B465" s="647"/>
      <c r="C465" s="644"/>
      <c r="D465" s="644"/>
      <c r="E465" s="639">
        <v>0</v>
      </c>
      <c r="F465" s="705"/>
      <c r="G465" s="639">
        <v>0</v>
      </c>
      <c r="H465" s="639">
        <v>0</v>
      </c>
      <c r="I465" s="639">
        <v>0</v>
      </c>
      <c r="J465" s="639">
        <v>0</v>
      </c>
      <c r="K465" s="639">
        <v>0</v>
      </c>
      <c r="L465" s="639">
        <v>0</v>
      </c>
      <c r="M465" s="639">
        <v>0</v>
      </c>
      <c r="N465" s="639">
        <v>0</v>
      </c>
      <c r="O465" s="639">
        <v>0</v>
      </c>
      <c r="P465" s="639">
        <v>0</v>
      </c>
      <c r="Q465" s="639">
        <v>0</v>
      </c>
      <c r="R465" s="639">
        <v>0</v>
      </c>
      <c r="S465" s="639">
        <v>0</v>
      </c>
      <c r="T465" s="813"/>
      <c r="V465" s="641">
        <f t="shared" si="200"/>
        <v>0</v>
      </c>
      <c r="W465" s="715">
        <f t="shared" si="201"/>
        <v>0</v>
      </c>
      <c r="X465" s="1016"/>
      <c r="Y465" s="675">
        <f t="shared" si="202"/>
        <v>0</v>
      </c>
      <c r="Z465" s="670"/>
      <c r="AA465" s="675">
        <f t="shared" si="203"/>
        <v>0</v>
      </c>
      <c r="AB465" s="670"/>
      <c r="AC465" s="675">
        <f t="shared" si="204"/>
        <v>0</v>
      </c>
      <c r="AD465" s="670"/>
      <c r="AE465" s="675">
        <f t="shared" si="205"/>
        <v>0</v>
      </c>
      <c r="AF465" s="670"/>
      <c r="AL465" s="489"/>
      <c r="AM465" s="489"/>
      <c r="AN465" s="489"/>
      <c r="AO465" s="489"/>
      <c r="AP465" s="489"/>
      <c r="AQ465" s="489"/>
      <c r="AR465" s="489"/>
      <c r="AS465" s="489"/>
    </row>
    <row r="466" spans="1:45" s="484" customFormat="1" hidden="1">
      <c r="A466" s="695" t="s">
        <v>1287</v>
      </c>
      <c r="B466" s="638">
        <v>0</v>
      </c>
      <c r="C466" s="639"/>
      <c r="D466" s="639"/>
      <c r="E466" s="639">
        <v>0</v>
      </c>
      <c r="F466" s="703"/>
      <c r="G466" s="639">
        <v>0</v>
      </c>
      <c r="H466" s="639">
        <v>0</v>
      </c>
      <c r="I466" s="639">
        <v>0</v>
      </c>
      <c r="J466" s="639">
        <v>0</v>
      </c>
      <c r="K466" s="639">
        <v>0</v>
      </c>
      <c r="L466" s="639">
        <v>0</v>
      </c>
      <c r="M466" s="639">
        <v>0</v>
      </c>
      <c r="N466" s="639">
        <v>0</v>
      </c>
      <c r="O466" s="639">
        <v>0</v>
      </c>
      <c r="P466" s="639">
        <v>0</v>
      </c>
      <c r="Q466" s="639">
        <v>0</v>
      </c>
      <c r="R466" s="639">
        <v>0</v>
      </c>
      <c r="S466" s="639">
        <v>0</v>
      </c>
      <c r="T466" s="813"/>
      <c r="V466" s="641">
        <f t="shared" si="200"/>
        <v>0</v>
      </c>
      <c r="W466" s="715">
        <f t="shared" si="201"/>
        <v>0</v>
      </c>
      <c r="X466" s="1015"/>
      <c r="Y466" s="675">
        <f t="shared" si="202"/>
        <v>0</v>
      </c>
      <c r="Z466" s="675"/>
      <c r="AA466" s="675">
        <f t="shared" si="203"/>
        <v>0</v>
      </c>
      <c r="AB466" s="675"/>
      <c r="AC466" s="675">
        <f t="shared" si="204"/>
        <v>0</v>
      </c>
      <c r="AD466" s="675"/>
      <c r="AE466" s="675">
        <f t="shared" si="205"/>
        <v>0</v>
      </c>
      <c r="AF466" s="675"/>
      <c r="AL466" s="489"/>
      <c r="AM466" s="489"/>
      <c r="AN466" s="489"/>
      <c r="AO466" s="489"/>
      <c r="AP466" s="489"/>
      <c r="AQ466" s="489"/>
      <c r="AR466" s="489"/>
      <c r="AS466" s="489"/>
    </row>
    <row r="467" spans="1:45" s="484" customFormat="1" ht="14.5">
      <c r="A467" s="695" t="s">
        <v>1288</v>
      </c>
      <c r="B467" s="647"/>
      <c r="C467" s="644"/>
      <c r="D467" s="644"/>
      <c r="E467" s="639">
        <v>438804075760.72998</v>
      </c>
      <c r="F467" s="705"/>
      <c r="G467" s="639">
        <v>123361444236.78003</v>
      </c>
      <c r="H467" s="639">
        <v>123361444236.78003</v>
      </c>
      <c r="I467" s="639">
        <v>123361444236.78003</v>
      </c>
      <c r="J467" s="639">
        <v>123361444236.78003</v>
      </c>
      <c r="K467" s="639">
        <v>123361444236.78003</v>
      </c>
      <c r="L467" s="639">
        <v>123361444236.78003</v>
      </c>
      <c r="M467" s="639">
        <v>123361444236.78003</v>
      </c>
      <c r="N467" s="639">
        <v>123361444236.78003</v>
      </c>
      <c r="O467" s="639">
        <v>123361444236.78003</v>
      </c>
      <c r="P467" s="639">
        <v>123361444236.78003</v>
      </c>
      <c r="Q467" s="639">
        <v>123361444236.78003</v>
      </c>
      <c r="R467" s="639">
        <v>123361444236.78003</v>
      </c>
      <c r="S467" s="639">
        <v>123361444236.78003</v>
      </c>
      <c r="T467" s="813"/>
      <c r="V467" s="641">
        <f t="shared" si="200"/>
        <v>123361444236.78003</v>
      </c>
      <c r="W467" s="715">
        <f t="shared" si="201"/>
        <v>1.9820417392628679E-2</v>
      </c>
      <c r="X467" s="1016"/>
      <c r="Y467" s="675">
        <f t="shared" si="202"/>
        <v>148033733084.13602</v>
      </c>
      <c r="Z467" s="670"/>
      <c r="AA467" s="675">
        <f t="shared" si="203"/>
        <v>207247226317.79041</v>
      </c>
      <c r="AB467" s="670"/>
      <c r="AC467" s="675">
        <f t="shared" si="204"/>
        <v>310870839476.68561</v>
      </c>
      <c r="AD467" s="670"/>
      <c r="AE467" s="675">
        <f t="shared" si="205"/>
        <v>388588549345.85699</v>
      </c>
      <c r="AF467" s="670"/>
      <c r="AL467" s="489"/>
      <c r="AM467" s="489"/>
      <c r="AN467" s="489"/>
      <c r="AO467" s="489"/>
      <c r="AP467" s="489"/>
      <c r="AQ467" s="489"/>
      <c r="AR467" s="489"/>
      <c r="AS467" s="489"/>
    </row>
    <row r="468" spans="1:45" s="484" customFormat="1">
      <c r="A468" s="695" t="s">
        <v>1289</v>
      </c>
      <c r="B468" s="647">
        <v>111809990517</v>
      </c>
      <c r="C468" s="648"/>
      <c r="D468" s="648"/>
      <c r="E468" s="639">
        <v>0</v>
      </c>
      <c r="F468" s="706"/>
      <c r="G468" s="639">
        <v>0</v>
      </c>
      <c r="H468" s="639">
        <v>0</v>
      </c>
      <c r="I468" s="639">
        <v>0</v>
      </c>
      <c r="J468" s="639">
        <v>0</v>
      </c>
      <c r="K468" s="639">
        <v>0</v>
      </c>
      <c r="L468" s="639">
        <v>0</v>
      </c>
      <c r="M468" s="639">
        <v>0</v>
      </c>
      <c r="N468" s="639">
        <v>0</v>
      </c>
      <c r="O468" s="639">
        <v>0</v>
      </c>
      <c r="P468" s="639">
        <v>0</v>
      </c>
      <c r="Q468" s="639">
        <v>0</v>
      </c>
      <c r="R468" s="639">
        <v>0</v>
      </c>
      <c r="S468" s="639">
        <v>0</v>
      </c>
      <c r="T468" s="813"/>
      <c r="V468" s="641">
        <f t="shared" si="200"/>
        <v>0</v>
      </c>
      <c r="W468" s="715">
        <f t="shared" si="201"/>
        <v>0</v>
      </c>
      <c r="X468" s="1015"/>
      <c r="Y468" s="675">
        <f t="shared" si="202"/>
        <v>0</v>
      </c>
      <c r="Z468" s="675"/>
      <c r="AA468" s="675">
        <f t="shared" si="203"/>
        <v>0</v>
      </c>
      <c r="AB468" s="675"/>
      <c r="AC468" s="675">
        <f t="shared" si="204"/>
        <v>0</v>
      </c>
      <c r="AD468" s="675"/>
      <c r="AE468" s="675">
        <f t="shared" si="205"/>
        <v>0</v>
      </c>
      <c r="AF468" s="675"/>
      <c r="AL468" s="489"/>
      <c r="AM468" s="489"/>
      <c r="AN468" s="489"/>
      <c r="AO468" s="489"/>
      <c r="AP468" s="489"/>
      <c r="AQ468" s="489"/>
      <c r="AR468" s="489"/>
      <c r="AS468" s="489"/>
    </row>
    <row r="469" spans="1:45" s="484" customFormat="1" ht="14.5">
      <c r="A469" s="695" t="s">
        <v>1290</v>
      </c>
      <c r="B469" s="647"/>
      <c r="C469" s="644"/>
      <c r="D469" s="644"/>
      <c r="E469" s="639">
        <v>77470809215.529999</v>
      </c>
      <c r="F469" s="705"/>
      <c r="G469" s="639">
        <v>131668963116.98</v>
      </c>
      <c r="H469" s="639">
        <v>131668963116.98</v>
      </c>
      <c r="I469" s="639">
        <v>131668963116.98</v>
      </c>
      <c r="J469" s="639">
        <v>131668963116.98</v>
      </c>
      <c r="K469" s="639">
        <v>131668963116.98</v>
      </c>
      <c r="L469" s="639">
        <v>131668963116.98</v>
      </c>
      <c r="M469" s="639">
        <v>131668963116.98</v>
      </c>
      <c r="N469" s="639">
        <v>131668963116.98</v>
      </c>
      <c r="O469" s="639">
        <v>131668963116.98</v>
      </c>
      <c r="P469" s="639">
        <v>131668963116.98</v>
      </c>
      <c r="Q469" s="639">
        <v>131668963116.98</v>
      </c>
      <c r="R469" s="639">
        <v>131668963116.98</v>
      </c>
      <c r="S469" s="639">
        <v>131668963116.98</v>
      </c>
      <c r="T469" s="813"/>
      <c r="V469" s="641">
        <f t="shared" si="200"/>
        <v>131668963116.98</v>
      </c>
      <c r="W469" s="715">
        <f t="shared" si="201"/>
        <v>2.1155182016384715E-2</v>
      </c>
      <c r="X469" s="1016"/>
      <c r="Y469" s="675">
        <f t="shared" si="202"/>
        <v>158002755740.37598</v>
      </c>
      <c r="AA469" s="675">
        <f t="shared" si="203"/>
        <v>221203858036.52637</v>
      </c>
      <c r="AC469" s="675">
        <f t="shared" si="204"/>
        <v>331805787054.78955</v>
      </c>
      <c r="AE469" s="675">
        <f t="shared" si="205"/>
        <v>414757233818.48694</v>
      </c>
      <c r="AF469" s="528"/>
      <c r="AL469" s="489"/>
      <c r="AM469" s="489"/>
      <c r="AN469" s="489"/>
      <c r="AO469" s="489"/>
      <c r="AP469" s="489"/>
      <c r="AQ469" s="489"/>
      <c r="AR469" s="489"/>
      <c r="AS469" s="489"/>
    </row>
    <row r="470" spans="1:45" s="484" customFormat="1" ht="14.5" hidden="1">
      <c r="A470" s="695" t="s">
        <v>1291</v>
      </c>
      <c r="B470" s="647"/>
      <c r="C470" s="644"/>
      <c r="D470" s="644"/>
      <c r="E470" s="639">
        <v>0</v>
      </c>
      <c r="F470" s="705"/>
      <c r="G470" s="639">
        <v>0</v>
      </c>
      <c r="H470" s="639">
        <v>0</v>
      </c>
      <c r="I470" s="639">
        <v>0</v>
      </c>
      <c r="J470" s="639">
        <v>0</v>
      </c>
      <c r="K470" s="639">
        <v>0</v>
      </c>
      <c r="L470" s="639">
        <v>0</v>
      </c>
      <c r="M470" s="639">
        <v>0</v>
      </c>
      <c r="N470" s="639">
        <v>0</v>
      </c>
      <c r="O470" s="639">
        <v>0</v>
      </c>
      <c r="P470" s="639">
        <v>0</v>
      </c>
      <c r="Q470" s="639">
        <v>0</v>
      </c>
      <c r="R470" s="639">
        <v>0</v>
      </c>
      <c r="S470" s="639">
        <v>0</v>
      </c>
      <c r="T470" s="813"/>
      <c r="V470" s="641">
        <f t="shared" si="200"/>
        <v>0</v>
      </c>
      <c r="W470" s="715">
        <f t="shared" si="201"/>
        <v>0</v>
      </c>
      <c r="X470" s="1016"/>
      <c r="Y470" s="675">
        <f t="shared" si="202"/>
        <v>0</v>
      </c>
      <c r="Z470" s="675"/>
      <c r="AA470" s="675">
        <f t="shared" si="203"/>
        <v>0</v>
      </c>
      <c r="AB470" s="675"/>
      <c r="AC470" s="675">
        <f t="shared" si="204"/>
        <v>0</v>
      </c>
      <c r="AD470" s="675"/>
      <c r="AE470" s="675">
        <f t="shared" si="205"/>
        <v>0</v>
      </c>
      <c r="AL470" s="489"/>
      <c r="AM470" s="489"/>
      <c r="AN470" s="489"/>
      <c r="AO470" s="489"/>
      <c r="AP470" s="489"/>
      <c r="AQ470" s="489"/>
      <c r="AR470" s="489"/>
      <c r="AS470" s="489"/>
    </row>
    <row r="471" spans="1:45" s="484" customFormat="1" ht="14.5" hidden="1">
      <c r="A471" s="695" t="s">
        <v>1292</v>
      </c>
      <c r="B471" s="647"/>
      <c r="C471" s="644"/>
      <c r="D471" s="644"/>
      <c r="E471" s="639">
        <v>0</v>
      </c>
      <c r="F471" s="705"/>
      <c r="G471" s="639">
        <v>0</v>
      </c>
      <c r="H471" s="639">
        <v>0</v>
      </c>
      <c r="I471" s="639">
        <v>0</v>
      </c>
      <c r="J471" s="639">
        <v>0</v>
      </c>
      <c r="K471" s="639">
        <v>0</v>
      </c>
      <c r="L471" s="639">
        <v>0</v>
      </c>
      <c r="M471" s="639">
        <v>0</v>
      </c>
      <c r="N471" s="639">
        <v>0</v>
      </c>
      <c r="O471" s="639">
        <v>0</v>
      </c>
      <c r="P471" s="639">
        <v>0</v>
      </c>
      <c r="Q471" s="639">
        <v>0</v>
      </c>
      <c r="R471" s="639">
        <v>0</v>
      </c>
      <c r="S471" s="639">
        <v>0</v>
      </c>
      <c r="T471" s="813"/>
      <c r="V471" s="641">
        <f t="shared" si="200"/>
        <v>0</v>
      </c>
      <c r="W471" s="715">
        <f t="shared" si="201"/>
        <v>0</v>
      </c>
      <c r="X471" s="1016"/>
      <c r="Y471" s="675">
        <f t="shared" si="202"/>
        <v>0</v>
      </c>
      <c r="AA471" s="675">
        <f t="shared" si="203"/>
        <v>0</v>
      </c>
      <c r="AC471" s="675">
        <f t="shared" si="204"/>
        <v>0</v>
      </c>
      <c r="AE471" s="675">
        <f t="shared" si="205"/>
        <v>0</v>
      </c>
      <c r="AL471" s="489"/>
      <c r="AM471" s="489"/>
      <c r="AN471" s="489"/>
      <c r="AO471" s="489"/>
      <c r="AP471" s="489"/>
      <c r="AQ471" s="489"/>
      <c r="AR471" s="489"/>
      <c r="AS471" s="489"/>
    </row>
    <row r="472" spans="1:45" s="484" customFormat="1" ht="14.5" hidden="1">
      <c r="A472" s="695" t="s">
        <v>1293</v>
      </c>
      <c r="B472" s="647"/>
      <c r="C472" s="644"/>
      <c r="D472" s="644"/>
      <c r="E472" s="639">
        <v>0</v>
      </c>
      <c r="F472" s="705"/>
      <c r="G472" s="639">
        <v>0</v>
      </c>
      <c r="H472" s="639">
        <v>0</v>
      </c>
      <c r="I472" s="639">
        <v>0</v>
      </c>
      <c r="J472" s="639">
        <v>0</v>
      </c>
      <c r="K472" s="639">
        <v>0</v>
      </c>
      <c r="L472" s="639">
        <v>0</v>
      </c>
      <c r="M472" s="639">
        <v>0</v>
      </c>
      <c r="N472" s="639">
        <v>0</v>
      </c>
      <c r="O472" s="639">
        <v>0</v>
      </c>
      <c r="P472" s="639">
        <v>0</v>
      </c>
      <c r="Q472" s="639">
        <v>0</v>
      </c>
      <c r="R472" s="639">
        <v>0</v>
      </c>
      <c r="S472" s="639">
        <v>0</v>
      </c>
      <c r="T472" s="813"/>
      <c r="V472" s="641">
        <f t="shared" si="200"/>
        <v>0</v>
      </c>
      <c r="W472" s="715">
        <f t="shared" si="201"/>
        <v>0</v>
      </c>
      <c r="X472" s="1016"/>
      <c r="Y472" s="675"/>
      <c r="AA472" s="675"/>
      <c r="AC472" s="675"/>
      <c r="AE472" s="675"/>
      <c r="AL472" s="489"/>
      <c r="AM472" s="489"/>
      <c r="AN472" s="489"/>
      <c r="AO472" s="489"/>
      <c r="AP472" s="489"/>
      <c r="AQ472" s="489"/>
      <c r="AR472" s="489"/>
      <c r="AS472" s="489"/>
    </row>
    <row r="473" spans="1:45" s="484" customFormat="1" ht="14.5" hidden="1">
      <c r="A473" s="695" t="s">
        <v>1294</v>
      </c>
      <c r="B473" s="647"/>
      <c r="C473" s="644"/>
      <c r="D473" s="644"/>
      <c r="E473" s="639">
        <v>0</v>
      </c>
      <c r="F473" s="705"/>
      <c r="G473" s="639">
        <v>0</v>
      </c>
      <c r="H473" s="639">
        <v>0</v>
      </c>
      <c r="I473" s="639">
        <v>0</v>
      </c>
      <c r="J473" s="639">
        <v>0</v>
      </c>
      <c r="K473" s="639">
        <v>0</v>
      </c>
      <c r="L473" s="639">
        <v>0</v>
      </c>
      <c r="M473" s="639">
        <v>0</v>
      </c>
      <c r="N473" s="639">
        <v>0</v>
      </c>
      <c r="O473" s="639">
        <v>0</v>
      </c>
      <c r="P473" s="639">
        <v>0</v>
      </c>
      <c r="Q473" s="639">
        <v>0</v>
      </c>
      <c r="R473" s="639">
        <v>0</v>
      </c>
      <c r="S473" s="639">
        <v>0</v>
      </c>
      <c r="T473" s="813"/>
      <c r="V473" s="641">
        <f t="shared" si="200"/>
        <v>0</v>
      </c>
      <c r="W473" s="715">
        <f t="shared" si="201"/>
        <v>0</v>
      </c>
      <c r="X473" s="1016"/>
      <c r="Y473" s="675"/>
      <c r="AA473" s="675"/>
      <c r="AC473" s="675"/>
      <c r="AE473" s="675"/>
      <c r="AL473" s="489"/>
      <c r="AM473" s="489"/>
      <c r="AN473" s="489"/>
      <c r="AO473" s="489"/>
      <c r="AP473" s="489"/>
      <c r="AQ473" s="489"/>
      <c r="AR473" s="489"/>
      <c r="AS473" s="489"/>
    </row>
    <row r="474" spans="1:45" s="484" customFormat="1" ht="14.5" hidden="1">
      <c r="A474" s="695" t="s">
        <v>1295</v>
      </c>
      <c r="B474" s="647"/>
      <c r="C474" s="644"/>
      <c r="D474" s="644"/>
      <c r="E474" s="639">
        <v>0</v>
      </c>
      <c r="F474" s="705"/>
      <c r="G474" s="639">
        <v>0</v>
      </c>
      <c r="H474" s="639">
        <v>0</v>
      </c>
      <c r="I474" s="639">
        <v>0</v>
      </c>
      <c r="J474" s="639">
        <v>0</v>
      </c>
      <c r="K474" s="639">
        <v>0</v>
      </c>
      <c r="L474" s="639">
        <v>0</v>
      </c>
      <c r="M474" s="639">
        <v>0</v>
      </c>
      <c r="N474" s="639">
        <v>0</v>
      </c>
      <c r="O474" s="639">
        <v>0</v>
      </c>
      <c r="P474" s="639">
        <v>0</v>
      </c>
      <c r="Q474" s="639">
        <v>0</v>
      </c>
      <c r="R474" s="639">
        <v>0</v>
      </c>
      <c r="S474" s="639">
        <v>0</v>
      </c>
      <c r="T474" s="813"/>
      <c r="V474" s="641">
        <f t="shared" si="200"/>
        <v>0</v>
      </c>
      <c r="W474" s="715">
        <f t="shared" si="201"/>
        <v>0</v>
      </c>
      <c r="X474" s="1016"/>
      <c r="Y474" s="675"/>
      <c r="AA474" s="675"/>
      <c r="AC474" s="675"/>
      <c r="AE474" s="675"/>
      <c r="AL474" s="489"/>
      <c r="AM474" s="489"/>
      <c r="AN474" s="489"/>
      <c r="AO474" s="489"/>
      <c r="AP474" s="489"/>
      <c r="AQ474" s="489"/>
      <c r="AR474" s="489"/>
      <c r="AS474" s="489"/>
    </row>
    <row r="475" spans="1:45" s="484" customFormat="1" ht="14.5" hidden="1">
      <c r="A475" s="695" t="s">
        <v>1296</v>
      </c>
      <c r="B475" s="647"/>
      <c r="C475" s="644"/>
      <c r="D475" s="644"/>
      <c r="E475" s="639">
        <v>0</v>
      </c>
      <c r="F475" s="705"/>
      <c r="G475" s="639">
        <v>0</v>
      </c>
      <c r="H475" s="639">
        <v>0</v>
      </c>
      <c r="I475" s="639">
        <v>0</v>
      </c>
      <c r="J475" s="639">
        <v>0</v>
      </c>
      <c r="K475" s="639">
        <v>0</v>
      </c>
      <c r="L475" s="639">
        <v>0</v>
      </c>
      <c r="M475" s="639">
        <v>0</v>
      </c>
      <c r="N475" s="639">
        <v>0</v>
      </c>
      <c r="O475" s="639">
        <v>0</v>
      </c>
      <c r="P475" s="639">
        <v>0</v>
      </c>
      <c r="Q475" s="639">
        <v>0</v>
      </c>
      <c r="R475" s="639">
        <v>0</v>
      </c>
      <c r="S475" s="639">
        <v>0</v>
      </c>
      <c r="T475" s="813"/>
      <c r="V475" s="641">
        <f t="shared" si="200"/>
        <v>0</v>
      </c>
      <c r="W475" s="715">
        <f t="shared" si="201"/>
        <v>0</v>
      </c>
      <c r="X475" s="1016"/>
      <c r="Y475" s="675"/>
      <c r="AA475" s="675"/>
      <c r="AC475" s="675"/>
      <c r="AE475" s="675"/>
      <c r="AL475" s="489"/>
      <c r="AM475" s="489"/>
      <c r="AN475" s="489"/>
      <c r="AO475" s="489"/>
      <c r="AP475" s="489"/>
      <c r="AQ475" s="489"/>
      <c r="AR475" s="489"/>
      <c r="AS475" s="489"/>
    </row>
    <row r="476" spans="1:45" s="484" customFormat="1" ht="14.5" hidden="1">
      <c r="A476" s="695" t="s">
        <v>1297</v>
      </c>
      <c r="B476" s="647"/>
      <c r="C476" s="644"/>
      <c r="D476" s="644"/>
      <c r="E476" s="639">
        <v>0</v>
      </c>
      <c r="F476" s="705"/>
      <c r="G476" s="639">
        <v>0</v>
      </c>
      <c r="H476" s="639">
        <v>0</v>
      </c>
      <c r="I476" s="639">
        <v>0</v>
      </c>
      <c r="J476" s="639">
        <v>0</v>
      </c>
      <c r="K476" s="639">
        <v>0</v>
      </c>
      <c r="L476" s="639">
        <v>0</v>
      </c>
      <c r="M476" s="639">
        <v>0</v>
      </c>
      <c r="N476" s="639">
        <v>0</v>
      </c>
      <c r="O476" s="639">
        <v>0</v>
      </c>
      <c r="P476" s="639">
        <v>0</v>
      </c>
      <c r="Q476" s="639">
        <v>0</v>
      </c>
      <c r="R476" s="639">
        <v>0</v>
      </c>
      <c r="S476" s="639">
        <v>0</v>
      </c>
      <c r="T476" s="813"/>
      <c r="V476" s="641">
        <f t="shared" si="200"/>
        <v>0</v>
      </c>
      <c r="W476" s="715">
        <f t="shared" si="201"/>
        <v>0</v>
      </c>
      <c r="X476" s="1016"/>
      <c r="Y476" s="675"/>
      <c r="AA476" s="675"/>
      <c r="AC476" s="675"/>
      <c r="AE476" s="675"/>
      <c r="AL476" s="489"/>
      <c r="AM476" s="489"/>
      <c r="AN476" s="489"/>
      <c r="AO476" s="489"/>
      <c r="AP476" s="489"/>
      <c r="AQ476" s="489"/>
      <c r="AR476" s="489"/>
      <c r="AS476" s="489"/>
    </row>
    <row r="477" spans="1:45" s="484" customFormat="1" ht="14.5" hidden="1">
      <c r="A477" s="695" t="s">
        <v>1298</v>
      </c>
      <c r="B477" s="647"/>
      <c r="C477" s="644"/>
      <c r="D477" s="644"/>
      <c r="E477" s="639">
        <v>0</v>
      </c>
      <c r="F477" s="705"/>
      <c r="G477" s="639">
        <v>0</v>
      </c>
      <c r="H477" s="639">
        <v>0</v>
      </c>
      <c r="I477" s="639">
        <v>0</v>
      </c>
      <c r="J477" s="639">
        <v>0</v>
      </c>
      <c r="K477" s="639">
        <v>0</v>
      </c>
      <c r="L477" s="639">
        <v>0</v>
      </c>
      <c r="M477" s="639">
        <v>0</v>
      </c>
      <c r="N477" s="639">
        <v>0</v>
      </c>
      <c r="O477" s="639">
        <v>0</v>
      </c>
      <c r="P477" s="639">
        <v>0</v>
      </c>
      <c r="Q477" s="639">
        <v>0</v>
      </c>
      <c r="R477" s="639">
        <v>0</v>
      </c>
      <c r="S477" s="639">
        <v>0</v>
      </c>
      <c r="T477" s="813"/>
      <c r="V477" s="641">
        <f t="shared" si="200"/>
        <v>0</v>
      </c>
      <c r="W477" s="715">
        <f t="shared" si="201"/>
        <v>0</v>
      </c>
      <c r="X477" s="1016"/>
      <c r="Y477" s="675"/>
      <c r="AA477" s="675"/>
      <c r="AC477" s="675"/>
      <c r="AE477" s="675"/>
      <c r="AL477" s="489"/>
      <c r="AM477" s="489"/>
      <c r="AN477" s="489"/>
      <c r="AO477" s="489"/>
      <c r="AP477" s="489"/>
      <c r="AQ477" s="489"/>
      <c r="AR477" s="489"/>
      <c r="AS477" s="489"/>
    </row>
    <row r="478" spans="1:45" s="484" customFormat="1" ht="14.5" hidden="1">
      <c r="A478" s="695" t="s">
        <v>1299</v>
      </c>
      <c r="B478" s="647"/>
      <c r="C478" s="644"/>
      <c r="D478" s="644"/>
      <c r="E478" s="639">
        <v>0</v>
      </c>
      <c r="F478" s="705"/>
      <c r="G478" s="639">
        <v>0</v>
      </c>
      <c r="H478" s="639">
        <v>0</v>
      </c>
      <c r="I478" s="639">
        <v>0</v>
      </c>
      <c r="J478" s="639">
        <v>0</v>
      </c>
      <c r="K478" s="639">
        <v>0</v>
      </c>
      <c r="L478" s="639">
        <v>0</v>
      </c>
      <c r="M478" s="639">
        <v>0</v>
      </c>
      <c r="N478" s="639">
        <v>0</v>
      </c>
      <c r="O478" s="639">
        <v>0</v>
      </c>
      <c r="P478" s="639">
        <v>0</v>
      </c>
      <c r="Q478" s="639">
        <v>0</v>
      </c>
      <c r="R478" s="639">
        <v>0</v>
      </c>
      <c r="S478" s="639">
        <v>0</v>
      </c>
      <c r="T478" s="813"/>
      <c r="V478" s="641">
        <f t="shared" si="200"/>
        <v>0</v>
      </c>
      <c r="W478" s="715">
        <f t="shared" si="201"/>
        <v>0</v>
      </c>
      <c r="X478" s="1016"/>
      <c r="Y478" s="675"/>
      <c r="AA478" s="675"/>
      <c r="AC478" s="675"/>
      <c r="AE478" s="675"/>
      <c r="AL478" s="489"/>
      <c r="AM478" s="489"/>
      <c r="AN478" s="489"/>
      <c r="AO478" s="489"/>
      <c r="AP478" s="489"/>
      <c r="AQ478" s="489"/>
      <c r="AR478" s="489"/>
      <c r="AS478" s="489"/>
    </row>
    <row r="479" spans="1:45" s="484" customFormat="1" ht="14.5" hidden="1">
      <c r="A479" s="695" t="s">
        <v>1300</v>
      </c>
      <c r="B479" s="647"/>
      <c r="C479" s="644"/>
      <c r="D479" s="644"/>
      <c r="E479" s="639">
        <v>0</v>
      </c>
      <c r="F479" s="705"/>
      <c r="G479" s="639">
        <v>0</v>
      </c>
      <c r="H479" s="639">
        <v>0</v>
      </c>
      <c r="I479" s="639">
        <v>0</v>
      </c>
      <c r="J479" s="639">
        <v>0</v>
      </c>
      <c r="K479" s="639">
        <v>0</v>
      </c>
      <c r="L479" s="639">
        <v>0</v>
      </c>
      <c r="M479" s="639">
        <v>0</v>
      </c>
      <c r="N479" s="639">
        <v>0</v>
      </c>
      <c r="O479" s="639">
        <v>0</v>
      </c>
      <c r="P479" s="639">
        <v>0</v>
      </c>
      <c r="Q479" s="639">
        <v>0</v>
      </c>
      <c r="R479" s="639">
        <v>0</v>
      </c>
      <c r="S479" s="639">
        <v>0</v>
      </c>
      <c r="T479" s="813"/>
      <c r="V479" s="641">
        <f t="shared" si="200"/>
        <v>0</v>
      </c>
      <c r="W479" s="715">
        <f t="shared" si="201"/>
        <v>0</v>
      </c>
      <c r="X479" s="1016"/>
      <c r="Y479" s="675"/>
      <c r="AA479" s="675"/>
      <c r="AC479" s="675"/>
      <c r="AE479" s="675"/>
      <c r="AL479" s="489"/>
      <c r="AM479" s="489"/>
      <c r="AN479" s="489"/>
      <c r="AO479" s="489"/>
      <c r="AP479" s="489"/>
      <c r="AQ479" s="489"/>
      <c r="AR479" s="489"/>
      <c r="AS479" s="489"/>
    </row>
    <row r="480" spans="1:45" s="484" customFormat="1" ht="14.5">
      <c r="A480" s="695" t="s">
        <v>1301</v>
      </c>
      <c r="B480" s="647"/>
      <c r="C480" s="644"/>
      <c r="D480" s="644"/>
      <c r="E480" s="639">
        <v>0</v>
      </c>
      <c r="F480" s="705"/>
      <c r="G480" s="639">
        <v>0</v>
      </c>
      <c r="H480" s="639">
        <v>0</v>
      </c>
      <c r="I480" s="639">
        <v>0</v>
      </c>
      <c r="J480" s="639">
        <v>0</v>
      </c>
      <c r="K480" s="639">
        <v>0</v>
      </c>
      <c r="L480" s="639">
        <v>0</v>
      </c>
      <c r="M480" s="639">
        <v>0</v>
      </c>
      <c r="N480" s="639">
        <v>0</v>
      </c>
      <c r="O480" s="639">
        <v>0</v>
      </c>
      <c r="P480" s="639">
        <v>0</v>
      </c>
      <c r="Q480" s="639">
        <v>0</v>
      </c>
      <c r="R480" s="639">
        <v>0</v>
      </c>
      <c r="S480" s="639">
        <v>0</v>
      </c>
      <c r="T480" s="813"/>
      <c r="V480" s="641">
        <f t="shared" si="200"/>
        <v>0</v>
      </c>
      <c r="W480" s="715">
        <f t="shared" si="201"/>
        <v>0</v>
      </c>
      <c r="X480" s="1016"/>
      <c r="Y480" s="675"/>
      <c r="AA480" s="675"/>
      <c r="AC480" s="675"/>
      <c r="AE480" s="675"/>
      <c r="AL480" s="489"/>
      <c r="AM480" s="489"/>
      <c r="AN480" s="489"/>
      <c r="AO480" s="489"/>
      <c r="AP480" s="489"/>
      <c r="AQ480" s="489"/>
      <c r="AR480" s="489"/>
      <c r="AS480" s="489"/>
    </row>
    <row r="481" spans="1:45" s="484" customFormat="1" ht="14.5">
      <c r="A481" s="695" t="s">
        <v>1302</v>
      </c>
      <c r="B481" s="647"/>
      <c r="C481" s="644"/>
      <c r="D481" s="644"/>
      <c r="E481" s="639">
        <v>143447023268.64001</v>
      </c>
      <c r="F481" s="705"/>
      <c r="G481" s="639">
        <v>142932372660.10999</v>
      </c>
      <c r="H481" s="639">
        <v>142932372660.10999</v>
      </c>
      <c r="I481" s="639">
        <v>142932372660.10999</v>
      </c>
      <c r="J481" s="639">
        <v>142932372660.10999</v>
      </c>
      <c r="K481" s="639">
        <v>142932372660.10999</v>
      </c>
      <c r="L481" s="639">
        <v>142932372660.10999</v>
      </c>
      <c r="M481" s="639">
        <v>142932372660.10999</v>
      </c>
      <c r="N481" s="639">
        <v>142932372660.10999</v>
      </c>
      <c r="O481" s="639">
        <v>142932372660.10999</v>
      </c>
      <c r="P481" s="639">
        <v>142932372660.10999</v>
      </c>
      <c r="Q481" s="639">
        <v>142932372660.10999</v>
      </c>
      <c r="R481" s="639">
        <v>142932372660.10999</v>
      </c>
      <c r="S481" s="639">
        <v>142932372660.10999</v>
      </c>
      <c r="T481" s="813"/>
      <c r="V481" s="641">
        <f t="shared" si="200"/>
        <v>142932372660.10999</v>
      </c>
      <c r="W481" s="715">
        <f t="shared" si="201"/>
        <v>2.2964868015038036E-2</v>
      </c>
      <c r="X481" s="1016"/>
      <c r="Y481" s="675"/>
      <c r="AA481" s="675"/>
      <c r="AC481" s="675"/>
      <c r="AE481" s="675"/>
      <c r="AL481" s="489"/>
      <c r="AM481" s="489"/>
      <c r="AN481" s="489"/>
      <c r="AO481" s="489"/>
      <c r="AP481" s="489"/>
      <c r="AQ481" s="489"/>
      <c r="AR481" s="489"/>
      <c r="AS481" s="489"/>
    </row>
    <row r="482" spans="1:45" s="484" customFormat="1" ht="14.5">
      <c r="A482" s="695" t="s">
        <v>1303</v>
      </c>
      <c r="B482" s="647"/>
      <c r="C482" s="644"/>
      <c r="D482" s="644"/>
      <c r="E482" s="639">
        <v>241401675000</v>
      </c>
      <c r="F482" s="705"/>
      <c r="G482" s="639">
        <v>239276015000</v>
      </c>
      <c r="H482" s="639">
        <v>239276015000</v>
      </c>
      <c r="I482" s="639">
        <v>239276015000</v>
      </c>
      <c r="J482" s="639">
        <v>239276015000</v>
      </c>
      <c r="K482" s="639">
        <v>239276015000</v>
      </c>
      <c r="L482" s="639">
        <v>239276015000</v>
      </c>
      <c r="M482" s="639">
        <v>239276015000</v>
      </c>
      <c r="N482" s="639">
        <v>239276015000</v>
      </c>
      <c r="O482" s="639">
        <v>239276015000</v>
      </c>
      <c r="P482" s="639">
        <v>239276015000</v>
      </c>
      <c r="Q482" s="639">
        <v>239276015000</v>
      </c>
      <c r="R482" s="639">
        <v>239276015000</v>
      </c>
      <c r="S482" s="639">
        <v>239276015000</v>
      </c>
      <c r="T482" s="813"/>
      <c r="V482" s="641">
        <f t="shared" si="200"/>
        <v>239276015000</v>
      </c>
      <c r="W482" s="715">
        <f t="shared" si="201"/>
        <v>3.844434959955581E-2</v>
      </c>
      <c r="X482" s="1016"/>
      <c r="Y482" s="675"/>
      <c r="AA482" s="675"/>
      <c r="AC482" s="675"/>
      <c r="AE482" s="675"/>
      <c r="AL482" s="489"/>
      <c r="AM482" s="489"/>
      <c r="AN482" s="489"/>
      <c r="AO482" s="489"/>
      <c r="AP482" s="489"/>
      <c r="AQ482" s="489"/>
      <c r="AR482" s="489"/>
      <c r="AS482" s="489"/>
    </row>
    <row r="483" spans="1:45" s="484" customFormat="1" ht="14.5">
      <c r="A483" s="695" t="s">
        <v>1304</v>
      </c>
      <c r="B483" s="647"/>
      <c r="C483" s="644"/>
      <c r="D483" s="644"/>
      <c r="E483" s="639">
        <v>118750374660</v>
      </c>
      <c r="F483" s="705"/>
      <c r="G483" s="639">
        <v>118822512120</v>
      </c>
      <c r="H483" s="639">
        <v>118822512120</v>
      </c>
      <c r="I483" s="639">
        <v>118822512120</v>
      </c>
      <c r="J483" s="639">
        <v>118822512120</v>
      </c>
      <c r="K483" s="639">
        <v>118822512120</v>
      </c>
      <c r="L483" s="639">
        <v>118822512120</v>
      </c>
      <c r="M483" s="639">
        <v>118822512120</v>
      </c>
      <c r="N483" s="639">
        <v>118822512120</v>
      </c>
      <c r="O483" s="639">
        <v>118822512120</v>
      </c>
      <c r="P483" s="639">
        <v>118822512120</v>
      </c>
      <c r="Q483" s="639">
        <v>118822512120</v>
      </c>
      <c r="R483" s="639">
        <v>118822512120</v>
      </c>
      <c r="S483" s="639">
        <v>118822512120</v>
      </c>
      <c r="T483" s="813"/>
      <c r="V483" s="641">
        <f t="shared" si="200"/>
        <v>118822512120</v>
      </c>
      <c r="W483" s="715">
        <f t="shared" si="201"/>
        <v>1.9091149592401636E-2</v>
      </c>
      <c r="X483" s="1016"/>
      <c r="Y483" s="675"/>
      <c r="AA483" s="675"/>
      <c r="AC483" s="675"/>
      <c r="AE483" s="675"/>
      <c r="AL483" s="489"/>
      <c r="AM483" s="489"/>
      <c r="AN483" s="489"/>
      <c r="AO483" s="489"/>
      <c r="AP483" s="489"/>
      <c r="AQ483" s="489"/>
      <c r="AR483" s="489"/>
      <c r="AS483" s="489"/>
    </row>
    <row r="484" spans="1:45" s="484" customFormat="1" ht="14.5">
      <c r="A484" s="695" t="s">
        <v>1305</v>
      </c>
      <c r="B484" s="647"/>
      <c r="C484" s="644"/>
      <c r="D484" s="644"/>
      <c r="E484" s="639">
        <v>0</v>
      </c>
      <c r="F484" s="705"/>
      <c r="G484" s="639">
        <v>0</v>
      </c>
      <c r="H484" s="639">
        <v>0</v>
      </c>
      <c r="I484" s="639">
        <v>0</v>
      </c>
      <c r="J484" s="639">
        <v>0</v>
      </c>
      <c r="K484" s="639">
        <v>0</v>
      </c>
      <c r="L484" s="639">
        <v>0</v>
      </c>
      <c r="M484" s="639">
        <v>0</v>
      </c>
      <c r="N484" s="639">
        <v>0</v>
      </c>
      <c r="O484" s="639">
        <v>0</v>
      </c>
      <c r="P484" s="639">
        <v>0</v>
      </c>
      <c r="Q484" s="639">
        <v>0</v>
      </c>
      <c r="R484" s="639">
        <v>0</v>
      </c>
      <c r="S484" s="639">
        <v>0</v>
      </c>
      <c r="T484" s="813"/>
      <c r="V484" s="641">
        <f t="shared" si="200"/>
        <v>0</v>
      </c>
      <c r="W484" s="715">
        <f t="shared" si="201"/>
        <v>0</v>
      </c>
      <c r="X484" s="1016"/>
      <c r="Y484" s="675"/>
      <c r="AA484" s="675"/>
      <c r="AC484" s="675"/>
      <c r="AE484" s="675"/>
      <c r="AL484" s="489"/>
      <c r="AM484" s="489"/>
      <c r="AN484" s="489"/>
      <c r="AO484" s="489"/>
      <c r="AP484" s="489"/>
      <c r="AQ484" s="489"/>
      <c r="AR484" s="489"/>
      <c r="AS484" s="489"/>
    </row>
    <row r="485" spans="1:45" s="484" customFormat="1" ht="14.5">
      <c r="A485" s="695" t="s">
        <v>1306</v>
      </c>
      <c r="B485" s="647"/>
      <c r="C485" s="644"/>
      <c r="D485" s="644"/>
      <c r="E485" s="639">
        <v>0</v>
      </c>
      <c r="F485" s="705"/>
      <c r="G485" s="639">
        <v>0</v>
      </c>
      <c r="H485" s="639">
        <v>0</v>
      </c>
      <c r="I485" s="639">
        <v>0</v>
      </c>
      <c r="J485" s="639">
        <v>0</v>
      </c>
      <c r="K485" s="639">
        <v>0</v>
      </c>
      <c r="L485" s="639">
        <v>0</v>
      </c>
      <c r="M485" s="639">
        <v>0</v>
      </c>
      <c r="N485" s="639">
        <v>0</v>
      </c>
      <c r="O485" s="639">
        <v>0</v>
      </c>
      <c r="P485" s="639">
        <v>0</v>
      </c>
      <c r="Q485" s="639">
        <v>0</v>
      </c>
      <c r="R485" s="639">
        <v>0</v>
      </c>
      <c r="S485" s="639">
        <v>0</v>
      </c>
      <c r="T485" s="813"/>
      <c r="V485" s="641">
        <f t="shared" si="200"/>
        <v>0</v>
      </c>
      <c r="W485" s="715">
        <f t="shared" si="201"/>
        <v>0</v>
      </c>
      <c r="X485" s="1016"/>
      <c r="Y485" s="675"/>
      <c r="AA485" s="675"/>
      <c r="AC485" s="675"/>
      <c r="AE485" s="675"/>
      <c r="AL485" s="489"/>
      <c r="AM485" s="489"/>
      <c r="AN485" s="489"/>
      <c r="AO485" s="489"/>
      <c r="AP485" s="489"/>
      <c r="AQ485" s="489"/>
      <c r="AR485" s="489"/>
      <c r="AS485" s="489"/>
    </row>
    <row r="486" spans="1:45" s="484" customFormat="1" ht="14.5">
      <c r="A486" s="695" t="s">
        <v>1307</v>
      </c>
      <c r="B486" s="647"/>
      <c r="C486" s="644"/>
      <c r="D486" s="644"/>
      <c r="E486" s="639">
        <v>0</v>
      </c>
      <c r="F486" s="705"/>
      <c r="G486" s="639">
        <v>0</v>
      </c>
      <c r="H486" s="639">
        <v>0</v>
      </c>
      <c r="I486" s="639">
        <v>0</v>
      </c>
      <c r="J486" s="639">
        <v>0</v>
      </c>
      <c r="K486" s="639">
        <v>0</v>
      </c>
      <c r="L486" s="639">
        <v>0</v>
      </c>
      <c r="M486" s="639">
        <v>0</v>
      </c>
      <c r="N486" s="639">
        <v>0</v>
      </c>
      <c r="O486" s="639">
        <v>0</v>
      </c>
      <c r="P486" s="639">
        <v>0</v>
      </c>
      <c r="Q486" s="639">
        <v>0</v>
      </c>
      <c r="R486" s="639">
        <v>0</v>
      </c>
      <c r="S486" s="639">
        <v>0</v>
      </c>
      <c r="T486" s="813"/>
      <c r="V486" s="641">
        <f t="shared" si="200"/>
        <v>0</v>
      </c>
      <c r="W486" s="715">
        <f t="shared" si="201"/>
        <v>0</v>
      </c>
      <c r="X486" s="1016"/>
      <c r="Y486" s="675"/>
      <c r="AA486" s="675"/>
      <c r="AC486" s="675"/>
      <c r="AE486" s="675"/>
      <c r="AL486" s="489"/>
      <c r="AM486" s="489"/>
      <c r="AN486" s="489"/>
      <c r="AO486" s="489"/>
      <c r="AP486" s="489"/>
      <c r="AQ486" s="489"/>
      <c r="AR486" s="489"/>
      <c r="AS486" s="489"/>
    </row>
    <row r="487" spans="1:45" s="484" customFormat="1" ht="14.5">
      <c r="A487" s="695" t="s">
        <v>1308</v>
      </c>
      <c r="B487" s="647"/>
      <c r="C487" s="644"/>
      <c r="D487" s="644"/>
      <c r="E487" s="639">
        <v>0</v>
      </c>
      <c r="F487" s="705"/>
      <c r="G487" s="639">
        <v>100000000000</v>
      </c>
      <c r="H487" s="639">
        <v>100000000000</v>
      </c>
      <c r="I487" s="639">
        <v>100000000000</v>
      </c>
      <c r="J487" s="639">
        <v>100000000000</v>
      </c>
      <c r="K487" s="639">
        <v>100000000000</v>
      </c>
      <c r="L487" s="639">
        <v>100000000000</v>
      </c>
      <c r="M487" s="639">
        <v>100000000000</v>
      </c>
      <c r="N487" s="639">
        <v>100000000000</v>
      </c>
      <c r="O487" s="639">
        <v>100000000000</v>
      </c>
      <c r="P487" s="639">
        <v>100000000000</v>
      </c>
      <c r="Q487" s="639">
        <v>100000000000</v>
      </c>
      <c r="R487" s="639">
        <v>100000000000</v>
      </c>
      <c r="S487" s="639">
        <v>100000000000</v>
      </c>
      <c r="T487" s="813"/>
      <c r="V487" s="641">
        <f t="shared" si="200"/>
        <v>100000000000</v>
      </c>
      <c r="W487" s="715">
        <f t="shared" si="201"/>
        <v>1.6066946617928176E-2</v>
      </c>
      <c r="X487" s="1016"/>
      <c r="Y487" s="675"/>
      <c r="AA487" s="675"/>
      <c r="AC487" s="675"/>
      <c r="AE487" s="675"/>
      <c r="AL487" s="489"/>
      <c r="AM487" s="489"/>
      <c r="AN487" s="489"/>
      <c r="AO487" s="489"/>
      <c r="AP487" s="489"/>
      <c r="AQ487" s="489"/>
      <c r="AR487" s="489"/>
      <c r="AS487" s="489"/>
    </row>
    <row r="488" spans="1:45" s="484" customFormat="1" ht="14.5">
      <c r="A488" s="695" t="s">
        <v>1309</v>
      </c>
      <c r="B488" s="647"/>
      <c r="C488" s="644"/>
      <c r="D488" s="644"/>
      <c r="E488" s="639"/>
      <c r="F488" s="705"/>
      <c r="G488" s="639"/>
      <c r="H488" s="639"/>
      <c r="I488" s="639"/>
      <c r="J488" s="639"/>
      <c r="K488" s="639"/>
      <c r="L488" s="639"/>
      <c r="M488" s="639"/>
      <c r="N488" s="639"/>
      <c r="O488" s="639"/>
      <c r="P488" s="639"/>
      <c r="Q488" s="639"/>
      <c r="R488" s="639"/>
      <c r="S488" s="639"/>
      <c r="T488" s="813"/>
      <c r="V488" s="641">
        <f t="shared" si="200"/>
        <v>0</v>
      </c>
      <c r="W488" s="715">
        <f t="shared" si="201"/>
        <v>0</v>
      </c>
      <c r="X488" s="1016"/>
      <c r="Y488" s="675"/>
      <c r="AA488" s="675"/>
      <c r="AC488" s="675"/>
      <c r="AE488" s="675"/>
      <c r="AL488" s="489"/>
      <c r="AM488" s="489"/>
      <c r="AN488" s="489"/>
      <c r="AO488" s="489"/>
      <c r="AP488" s="489"/>
      <c r="AQ488" s="489"/>
      <c r="AR488" s="489"/>
      <c r="AS488" s="489"/>
    </row>
    <row r="489" spans="1:45" s="484" customFormat="1" ht="14.5">
      <c r="A489" s="695"/>
      <c r="B489" s="647"/>
      <c r="C489" s="644"/>
      <c r="D489" s="644"/>
      <c r="E489" s="644"/>
      <c r="F489" s="705"/>
      <c r="G489" s="639"/>
      <c r="H489" s="493"/>
      <c r="I489" s="493"/>
      <c r="J489" s="493"/>
      <c r="K489" s="493"/>
      <c r="L489" s="493"/>
      <c r="M489" s="493"/>
      <c r="N489" s="493"/>
      <c r="O489" s="493"/>
      <c r="P489" s="493"/>
      <c r="Q489" s="493"/>
      <c r="R489" s="493"/>
      <c r="S489" s="493"/>
      <c r="T489" s="794"/>
      <c r="V489" s="641">
        <f t="shared" si="200"/>
        <v>0</v>
      </c>
      <c r="W489" s="715">
        <f t="shared" si="201"/>
        <v>0</v>
      </c>
      <c r="X489" s="1016"/>
      <c r="Y489" s="675"/>
      <c r="AA489" s="675"/>
      <c r="AC489" s="675"/>
      <c r="AE489" s="675"/>
      <c r="AL489" s="489"/>
      <c r="AM489" s="489"/>
      <c r="AN489" s="489"/>
      <c r="AO489" s="489"/>
      <c r="AP489" s="489"/>
      <c r="AQ489" s="489"/>
      <c r="AR489" s="489"/>
      <c r="AS489" s="489"/>
    </row>
    <row r="490" spans="1:45" s="484" customFormat="1">
      <c r="A490" s="726" t="s">
        <v>1320</v>
      </c>
      <c r="B490" s="727">
        <v>191512506424.56</v>
      </c>
      <c r="C490" s="728"/>
      <c r="D490" s="728">
        <f>SUM(D454:D468)</f>
        <v>0</v>
      </c>
      <c r="E490" s="728">
        <f>SUM(E454:E489)</f>
        <v>1019873957904.9</v>
      </c>
      <c r="F490" s="721">
        <f t="shared" ref="F490:V490" si="206">SUM(F454:F489)</f>
        <v>0</v>
      </c>
      <c r="G490" s="728">
        <f t="shared" si="206"/>
        <v>856061307133.87</v>
      </c>
      <c r="H490" s="728">
        <f t="shared" si="206"/>
        <v>856061307133.87</v>
      </c>
      <c r="I490" s="728">
        <f t="shared" si="206"/>
        <v>856061307133.87</v>
      </c>
      <c r="J490" s="728">
        <f t="shared" si="206"/>
        <v>856061307133.87</v>
      </c>
      <c r="K490" s="728">
        <f t="shared" si="206"/>
        <v>856061307133.87</v>
      </c>
      <c r="L490" s="728">
        <f t="shared" si="206"/>
        <v>856061307133.87</v>
      </c>
      <c r="M490" s="728">
        <f t="shared" si="206"/>
        <v>856061307133.87</v>
      </c>
      <c r="N490" s="728">
        <f t="shared" si="206"/>
        <v>856061307133.87</v>
      </c>
      <c r="O490" s="728">
        <f t="shared" si="206"/>
        <v>856061307133.87</v>
      </c>
      <c r="P490" s="728">
        <f t="shared" si="206"/>
        <v>856061307133.87</v>
      </c>
      <c r="Q490" s="728">
        <f t="shared" si="206"/>
        <v>856061307133.87</v>
      </c>
      <c r="R490" s="728">
        <f>SUM(R454:R489)</f>
        <v>856061307133.87</v>
      </c>
      <c r="S490" s="728">
        <f>SUM(S454:S489)</f>
        <v>856061307133.87</v>
      </c>
      <c r="T490" s="826"/>
      <c r="V490" s="728">
        <f t="shared" si="206"/>
        <v>856061307133.87</v>
      </c>
      <c r="W490" s="715">
        <f t="shared" si="201"/>
        <v>0.13754291323393705</v>
      </c>
      <c r="X490" s="1025"/>
      <c r="Y490" s="729">
        <f>SUM(Y454:Y471)-Y463</f>
        <v>306036488824.51196</v>
      </c>
      <c r="Z490" s="730">
        <f>Y490/V490-1</f>
        <v>-0.64250634122322936</v>
      </c>
      <c r="AA490" s="729">
        <f>SUM(AA454:AA471)-AA463</f>
        <v>428451084354.31677</v>
      </c>
      <c r="AB490" s="730">
        <f>+AA490/Y490-1</f>
        <v>0.40000000000000013</v>
      </c>
      <c r="AC490" s="729">
        <f>SUM(AC454:AC471)-AC463</f>
        <v>642676626531.4751</v>
      </c>
      <c r="AD490" s="730">
        <f>+AC490/AA490-1</f>
        <v>0.49999999999999978</v>
      </c>
      <c r="AE490" s="729">
        <f>SUM(AE454:AE471)-AE463</f>
        <v>803345783164.34399</v>
      </c>
      <c r="AF490" s="730">
        <f>+AE490/AC490-1</f>
        <v>0.25000000000000022</v>
      </c>
      <c r="AL490" s="489"/>
      <c r="AM490" s="489"/>
      <c r="AN490" s="489"/>
      <c r="AO490" s="489"/>
      <c r="AP490" s="489"/>
      <c r="AQ490" s="489"/>
      <c r="AR490" s="489"/>
      <c r="AS490" s="489"/>
    </row>
    <row r="491" spans="1:45" s="745" customFormat="1">
      <c r="A491" s="740"/>
      <c r="B491" s="741"/>
      <c r="C491" s="742"/>
      <c r="D491" s="742"/>
      <c r="E491" s="742"/>
      <c r="F491" s="721"/>
      <c r="G491" s="742"/>
      <c r="H491" s="742"/>
      <c r="I491" s="742"/>
      <c r="J491" s="742"/>
      <c r="K491" s="742"/>
      <c r="L491" s="742"/>
      <c r="M491" s="742"/>
      <c r="N491" s="742"/>
      <c r="O491" s="742"/>
      <c r="P491" s="728"/>
      <c r="Q491" s="742"/>
      <c r="R491" s="742"/>
      <c r="S491" s="742"/>
      <c r="T491" s="826"/>
      <c r="V491" s="742"/>
      <c r="W491" s="743"/>
      <c r="X491" s="1027"/>
      <c r="Y491" s="744"/>
      <c r="Z491" s="743"/>
      <c r="AA491" s="744"/>
      <c r="AB491" s="743"/>
      <c r="AC491" s="744"/>
      <c r="AD491" s="743"/>
      <c r="AE491" s="744"/>
      <c r="AF491" s="743"/>
    </row>
    <row r="492" spans="1:45" s="484" customFormat="1">
      <c r="A492" s="490" t="s">
        <v>1321</v>
      </c>
      <c r="B492" s="633" t="s">
        <v>1273</v>
      </c>
      <c r="C492" s="634"/>
      <c r="D492" s="693" t="s">
        <v>1313</v>
      </c>
      <c r="E492" s="690">
        <v>42613</v>
      </c>
      <c r="F492" s="711"/>
      <c r="G492" s="690">
        <v>42735</v>
      </c>
      <c r="H492" s="690">
        <v>42736</v>
      </c>
      <c r="I492" s="690">
        <v>42768</v>
      </c>
      <c r="J492" s="690">
        <v>42800</v>
      </c>
      <c r="K492" s="690">
        <v>42832</v>
      </c>
      <c r="L492" s="690">
        <v>42864</v>
      </c>
      <c r="M492" s="690">
        <v>42896</v>
      </c>
      <c r="N492" s="690">
        <v>42928</v>
      </c>
      <c r="O492" s="690">
        <v>42960</v>
      </c>
      <c r="P492" s="690">
        <v>42992</v>
      </c>
      <c r="Q492" s="690">
        <v>43024</v>
      </c>
      <c r="R492" s="690">
        <v>43056</v>
      </c>
      <c r="S492" s="690">
        <v>43088</v>
      </c>
      <c r="T492" s="822"/>
      <c r="V492" s="690" t="s">
        <v>1159</v>
      </c>
      <c r="W492" s="660"/>
      <c r="X492" s="1014"/>
      <c r="Y492" s="634"/>
      <c r="Z492" s="634"/>
      <c r="AA492" s="661"/>
      <c r="AB492" s="661"/>
      <c r="AC492" s="661"/>
      <c r="AD492" s="661"/>
      <c r="AE492" s="661"/>
      <c r="AF492" s="661"/>
      <c r="AL492" s="489"/>
      <c r="AM492" s="489"/>
      <c r="AN492" s="489"/>
      <c r="AO492" s="489"/>
      <c r="AP492" s="489"/>
      <c r="AQ492" s="489"/>
      <c r="AR492" s="489"/>
      <c r="AS492" s="489"/>
    </row>
    <row r="493" spans="1:45" s="484" customFormat="1">
      <c r="A493" s="695" t="s">
        <v>1275</v>
      </c>
      <c r="B493" s="638">
        <v>2891247907</v>
      </c>
      <c r="C493" s="639"/>
      <c r="D493" s="639"/>
      <c r="E493" s="639">
        <v>303575451.89999998</v>
      </c>
      <c r="F493" s="703"/>
      <c r="G493" s="639">
        <v>607150903.79999995</v>
      </c>
      <c r="H493" s="639">
        <v>607150903.79999995</v>
      </c>
      <c r="I493" s="639">
        <v>607150903.79999995</v>
      </c>
      <c r="J493" s="639">
        <v>607150903.79999995</v>
      </c>
      <c r="K493" s="639">
        <v>607150903.79999995</v>
      </c>
      <c r="L493" s="639">
        <v>607150903.79999995</v>
      </c>
      <c r="M493" s="639">
        <v>607150903.79999995</v>
      </c>
      <c r="N493" s="639">
        <v>607150903.79999995</v>
      </c>
      <c r="O493" s="639">
        <v>607150903.79999995</v>
      </c>
      <c r="P493" s="639">
        <v>607150903.79999995</v>
      </c>
      <c r="Q493" s="639">
        <v>607150903.79999995</v>
      </c>
      <c r="R493" s="639">
        <v>607150903.79999995</v>
      </c>
      <c r="S493" s="639">
        <v>607150903.79999995</v>
      </c>
      <c r="T493" s="813"/>
      <c r="V493" s="641">
        <f t="shared" ref="V493:V528" si="207">+S493</f>
        <v>607150903.79999995</v>
      </c>
      <c r="W493" s="715">
        <f>+V493/$V$256</f>
        <v>9.7550611603814441E-5</v>
      </c>
      <c r="X493" s="1015"/>
      <c r="Y493" s="675">
        <f>+V493*(100%+$Y$16)</f>
        <v>728581084.55999994</v>
      </c>
      <c r="Z493" s="664"/>
      <c r="AA493" s="675">
        <f>+Y493*(100%+$AA$16)</f>
        <v>1020013518.3839998</v>
      </c>
      <c r="AB493" s="664"/>
      <c r="AC493" s="675">
        <f>+AA493*(100%+$AC$16)</f>
        <v>1530020277.5759997</v>
      </c>
      <c r="AD493" s="664"/>
      <c r="AE493" s="675">
        <f>+AC493*(100%+$AE$16)</f>
        <v>1912525346.9699998</v>
      </c>
      <c r="AF493" s="664"/>
      <c r="AL493" s="489"/>
      <c r="AM493" s="489"/>
      <c r="AN493" s="489"/>
      <c r="AO493" s="489"/>
      <c r="AP493" s="489"/>
      <c r="AQ493" s="489"/>
      <c r="AR493" s="489"/>
      <c r="AS493" s="489"/>
    </row>
    <row r="494" spans="1:45" s="484" customFormat="1" ht="14.5">
      <c r="A494" s="695" t="s">
        <v>1276</v>
      </c>
      <c r="B494" s="647"/>
      <c r="C494" s="644"/>
      <c r="D494" s="644"/>
      <c r="E494" s="639">
        <v>0</v>
      </c>
      <c r="F494" s="705"/>
      <c r="G494" s="639">
        <v>0</v>
      </c>
      <c r="H494" s="639">
        <v>0</v>
      </c>
      <c r="I494" s="639">
        <v>0</v>
      </c>
      <c r="J494" s="639">
        <v>0</v>
      </c>
      <c r="K494" s="639">
        <v>0</v>
      </c>
      <c r="L494" s="639">
        <v>0</v>
      </c>
      <c r="M494" s="639">
        <v>0</v>
      </c>
      <c r="N494" s="639">
        <v>0</v>
      </c>
      <c r="O494" s="639">
        <v>0</v>
      </c>
      <c r="P494" s="639">
        <v>0</v>
      </c>
      <c r="Q494" s="639">
        <v>0</v>
      </c>
      <c r="R494" s="639">
        <v>0</v>
      </c>
      <c r="S494" s="639">
        <v>0</v>
      </c>
      <c r="T494" s="813"/>
      <c r="V494" s="641">
        <f t="shared" si="207"/>
        <v>0</v>
      </c>
      <c r="W494" s="715">
        <f t="shared" ref="W494:W529" si="208">+V494/$V$256</f>
        <v>0</v>
      </c>
      <c r="X494" s="1016"/>
      <c r="Y494" s="675">
        <f t="shared" ref="Y494:Y510" si="209">+V494*(100%+$Y$16)</f>
        <v>0</v>
      </c>
      <c r="Z494" s="670"/>
      <c r="AA494" s="675">
        <f>+Y494*(100%+$AA$16)</f>
        <v>0</v>
      </c>
      <c r="AB494" s="670"/>
      <c r="AC494" s="675">
        <f>+AA494*(100%+$AC$16)</f>
        <v>0</v>
      </c>
      <c r="AD494" s="670"/>
      <c r="AE494" s="675">
        <f>+AC494*(100%+$AE$16)</f>
        <v>0</v>
      </c>
      <c r="AF494" s="670"/>
      <c r="AL494" s="489"/>
      <c r="AM494" s="489"/>
      <c r="AN494" s="489"/>
      <c r="AO494" s="489"/>
      <c r="AP494" s="489"/>
      <c r="AQ494" s="489"/>
      <c r="AR494" s="489"/>
      <c r="AS494" s="489"/>
    </row>
    <row r="495" spans="1:45" s="484" customFormat="1">
      <c r="A495" s="695" t="s">
        <v>1277</v>
      </c>
      <c r="B495" s="638">
        <v>20896385642</v>
      </c>
      <c r="C495" s="639"/>
      <c r="D495" s="639"/>
      <c r="E495" s="639">
        <v>0</v>
      </c>
      <c r="F495" s="703"/>
      <c r="G495" s="639">
        <v>0</v>
      </c>
      <c r="H495" s="639">
        <v>0</v>
      </c>
      <c r="I495" s="639">
        <v>0</v>
      </c>
      <c r="J495" s="639">
        <v>0</v>
      </c>
      <c r="K495" s="639">
        <v>0</v>
      </c>
      <c r="L495" s="639">
        <v>0</v>
      </c>
      <c r="M495" s="639">
        <v>0</v>
      </c>
      <c r="N495" s="639">
        <v>0</v>
      </c>
      <c r="O495" s="639">
        <v>0</v>
      </c>
      <c r="P495" s="639">
        <v>0</v>
      </c>
      <c r="Q495" s="639">
        <v>0</v>
      </c>
      <c r="R495" s="639">
        <v>0</v>
      </c>
      <c r="S495" s="639">
        <v>0</v>
      </c>
      <c r="T495" s="813"/>
      <c r="V495" s="641">
        <f t="shared" si="207"/>
        <v>0</v>
      </c>
      <c r="W495" s="715">
        <f t="shared" si="208"/>
        <v>0</v>
      </c>
      <c r="X495" s="1015"/>
      <c r="Y495" s="675">
        <f t="shared" si="209"/>
        <v>0</v>
      </c>
      <c r="Z495" s="675"/>
      <c r="AA495" s="675">
        <f t="shared" ref="AA495:AA510" si="210">+Y495*(100%+$AA$16)</f>
        <v>0</v>
      </c>
      <c r="AB495" s="675"/>
      <c r="AC495" s="675">
        <f t="shared" ref="AC495:AC510" si="211">+AA495*(100%+$AC$16)</f>
        <v>0</v>
      </c>
      <c r="AD495" s="675"/>
      <c r="AE495" s="675">
        <f t="shared" ref="AE495:AE510" si="212">+AC495*(100%+$AE$16)</f>
        <v>0</v>
      </c>
      <c r="AF495" s="675"/>
      <c r="AL495" s="489"/>
      <c r="AM495" s="489"/>
      <c r="AN495" s="489"/>
      <c r="AO495" s="489"/>
      <c r="AP495" s="489"/>
      <c r="AQ495" s="489"/>
      <c r="AR495" s="489"/>
      <c r="AS495" s="489"/>
    </row>
    <row r="496" spans="1:45" s="484" customFormat="1" ht="14.5">
      <c r="A496" s="695" t="s">
        <v>1278</v>
      </c>
      <c r="B496" s="647"/>
      <c r="C496" s="644"/>
      <c r="D496" s="644"/>
      <c r="E496" s="639">
        <v>0</v>
      </c>
      <c r="F496" s="705"/>
      <c r="G496" s="639">
        <v>0</v>
      </c>
      <c r="H496" s="639">
        <v>0</v>
      </c>
      <c r="I496" s="639">
        <v>0</v>
      </c>
      <c r="J496" s="639">
        <v>0</v>
      </c>
      <c r="K496" s="639">
        <v>0</v>
      </c>
      <c r="L496" s="639">
        <v>0</v>
      </c>
      <c r="M496" s="639">
        <v>0</v>
      </c>
      <c r="N496" s="639">
        <v>0</v>
      </c>
      <c r="O496" s="639">
        <v>0</v>
      </c>
      <c r="P496" s="639">
        <v>0</v>
      </c>
      <c r="Q496" s="639">
        <v>0</v>
      </c>
      <c r="R496" s="639">
        <v>0</v>
      </c>
      <c r="S496" s="639">
        <v>0</v>
      </c>
      <c r="T496" s="813"/>
      <c r="V496" s="641">
        <f t="shared" si="207"/>
        <v>0</v>
      </c>
      <c r="W496" s="715">
        <f t="shared" si="208"/>
        <v>0</v>
      </c>
      <c r="X496" s="1016"/>
      <c r="Y496" s="675">
        <f t="shared" si="209"/>
        <v>0</v>
      </c>
      <c r="Z496" s="670"/>
      <c r="AA496" s="675">
        <f t="shared" si="210"/>
        <v>0</v>
      </c>
      <c r="AB496" s="670"/>
      <c r="AC496" s="675">
        <f t="shared" si="211"/>
        <v>0</v>
      </c>
      <c r="AD496" s="670"/>
      <c r="AE496" s="675">
        <f t="shared" si="212"/>
        <v>0</v>
      </c>
      <c r="AF496" s="670"/>
      <c r="AL496" s="489"/>
      <c r="AM496" s="489"/>
      <c r="AN496" s="489"/>
      <c r="AO496" s="489"/>
      <c r="AP496" s="489"/>
      <c r="AQ496" s="489"/>
      <c r="AR496" s="489"/>
      <c r="AS496" s="489"/>
    </row>
    <row r="497" spans="1:45" s="484" customFormat="1">
      <c r="A497" s="695" t="s">
        <v>1279</v>
      </c>
      <c r="B497" s="638">
        <v>12712848871</v>
      </c>
      <c r="C497" s="639"/>
      <c r="D497" s="639"/>
      <c r="E497" s="639">
        <v>428140222.70999998</v>
      </c>
      <c r="F497" s="703"/>
      <c r="G497" s="639">
        <v>10856280445.42</v>
      </c>
      <c r="H497" s="639">
        <v>13856280445.42</v>
      </c>
      <c r="I497" s="639">
        <v>17856280445.419998</v>
      </c>
      <c r="J497" s="639">
        <v>22856280445.419998</v>
      </c>
      <c r="K497" s="639">
        <v>29856280445.419998</v>
      </c>
      <c r="L497" s="639">
        <v>37956280445.419998</v>
      </c>
      <c r="M497" s="639">
        <v>47056280445.419998</v>
      </c>
      <c r="N497" s="639">
        <v>56156280445.419998</v>
      </c>
      <c r="O497" s="639">
        <v>65256280445.419998</v>
      </c>
      <c r="P497" s="639">
        <v>74356280445.419998</v>
      </c>
      <c r="Q497" s="639">
        <v>83456280445.419998</v>
      </c>
      <c r="R497" s="639">
        <v>92556280445.419998</v>
      </c>
      <c r="S497" s="639">
        <v>101656280445.42</v>
      </c>
      <c r="T497" s="813"/>
      <c r="V497" s="641">
        <f t="shared" si="207"/>
        <v>101656280445.42</v>
      </c>
      <c r="W497" s="715">
        <f t="shared" si="208"/>
        <v>1.6333060312936989E-2</v>
      </c>
      <c r="X497" s="1015"/>
      <c r="Y497" s="675">
        <f t="shared" si="209"/>
        <v>121987536534.504</v>
      </c>
      <c r="Z497" s="675"/>
      <c r="AA497" s="675">
        <f t="shared" si="210"/>
        <v>170782551148.30557</v>
      </c>
      <c r="AB497" s="675"/>
      <c r="AC497" s="675">
        <f t="shared" si="211"/>
        <v>256173826722.45837</v>
      </c>
      <c r="AD497" s="675"/>
      <c r="AE497" s="675">
        <f t="shared" si="212"/>
        <v>320217283403.073</v>
      </c>
      <c r="AF497" s="675"/>
      <c r="AL497" s="489"/>
      <c r="AM497" s="489"/>
      <c r="AN497" s="489"/>
      <c r="AO497" s="489"/>
      <c r="AP497" s="489"/>
      <c r="AQ497" s="489"/>
      <c r="AR497" s="489"/>
      <c r="AS497" s="489"/>
    </row>
    <row r="498" spans="1:45" s="484" customFormat="1" ht="14.5">
      <c r="A498" s="695" t="s">
        <v>1280</v>
      </c>
      <c r="B498" s="647"/>
      <c r="C498" s="644"/>
      <c r="D498" s="644"/>
      <c r="E498" s="639">
        <v>0</v>
      </c>
      <c r="F498" s="705"/>
      <c r="G498" s="639">
        <v>0</v>
      </c>
      <c r="H498" s="639">
        <v>0</v>
      </c>
      <c r="I498" s="639">
        <v>0</v>
      </c>
      <c r="J498" s="639">
        <v>0</v>
      </c>
      <c r="K498" s="639">
        <v>0</v>
      </c>
      <c r="L498" s="639">
        <v>0</v>
      </c>
      <c r="M498" s="639">
        <v>0</v>
      </c>
      <c r="N498" s="639">
        <v>0</v>
      </c>
      <c r="O498" s="639">
        <v>200000000</v>
      </c>
      <c r="P498" s="639">
        <v>400000000</v>
      </c>
      <c r="Q498" s="639">
        <v>600000000</v>
      </c>
      <c r="R498" s="639">
        <v>800000000</v>
      </c>
      <c r="S498" s="639">
        <v>1000000000</v>
      </c>
      <c r="T498" s="813"/>
      <c r="V498" s="641">
        <f t="shared" si="207"/>
        <v>1000000000</v>
      </c>
      <c r="W498" s="715">
        <f t="shared" si="208"/>
        <v>1.6066946617928176E-4</v>
      </c>
      <c r="X498" s="1016"/>
      <c r="Y498" s="675">
        <f t="shared" si="209"/>
        <v>1200000000</v>
      </c>
      <c r="Z498" s="670"/>
      <c r="AA498" s="675">
        <f t="shared" si="210"/>
        <v>1680000000</v>
      </c>
      <c r="AB498" s="670"/>
      <c r="AC498" s="675">
        <f t="shared" si="211"/>
        <v>2520000000</v>
      </c>
      <c r="AD498" s="670"/>
      <c r="AE498" s="675">
        <f t="shared" si="212"/>
        <v>3150000000</v>
      </c>
      <c r="AF498" s="670"/>
      <c r="AL498" s="489"/>
      <c r="AM498" s="489"/>
      <c r="AN498" s="489"/>
      <c r="AO498" s="489"/>
      <c r="AP498" s="489"/>
      <c r="AQ498" s="489"/>
      <c r="AR498" s="489"/>
      <c r="AS498" s="489"/>
    </row>
    <row r="499" spans="1:45" s="484" customFormat="1">
      <c r="A499" s="695" t="s">
        <v>1281</v>
      </c>
      <c r="B499" s="638">
        <v>5637570085</v>
      </c>
      <c r="C499" s="639"/>
      <c r="D499" s="639"/>
      <c r="E499" s="639">
        <v>0</v>
      </c>
      <c r="F499" s="703"/>
      <c r="G499" s="639">
        <v>0</v>
      </c>
      <c r="H499" s="639">
        <v>0</v>
      </c>
      <c r="I499" s="639">
        <v>0</v>
      </c>
      <c r="J499" s="639">
        <v>0</v>
      </c>
      <c r="K499" s="639">
        <v>0</v>
      </c>
      <c r="L499" s="639">
        <v>0</v>
      </c>
      <c r="M499" s="639">
        <v>0</v>
      </c>
      <c r="N499" s="639">
        <v>0</v>
      </c>
      <c r="O499" s="639">
        <v>0</v>
      </c>
      <c r="P499" s="639">
        <v>0</v>
      </c>
      <c r="Q499" s="639">
        <v>0</v>
      </c>
      <c r="R499" s="639">
        <v>0</v>
      </c>
      <c r="S499" s="639">
        <v>0</v>
      </c>
      <c r="T499" s="813"/>
      <c r="V499" s="641">
        <f t="shared" si="207"/>
        <v>0</v>
      </c>
      <c r="W499" s="715">
        <f t="shared" si="208"/>
        <v>0</v>
      </c>
      <c r="X499" s="1015"/>
      <c r="Y499" s="675">
        <f t="shared" si="209"/>
        <v>0</v>
      </c>
      <c r="Z499" s="675"/>
      <c r="AA499" s="675">
        <f t="shared" si="210"/>
        <v>0</v>
      </c>
      <c r="AB499" s="675"/>
      <c r="AC499" s="675">
        <f t="shared" si="211"/>
        <v>0</v>
      </c>
      <c r="AD499" s="675"/>
      <c r="AE499" s="675">
        <f t="shared" si="212"/>
        <v>0</v>
      </c>
      <c r="AF499" s="675"/>
      <c r="AL499" s="489"/>
      <c r="AM499" s="489"/>
      <c r="AN499" s="489"/>
      <c r="AO499" s="489"/>
      <c r="AP499" s="489"/>
      <c r="AQ499" s="489"/>
      <c r="AR499" s="489"/>
      <c r="AS499" s="489"/>
    </row>
    <row r="500" spans="1:45" s="484" customFormat="1" ht="14.5">
      <c r="A500" s="695" t="s">
        <v>1282</v>
      </c>
      <c r="B500" s="647"/>
      <c r="C500" s="644"/>
      <c r="D500" s="644"/>
      <c r="E500" s="639">
        <v>0</v>
      </c>
      <c r="F500" s="705"/>
      <c r="G500" s="639">
        <v>0</v>
      </c>
      <c r="H500" s="639">
        <v>0</v>
      </c>
      <c r="I500" s="639">
        <v>0</v>
      </c>
      <c r="J500" s="639">
        <v>0</v>
      </c>
      <c r="K500" s="639">
        <v>0</v>
      </c>
      <c r="L500" s="639">
        <v>0</v>
      </c>
      <c r="M500" s="639">
        <v>0</v>
      </c>
      <c r="N500" s="639">
        <v>0</v>
      </c>
      <c r="O500" s="639">
        <v>0</v>
      </c>
      <c r="P500" s="639">
        <v>0</v>
      </c>
      <c r="Q500" s="639">
        <v>0</v>
      </c>
      <c r="R500" s="639">
        <v>0</v>
      </c>
      <c r="S500" s="639">
        <v>0</v>
      </c>
      <c r="T500" s="813"/>
      <c r="V500" s="641">
        <f t="shared" si="207"/>
        <v>0</v>
      </c>
      <c r="W500" s="715">
        <f t="shared" si="208"/>
        <v>0</v>
      </c>
      <c r="X500" s="1016"/>
      <c r="Y500" s="675">
        <f t="shared" si="209"/>
        <v>0</v>
      </c>
      <c r="Z500" s="670"/>
      <c r="AA500" s="675">
        <f t="shared" si="210"/>
        <v>0</v>
      </c>
      <c r="AB500" s="670"/>
      <c r="AC500" s="675">
        <f t="shared" si="211"/>
        <v>0</v>
      </c>
      <c r="AD500" s="670"/>
      <c r="AE500" s="675">
        <f t="shared" si="212"/>
        <v>0</v>
      </c>
      <c r="AF500" s="670"/>
      <c r="AL500" s="489"/>
      <c r="AM500" s="489"/>
      <c r="AN500" s="489"/>
      <c r="AO500" s="489"/>
      <c r="AP500" s="489"/>
      <c r="AQ500" s="489"/>
      <c r="AR500" s="489"/>
      <c r="AS500" s="489"/>
    </row>
    <row r="501" spans="1:45" s="484" customFormat="1">
      <c r="A501" s="695" t="s">
        <v>1283</v>
      </c>
      <c r="B501" s="638">
        <v>12566671540</v>
      </c>
      <c r="C501" s="639"/>
      <c r="D501" s="639"/>
      <c r="E501" s="639">
        <v>0</v>
      </c>
      <c r="F501" s="703"/>
      <c r="G501" s="639">
        <v>0</v>
      </c>
      <c r="H501" s="639">
        <v>0</v>
      </c>
      <c r="I501" s="639">
        <v>0</v>
      </c>
      <c r="J501" s="639">
        <v>0</v>
      </c>
      <c r="K501" s="639">
        <v>0</v>
      </c>
      <c r="L501" s="639">
        <v>0</v>
      </c>
      <c r="M501" s="639">
        <v>0</v>
      </c>
      <c r="N501" s="639">
        <v>0</v>
      </c>
      <c r="O501" s="639">
        <v>0</v>
      </c>
      <c r="P501" s="639">
        <v>0</v>
      </c>
      <c r="Q501" s="639">
        <v>0</v>
      </c>
      <c r="R501" s="639">
        <v>0</v>
      </c>
      <c r="S501" s="639">
        <v>0</v>
      </c>
      <c r="T501" s="813"/>
      <c r="V501" s="641">
        <f t="shared" si="207"/>
        <v>0</v>
      </c>
      <c r="W501" s="715">
        <f t="shared" si="208"/>
        <v>0</v>
      </c>
      <c r="X501" s="1015"/>
      <c r="Y501" s="675">
        <f t="shared" si="209"/>
        <v>0</v>
      </c>
      <c r="Z501" s="675"/>
      <c r="AA501" s="675">
        <f t="shared" si="210"/>
        <v>0</v>
      </c>
      <c r="AB501" s="675"/>
      <c r="AC501" s="675">
        <f t="shared" si="211"/>
        <v>0</v>
      </c>
      <c r="AD501" s="675"/>
      <c r="AE501" s="675">
        <f t="shared" si="212"/>
        <v>0</v>
      </c>
      <c r="AF501" s="675"/>
      <c r="AL501" s="489"/>
      <c r="AM501" s="489"/>
      <c r="AN501" s="489"/>
      <c r="AO501" s="489"/>
      <c r="AP501" s="489"/>
      <c r="AQ501" s="489"/>
      <c r="AR501" s="489"/>
      <c r="AS501" s="489"/>
    </row>
    <row r="502" spans="1:45" s="484" customFormat="1" ht="14.5">
      <c r="A502" s="695" t="s">
        <v>1284</v>
      </c>
      <c r="B502" s="647"/>
      <c r="C502" s="644"/>
      <c r="D502" s="644"/>
      <c r="E502" s="639">
        <v>0</v>
      </c>
      <c r="F502" s="705"/>
      <c r="G502" s="639">
        <v>0</v>
      </c>
      <c r="H502" s="639">
        <v>0</v>
      </c>
      <c r="I502" s="639">
        <v>0</v>
      </c>
      <c r="J502" s="639">
        <v>0</v>
      </c>
      <c r="K502" s="639">
        <v>0</v>
      </c>
      <c r="L502" s="639">
        <v>0</v>
      </c>
      <c r="M502" s="639">
        <v>0</v>
      </c>
      <c r="N502" s="639">
        <v>0</v>
      </c>
      <c r="O502" s="639">
        <v>200000000</v>
      </c>
      <c r="P502" s="639">
        <v>400000000</v>
      </c>
      <c r="Q502" s="639">
        <v>600000000</v>
      </c>
      <c r="R502" s="639">
        <v>800000000</v>
      </c>
      <c r="S502" s="639">
        <v>1000000000</v>
      </c>
      <c r="T502" s="813"/>
      <c r="V502" s="641">
        <f t="shared" si="207"/>
        <v>1000000000</v>
      </c>
      <c r="W502" s="715">
        <f t="shared" si="208"/>
        <v>1.6066946617928176E-4</v>
      </c>
      <c r="X502" s="1016"/>
      <c r="Y502" s="675">
        <f t="shared" si="209"/>
        <v>1200000000</v>
      </c>
      <c r="Z502" s="670"/>
      <c r="AA502" s="675">
        <f t="shared" si="210"/>
        <v>1680000000</v>
      </c>
      <c r="AB502" s="670"/>
      <c r="AC502" s="675">
        <f t="shared" si="211"/>
        <v>2520000000</v>
      </c>
      <c r="AD502" s="670"/>
      <c r="AE502" s="675">
        <f t="shared" si="212"/>
        <v>3150000000</v>
      </c>
      <c r="AF502" s="670"/>
      <c r="AL502" s="489"/>
      <c r="AM502" s="489"/>
      <c r="AN502" s="489"/>
      <c r="AO502" s="489"/>
      <c r="AP502" s="489"/>
      <c r="AQ502" s="489"/>
      <c r="AR502" s="489"/>
      <c r="AS502" s="489"/>
    </row>
    <row r="503" spans="1:45" s="484" customFormat="1">
      <c r="A503" s="695" t="s">
        <v>1285</v>
      </c>
      <c r="B503" s="638">
        <v>3756181378.5600004</v>
      </c>
      <c r="C503" s="639"/>
      <c r="D503" s="639"/>
      <c r="E503" s="639">
        <v>0</v>
      </c>
      <c r="F503" s="703"/>
      <c r="G503" s="639">
        <v>0</v>
      </c>
      <c r="H503" s="639">
        <v>0</v>
      </c>
      <c r="I503" s="639">
        <v>0</v>
      </c>
      <c r="J503" s="639">
        <v>0</v>
      </c>
      <c r="K503" s="639">
        <v>2000000000</v>
      </c>
      <c r="L503" s="639">
        <v>5700000000</v>
      </c>
      <c r="M503" s="639">
        <v>10400000000</v>
      </c>
      <c r="N503" s="639">
        <v>15100000000</v>
      </c>
      <c r="O503" s="639">
        <v>19800000000</v>
      </c>
      <c r="P503" s="639">
        <v>24500000000</v>
      </c>
      <c r="Q503" s="639">
        <v>29200000000</v>
      </c>
      <c r="R503" s="639">
        <v>33900000000</v>
      </c>
      <c r="S503" s="639">
        <v>38600000000</v>
      </c>
      <c r="T503" s="813"/>
      <c r="V503" s="641">
        <f t="shared" si="207"/>
        <v>38600000000</v>
      </c>
      <c r="W503" s="715">
        <f t="shared" si="208"/>
        <v>6.2018413945202754E-3</v>
      </c>
      <c r="X503" s="1015"/>
      <c r="Y503" s="675">
        <f t="shared" si="209"/>
        <v>46320000000</v>
      </c>
      <c r="Z503" s="675"/>
      <c r="AA503" s="675">
        <f t="shared" si="210"/>
        <v>64847999999.999992</v>
      </c>
      <c r="AB503" s="675"/>
      <c r="AC503" s="675">
        <f t="shared" si="211"/>
        <v>97271999999.999985</v>
      </c>
      <c r="AD503" s="675"/>
      <c r="AE503" s="675">
        <f t="shared" si="212"/>
        <v>121589999999.99998</v>
      </c>
      <c r="AF503" s="675"/>
      <c r="AL503" s="489"/>
      <c r="AM503" s="489"/>
      <c r="AN503" s="489"/>
      <c r="AO503" s="489"/>
      <c r="AP503" s="489"/>
      <c r="AQ503" s="489"/>
      <c r="AR503" s="489"/>
      <c r="AS503" s="489"/>
    </row>
    <row r="504" spans="1:45" s="484" customFormat="1" ht="14.5">
      <c r="A504" s="695" t="s">
        <v>1286</v>
      </c>
      <c r="B504" s="647"/>
      <c r="C504" s="644"/>
      <c r="D504" s="644"/>
      <c r="E504" s="639">
        <v>0</v>
      </c>
      <c r="F504" s="705"/>
      <c r="G504" s="639">
        <v>0</v>
      </c>
      <c r="H504" s="639">
        <v>200000000</v>
      </c>
      <c r="I504" s="639">
        <v>400000000</v>
      </c>
      <c r="J504" s="639">
        <v>600000000</v>
      </c>
      <c r="K504" s="639">
        <v>1000000000</v>
      </c>
      <c r="L504" s="639">
        <v>1600000000</v>
      </c>
      <c r="M504" s="639">
        <v>2200000000</v>
      </c>
      <c r="N504" s="639">
        <v>2800000000</v>
      </c>
      <c r="O504" s="639">
        <v>3400000000</v>
      </c>
      <c r="P504" s="639">
        <v>4000000000</v>
      </c>
      <c r="Q504" s="639">
        <v>4600000000</v>
      </c>
      <c r="R504" s="639">
        <v>5200000000</v>
      </c>
      <c r="S504" s="639">
        <v>5800000000</v>
      </c>
      <c r="T504" s="813"/>
      <c r="V504" s="641">
        <f t="shared" si="207"/>
        <v>5800000000</v>
      </c>
      <c r="W504" s="715">
        <f t="shared" si="208"/>
        <v>9.3188290383983412E-4</v>
      </c>
      <c r="X504" s="1016"/>
      <c r="Y504" s="675">
        <f t="shared" si="209"/>
        <v>6960000000</v>
      </c>
      <c r="Z504" s="670"/>
      <c r="AA504" s="675">
        <f t="shared" si="210"/>
        <v>9744000000</v>
      </c>
      <c r="AB504" s="670"/>
      <c r="AC504" s="675">
        <f t="shared" si="211"/>
        <v>14616000000</v>
      </c>
      <c r="AD504" s="670"/>
      <c r="AE504" s="675">
        <f t="shared" si="212"/>
        <v>18270000000</v>
      </c>
      <c r="AF504" s="670"/>
      <c r="AL504" s="489"/>
      <c r="AM504" s="489"/>
      <c r="AN504" s="489"/>
      <c r="AO504" s="489"/>
      <c r="AP504" s="489"/>
      <c r="AQ504" s="489"/>
      <c r="AR504" s="489"/>
      <c r="AS504" s="489"/>
    </row>
    <row r="505" spans="1:45" s="484" customFormat="1">
      <c r="A505" s="695" t="s">
        <v>1287</v>
      </c>
      <c r="B505" s="638">
        <v>0</v>
      </c>
      <c r="C505" s="639"/>
      <c r="D505" s="639"/>
      <c r="E505" s="639">
        <v>0</v>
      </c>
      <c r="F505" s="703"/>
      <c r="G505" s="639">
        <v>0</v>
      </c>
      <c r="H505" s="639">
        <v>0</v>
      </c>
      <c r="I505" s="639">
        <v>0</v>
      </c>
      <c r="J505" s="639">
        <v>0</v>
      </c>
      <c r="K505" s="639">
        <v>0</v>
      </c>
      <c r="L505" s="639">
        <v>0</v>
      </c>
      <c r="M505" s="639">
        <v>0</v>
      </c>
      <c r="N505" s="639">
        <v>0</v>
      </c>
      <c r="O505" s="639">
        <v>0</v>
      </c>
      <c r="P505" s="639">
        <v>0</v>
      </c>
      <c r="Q505" s="639">
        <v>0</v>
      </c>
      <c r="R505" s="639">
        <v>0</v>
      </c>
      <c r="S505" s="639">
        <v>0</v>
      </c>
      <c r="T505" s="813"/>
      <c r="V505" s="641">
        <f t="shared" si="207"/>
        <v>0</v>
      </c>
      <c r="W505" s="715">
        <f t="shared" si="208"/>
        <v>0</v>
      </c>
      <c r="X505" s="1015"/>
      <c r="Y505" s="675">
        <f t="shared" si="209"/>
        <v>0</v>
      </c>
      <c r="Z505" s="675"/>
      <c r="AA505" s="675">
        <f t="shared" si="210"/>
        <v>0</v>
      </c>
      <c r="AB505" s="675"/>
      <c r="AC505" s="675">
        <f t="shared" si="211"/>
        <v>0</v>
      </c>
      <c r="AD505" s="675"/>
      <c r="AE505" s="675">
        <f t="shared" si="212"/>
        <v>0</v>
      </c>
      <c r="AF505" s="675"/>
      <c r="AL505" s="489"/>
      <c r="AM505" s="489"/>
      <c r="AN505" s="489"/>
      <c r="AO505" s="489"/>
      <c r="AP505" s="489"/>
      <c r="AQ505" s="489"/>
      <c r="AR505" s="489"/>
      <c r="AS505" s="489"/>
    </row>
    <row r="506" spans="1:45" s="484" customFormat="1" ht="14.5">
      <c r="A506" s="695" t="s">
        <v>1288</v>
      </c>
      <c r="B506" s="647"/>
      <c r="C506" s="644"/>
      <c r="D506" s="644"/>
      <c r="E506" s="639">
        <v>0</v>
      </c>
      <c r="F506" s="705"/>
      <c r="G506" s="639">
        <v>0</v>
      </c>
      <c r="H506" s="639">
        <v>0</v>
      </c>
      <c r="I506" s="639">
        <v>0</v>
      </c>
      <c r="J506" s="639">
        <v>0</v>
      </c>
      <c r="K506" s="639">
        <v>0</v>
      </c>
      <c r="L506" s="639">
        <v>0</v>
      </c>
      <c r="M506" s="639">
        <v>0</v>
      </c>
      <c r="N506" s="639">
        <v>0</v>
      </c>
      <c r="O506" s="639">
        <v>0</v>
      </c>
      <c r="P506" s="639">
        <v>0</v>
      </c>
      <c r="Q506" s="639">
        <v>0</v>
      </c>
      <c r="R506" s="639">
        <v>0</v>
      </c>
      <c r="S506" s="639">
        <v>0</v>
      </c>
      <c r="T506" s="813"/>
      <c r="V506" s="641">
        <f t="shared" si="207"/>
        <v>0</v>
      </c>
      <c r="W506" s="715">
        <f t="shared" si="208"/>
        <v>0</v>
      </c>
      <c r="X506" s="1016"/>
      <c r="Y506" s="675">
        <f t="shared" si="209"/>
        <v>0</v>
      </c>
      <c r="Z506" s="670"/>
      <c r="AA506" s="675">
        <f t="shared" si="210"/>
        <v>0</v>
      </c>
      <c r="AB506" s="670"/>
      <c r="AC506" s="675">
        <f t="shared" si="211"/>
        <v>0</v>
      </c>
      <c r="AD506" s="670"/>
      <c r="AE506" s="675">
        <f t="shared" si="212"/>
        <v>0</v>
      </c>
      <c r="AF506" s="670"/>
      <c r="AL506" s="489"/>
      <c r="AM506" s="489"/>
      <c r="AN506" s="489"/>
      <c r="AO506" s="489"/>
      <c r="AP506" s="489"/>
      <c r="AQ506" s="489"/>
      <c r="AR506" s="489"/>
      <c r="AS506" s="489"/>
    </row>
    <row r="507" spans="1:45" s="484" customFormat="1">
      <c r="A507" s="695" t="s">
        <v>1289</v>
      </c>
      <c r="B507" s="647">
        <v>111809990517</v>
      </c>
      <c r="C507" s="648"/>
      <c r="D507" s="648"/>
      <c r="E507" s="639">
        <v>0</v>
      </c>
      <c r="F507" s="706"/>
      <c r="G507" s="639">
        <v>0</v>
      </c>
      <c r="H507" s="639">
        <v>0</v>
      </c>
      <c r="I507" s="639">
        <v>0</v>
      </c>
      <c r="J507" s="639">
        <v>0</v>
      </c>
      <c r="K507" s="639">
        <v>0</v>
      </c>
      <c r="L507" s="639">
        <v>0</v>
      </c>
      <c r="M507" s="639">
        <v>0</v>
      </c>
      <c r="N507" s="639">
        <v>0</v>
      </c>
      <c r="O507" s="639">
        <v>0</v>
      </c>
      <c r="P507" s="639">
        <v>0</v>
      </c>
      <c r="Q507" s="639">
        <v>0</v>
      </c>
      <c r="R507" s="639">
        <v>0</v>
      </c>
      <c r="S507" s="639">
        <v>0</v>
      </c>
      <c r="T507" s="813"/>
      <c r="V507" s="641">
        <f t="shared" si="207"/>
        <v>0</v>
      </c>
      <c r="W507" s="715">
        <f t="shared" si="208"/>
        <v>0</v>
      </c>
      <c r="X507" s="1015"/>
      <c r="Y507" s="675">
        <f t="shared" si="209"/>
        <v>0</v>
      </c>
      <c r="Z507" s="675"/>
      <c r="AA507" s="675">
        <f t="shared" si="210"/>
        <v>0</v>
      </c>
      <c r="AB507" s="675"/>
      <c r="AC507" s="675">
        <f t="shared" si="211"/>
        <v>0</v>
      </c>
      <c r="AD507" s="675"/>
      <c r="AE507" s="675">
        <f t="shared" si="212"/>
        <v>0</v>
      </c>
      <c r="AF507" s="675"/>
      <c r="AL507" s="489"/>
      <c r="AM507" s="489"/>
      <c r="AN507" s="489"/>
      <c r="AO507" s="489"/>
      <c r="AP507" s="489"/>
      <c r="AQ507" s="489"/>
      <c r="AR507" s="489"/>
      <c r="AS507" s="489"/>
    </row>
    <row r="508" spans="1:45" s="484" customFormat="1" ht="14.5">
      <c r="A508" s="695" t="s">
        <v>1290</v>
      </c>
      <c r="B508" s="647"/>
      <c r="C508" s="644"/>
      <c r="D508" s="644"/>
      <c r="E508" s="639">
        <v>0</v>
      </c>
      <c r="F508" s="705"/>
      <c r="G508" s="639">
        <v>0</v>
      </c>
      <c r="H508" s="639">
        <v>0</v>
      </c>
      <c r="I508" s="639">
        <v>0</v>
      </c>
      <c r="J508" s="639">
        <v>0</v>
      </c>
      <c r="K508" s="639">
        <v>0</v>
      </c>
      <c r="L508" s="639">
        <v>0</v>
      </c>
      <c r="M508" s="639">
        <v>0</v>
      </c>
      <c r="N508" s="639">
        <v>0</v>
      </c>
      <c r="O508" s="639">
        <v>0</v>
      </c>
      <c r="P508" s="639">
        <v>0</v>
      </c>
      <c r="Q508" s="639">
        <v>0</v>
      </c>
      <c r="R508" s="639">
        <v>0</v>
      </c>
      <c r="S508" s="639">
        <v>0</v>
      </c>
      <c r="T508" s="813"/>
      <c r="V508" s="641">
        <f t="shared" si="207"/>
        <v>0</v>
      </c>
      <c r="W508" s="715">
        <f t="shared" si="208"/>
        <v>0</v>
      </c>
      <c r="X508" s="1016"/>
      <c r="Y508" s="675">
        <f t="shared" si="209"/>
        <v>0</v>
      </c>
      <c r="AA508" s="675">
        <f t="shared" si="210"/>
        <v>0</v>
      </c>
      <c r="AC508" s="675">
        <f t="shared" si="211"/>
        <v>0</v>
      </c>
      <c r="AE508" s="675">
        <f t="shared" si="212"/>
        <v>0</v>
      </c>
      <c r="AF508" s="528"/>
      <c r="AL508" s="489"/>
      <c r="AM508" s="489"/>
      <c r="AN508" s="489"/>
      <c r="AO508" s="489"/>
      <c r="AP508" s="489"/>
      <c r="AQ508" s="489"/>
      <c r="AR508" s="489"/>
      <c r="AS508" s="489"/>
    </row>
    <row r="509" spans="1:45" s="484" customFormat="1" ht="14.5">
      <c r="A509" s="695" t="s">
        <v>1291</v>
      </c>
      <c r="B509" s="647"/>
      <c r="C509" s="644"/>
      <c r="D509" s="644"/>
      <c r="E509" s="639">
        <v>0</v>
      </c>
      <c r="F509" s="705"/>
      <c r="G509" s="639">
        <v>0</v>
      </c>
      <c r="H509" s="639">
        <v>0</v>
      </c>
      <c r="I509" s="639">
        <v>0</v>
      </c>
      <c r="J509" s="639">
        <v>0</v>
      </c>
      <c r="K509" s="639">
        <v>0</v>
      </c>
      <c r="L509" s="639">
        <v>0</v>
      </c>
      <c r="M509" s="639">
        <v>0</v>
      </c>
      <c r="N509" s="639">
        <v>0</v>
      </c>
      <c r="O509" s="639">
        <v>0</v>
      </c>
      <c r="P509" s="639">
        <v>0</v>
      </c>
      <c r="Q509" s="639">
        <v>0</v>
      </c>
      <c r="R509" s="639">
        <v>0</v>
      </c>
      <c r="S509" s="639">
        <v>0</v>
      </c>
      <c r="T509" s="813"/>
      <c r="V509" s="641">
        <f t="shared" si="207"/>
        <v>0</v>
      </c>
      <c r="W509" s="715">
        <f t="shared" si="208"/>
        <v>0</v>
      </c>
      <c r="X509" s="1016"/>
      <c r="Y509" s="675">
        <f t="shared" si="209"/>
        <v>0</v>
      </c>
      <c r="Z509" s="675"/>
      <c r="AA509" s="675">
        <f t="shared" si="210"/>
        <v>0</v>
      </c>
      <c r="AB509" s="675"/>
      <c r="AC509" s="675">
        <f t="shared" si="211"/>
        <v>0</v>
      </c>
      <c r="AD509" s="675"/>
      <c r="AE509" s="675">
        <f t="shared" si="212"/>
        <v>0</v>
      </c>
      <c r="AL509" s="489"/>
      <c r="AM509" s="489"/>
      <c r="AN509" s="489"/>
      <c r="AO509" s="489"/>
      <c r="AP509" s="489"/>
      <c r="AQ509" s="489"/>
      <c r="AR509" s="489"/>
      <c r="AS509" s="489"/>
    </row>
    <row r="510" spans="1:45" s="484" customFormat="1" ht="14.5">
      <c r="A510" s="695" t="s">
        <v>1292</v>
      </c>
      <c r="B510" s="647"/>
      <c r="C510" s="644"/>
      <c r="D510" s="644"/>
      <c r="E510" s="639">
        <v>0</v>
      </c>
      <c r="F510" s="705"/>
      <c r="G510" s="639">
        <v>0</v>
      </c>
      <c r="H510" s="639">
        <v>0</v>
      </c>
      <c r="I510" s="639">
        <v>0</v>
      </c>
      <c r="J510" s="639">
        <v>0</v>
      </c>
      <c r="K510" s="639">
        <v>0</v>
      </c>
      <c r="L510" s="639">
        <v>0</v>
      </c>
      <c r="M510" s="639">
        <v>0</v>
      </c>
      <c r="N510" s="639">
        <v>0</v>
      </c>
      <c r="O510" s="639">
        <v>0</v>
      </c>
      <c r="P510" s="639">
        <v>0</v>
      </c>
      <c r="Q510" s="639">
        <v>0</v>
      </c>
      <c r="R510" s="639">
        <v>0</v>
      </c>
      <c r="S510" s="639">
        <v>0</v>
      </c>
      <c r="T510" s="813"/>
      <c r="V510" s="641">
        <f t="shared" si="207"/>
        <v>0</v>
      </c>
      <c r="W510" s="715">
        <f t="shared" si="208"/>
        <v>0</v>
      </c>
      <c r="X510" s="1016"/>
      <c r="Y510" s="675">
        <f t="shared" si="209"/>
        <v>0</v>
      </c>
      <c r="AA510" s="675">
        <f t="shared" si="210"/>
        <v>0</v>
      </c>
      <c r="AC510" s="675">
        <f t="shared" si="211"/>
        <v>0</v>
      </c>
      <c r="AE510" s="675">
        <f t="shared" si="212"/>
        <v>0</v>
      </c>
      <c r="AL510" s="489"/>
      <c r="AM510" s="489"/>
      <c r="AN510" s="489"/>
      <c r="AO510" s="489"/>
      <c r="AP510" s="489"/>
      <c r="AQ510" s="489"/>
      <c r="AR510" s="489"/>
      <c r="AS510" s="489"/>
    </row>
    <row r="511" spans="1:45" s="484" customFormat="1" ht="14.5">
      <c r="A511" s="695" t="s">
        <v>1293</v>
      </c>
      <c r="B511" s="647"/>
      <c r="C511" s="644"/>
      <c r="D511" s="644"/>
      <c r="E511" s="639">
        <v>0</v>
      </c>
      <c r="F511" s="705"/>
      <c r="G511" s="639">
        <v>0</v>
      </c>
      <c r="H511" s="639">
        <v>0</v>
      </c>
      <c r="I511" s="639">
        <v>0</v>
      </c>
      <c r="J511" s="639">
        <v>0</v>
      </c>
      <c r="K511" s="639">
        <v>0</v>
      </c>
      <c r="L511" s="639">
        <v>0</v>
      </c>
      <c r="M511" s="639">
        <v>0</v>
      </c>
      <c r="N511" s="639">
        <v>0</v>
      </c>
      <c r="O511" s="639">
        <v>0</v>
      </c>
      <c r="P511" s="639">
        <v>0</v>
      </c>
      <c r="Q511" s="639">
        <v>0</v>
      </c>
      <c r="R511" s="639">
        <v>0</v>
      </c>
      <c r="S511" s="639">
        <v>0</v>
      </c>
      <c r="T511" s="813"/>
      <c r="V511" s="641">
        <f t="shared" si="207"/>
        <v>0</v>
      </c>
      <c r="W511" s="715">
        <f t="shared" si="208"/>
        <v>0</v>
      </c>
      <c r="X511" s="1016"/>
      <c r="Y511" s="675"/>
      <c r="AA511" s="675"/>
      <c r="AC511" s="675"/>
      <c r="AE511" s="675"/>
      <c r="AL511" s="489"/>
      <c r="AM511" s="489"/>
      <c r="AN511" s="489"/>
      <c r="AO511" s="489"/>
      <c r="AP511" s="489"/>
      <c r="AQ511" s="489"/>
      <c r="AR511" s="489"/>
      <c r="AS511" s="489"/>
    </row>
    <row r="512" spans="1:45" s="484" customFormat="1" ht="14.5">
      <c r="A512" s="695" t="s">
        <v>1294</v>
      </c>
      <c r="B512" s="647"/>
      <c r="C512" s="644"/>
      <c r="D512" s="644"/>
      <c r="E512" s="639">
        <v>0</v>
      </c>
      <c r="F512" s="705"/>
      <c r="G512" s="639">
        <v>0</v>
      </c>
      <c r="H512" s="639">
        <v>0</v>
      </c>
      <c r="I512" s="639">
        <v>0</v>
      </c>
      <c r="J512" s="639">
        <v>1000000000</v>
      </c>
      <c r="K512" s="639">
        <v>3000000000</v>
      </c>
      <c r="L512" s="639">
        <v>6500000000</v>
      </c>
      <c r="M512" s="639">
        <v>11000000000</v>
      </c>
      <c r="N512" s="639">
        <v>15500000000</v>
      </c>
      <c r="O512" s="639">
        <v>20000000000</v>
      </c>
      <c r="P512" s="639">
        <v>24500000000</v>
      </c>
      <c r="Q512" s="639">
        <v>29000000000</v>
      </c>
      <c r="R512" s="639">
        <v>33500000000</v>
      </c>
      <c r="S512" s="639">
        <v>38000000000</v>
      </c>
      <c r="T512" s="813"/>
      <c r="V512" s="641">
        <f t="shared" si="207"/>
        <v>38000000000</v>
      </c>
      <c r="W512" s="715">
        <f t="shared" si="208"/>
        <v>6.1054397148127063E-3</v>
      </c>
      <c r="X512" s="1016"/>
      <c r="Y512" s="675"/>
      <c r="AA512" s="675"/>
      <c r="AC512" s="675"/>
      <c r="AE512" s="675"/>
      <c r="AL512" s="489"/>
      <c r="AM512" s="489"/>
      <c r="AN512" s="489"/>
      <c r="AO512" s="489"/>
      <c r="AP512" s="489"/>
      <c r="AQ512" s="489"/>
      <c r="AR512" s="489"/>
      <c r="AS512" s="489"/>
    </row>
    <row r="513" spans="1:45" s="484" customFormat="1" ht="14.5">
      <c r="A513" s="695" t="s">
        <v>1295</v>
      </c>
      <c r="B513" s="647"/>
      <c r="C513" s="644"/>
      <c r="D513" s="644"/>
      <c r="E513" s="639">
        <v>0</v>
      </c>
      <c r="F513" s="705"/>
      <c r="G513" s="639">
        <v>0</v>
      </c>
      <c r="H513" s="639">
        <v>0</v>
      </c>
      <c r="I513" s="639">
        <v>0</v>
      </c>
      <c r="J513" s="639">
        <v>0</v>
      </c>
      <c r="K513" s="639">
        <v>0</v>
      </c>
      <c r="L513" s="639">
        <v>200000000</v>
      </c>
      <c r="M513" s="639">
        <v>400000000</v>
      </c>
      <c r="N513" s="639">
        <v>600000000</v>
      </c>
      <c r="O513" s="639">
        <v>1000000000</v>
      </c>
      <c r="P513" s="639">
        <v>1400000000</v>
      </c>
      <c r="Q513" s="639">
        <v>1800000000</v>
      </c>
      <c r="R513" s="639">
        <v>2200000000</v>
      </c>
      <c r="S513" s="639">
        <v>2600000000</v>
      </c>
      <c r="T513" s="813"/>
      <c r="V513" s="641">
        <f t="shared" si="207"/>
        <v>2600000000</v>
      </c>
      <c r="W513" s="715">
        <f t="shared" si="208"/>
        <v>4.1774061206613258E-4</v>
      </c>
      <c r="X513" s="1016"/>
      <c r="Y513" s="675"/>
      <c r="AA513" s="675"/>
      <c r="AC513" s="675"/>
      <c r="AE513" s="675"/>
      <c r="AL513" s="489"/>
      <c r="AM513" s="489"/>
      <c r="AN513" s="489"/>
      <c r="AO513" s="489"/>
      <c r="AP513" s="489"/>
      <c r="AQ513" s="489"/>
      <c r="AR513" s="489"/>
      <c r="AS513" s="489"/>
    </row>
    <row r="514" spans="1:45" s="484" customFormat="1" ht="14.5">
      <c r="A514" s="695" t="s">
        <v>1296</v>
      </c>
      <c r="B514" s="647"/>
      <c r="C514" s="644"/>
      <c r="D514" s="644"/>
      <c r="E514" s="639">
        <v>0</v>
      </c>
      <c r="F514" s="705"/>
      <c r="G514" s="639">
        <v>0</v>
      </c>
      <c r="H514" s="639">
        <v>0</v>
      </c>
      <c r="I514" s="639">
        <v>0</v>
      </c>
      <c r="J514" s="639">
        <v>0</v>
      </c>
      <c r="K514" s="639">
        <v>0</v>
      </c>
      <c r="L514" s="639">
        <v>0</v>
      </c>
      <c r="M514" s="639">
        <v>0</v>
      </c>
      <c r="N514" s="639">
        <v>0</v>
      </c>
      <c r="O514" s="639">
        <v>0</v>
      </c>
      <c r="P514" s="639">
        <v>0</v>
      </c>
      <c r="Q514" s="639">
        <v>0</v>
      </c>
      <c r="R514" s="639">
        <v>0</v>
      </c>
      <c r="S514" s="639">
        <v>0</v>
      </c>
      <c r="T514" s="813"/>
      <c r="V514" s="641">
        <f t="shared" si="207"/>
        <v>0</v>
      </c>
      <c r="W514" s="715">
        <f t="shared" si="208"/>
        <v>0</v>
      </c>
      <c r="X514" s="1016"/>
      <c r="Y514" s="675"/>
      <c r="AA514" s="675"/>
      <c r="AC514" s="675"/>
      <c r="AE514" s="675"/>
      <c r="AL514" s="489"/>
      <c r="AM514" s="489"/>
      <c r="AN514" s="489"/>
      <c r="AO514" s="489"/>
      <c r="AP514" s="489"/>
      <c r="AQ514" s="489"/>
      <c r="AR514" s="489"/>
      <c r="AS514" s="489"/>
    </row>
    <row r="515" spans="1:45" s="484" customFormat="1" ht="14.5">
      <c r="A515" s="695" t="s">
        <v>1297</v>
      </c>
      <c r="B515" s="647"/>
      <c r="C515" s="644"/>
      <c r="D515" s="644"/>
      <c r="E515" s="639">
        <v>0</v>
      </c>
      <c r="F515" s="705"/>
      <c r="G515" s="639">
        <v>0</v>
      </c>
      <c r="H515" s="639">
        <v>0</v>
      </c>
      <c r="I515" s="639">
        <v>0</v>
      </c>
      <c r="J515" s="639">
        <v>0</v>
      </c>
      <c r="K515" s="639">
        <v>0</v>
      </c>
      <c r="L515" s="639">
        <v>0</v>
      </c>
      <c r="M515" s="639">
        <v>0</v>
      </c>
      <c r="N515" s="639">
        <v>0</v>
      </c>
      <c r="O515" s="639">
        <v>0</v>
      </c>
      <c r="P515" s="639">
        <v>0</v>
      </c>
      <c r="Q515" s="639">
        <v>0</v>
      </c>
      <c r="R515" s="639">
        <v>0</v>
      </c>
      <c r="S515" s="639">
        <v>0</v>
      </c>
      <c r="T515" s="813"/>
      <c r="V515" s="641">
        <f t="shared" si="207"/>
        <v>0</v>
      </c>
      <c r="W515" s="715">
        <f t="shared" si="208"/>
        <v>0</v>
      </c>
      <c r="X515" s="1016"/>
      <c r="Y515" s="675"/>
      <c r="AA515" s="675"/>
      <c r="AC515" s="675"/>
      <c r="AE515" s="675"/>
      <c r="AL515" s="489"/>
      <c r="AM515" s="489"/>
      <c r="AN515" s="489"/>
      <c r="AO515" s="489"/>
      <c r="AP515" s="489"/>
      <c r="AQ515" s="489"/>
      <c r="AR515" s="489"/>
      <c r="AS515" s="489"/>
    </row>
    <row r="516" spans="1:45" s="484" customFormat="1" ht="14.5">
      <c r="A516" s="695" t="s">
        <v>1298</v>
      </c>
      <c r="B516" s="647"/>
      <c r="C516" s="644"/>
      <c r="D516" s="644"/>
      <c r="E516" s="639">
        <v>0</v>
      </c>
      <c r="F516" s="705"/>
      <c r="G516" s="639">
        <v>0</v>
      </c>
      <c r="H516" s="639">
        <v>0</v>
      </c>
      <c r="I516" s="639">
        <v>0</v>
      </c>
      <c r="J516" s="639">
        <v>0</v>
      </c>
      <c r="K516" s="639">
        <v>0</v>
      </c>
      <c r="L516" s="639">
        <v>0</v>
      </c>
      <c r="M516" s="639">
        <v>0</v>
      </c>
      <c r="N516" s="639">
        <v>0</v>
      </c>
      <c r="O516" s="639">
        <v>0</v>
      </c>
      <c r="P516" s="639">
        <v>0</v>
      </c>
      <c r="Q516" s="639">
        <v>0</v>
      </c>
      <c r="R516" s="639">
        <v>0</v>
      </c>
      <c r="S516" s="639">
        <v>0</v>
      </c>
      <c r="T516" s="813"/>
      <c r="V516" s="641">
        <f t="shared" si="207"/>
        <v>0</v>
      </c>
      <c r="W516" s="715">
        <f t="shared" si="208"/>
        <v>0</v>
      </c>
      <c r="X516" s="1016"/>
      <c r="Y516" s="675"/>
      <c r="AA516" s="675"/>
      <c r="AC516" s="675"/>
      <c r="AE516" s="675"/>
      <c r="AL516" s="489"/>
      <c r="AM516" s="489"/>
      <c r="AN516" s="489"/>
      <c r="AO516" s="489"/>
      <c r="AP516" s="489"/>
      <c r="AQ516" s="489"/>
      <c r="AR516" s="489"/>
      <c r="AS516" s="489"/>
    </row>
    <row r="517" spans="1:45" s="484" customFormat="1" ht="14.5">
      <c r="A517" s="695" t="s">
        <v>1299</v>
      </c>
      <c r="B517" s="647"/>
      <c r="C517" s="644"/>
      <c r="D517" s="644"/>
      <c r="E517" s="639">
        <v>0</v>
      </c>
      <c r="F517" s="705"/>
      <c r="G517" s="639">
        <v>0</v>
      </c>
      <c r="H517" s="639">
        <v>0</v>
      </c>
      <c r="I517" s="639">
        <v>0</v>
      </c>
      <c r="J517" s="639">
        <v>0</v>
      </c>
      <c r="K517" s="639">
        <v>0</v>
      </c>
      <c r="L517" s="639">
        <v>0</v>
      </c>
      <c r="M517" s="639">
        <v>0</v>
      </c>
      <c r="N517" s="639">
        <v>0</v>
      </c>
      <c r="O517" s="639">
        <v>0</v>
      </c>
      <c r="P517" s="639">
        <v>0</v>
      </c>
      <c r="Q517" s="639">
        <v>0</v>
      </c>
      <c r="R517" s="639">
        <v>0</v>
      </c>
      <c r="S517" s="639">
        <v>0</v>
      </c>
      <c r="T517" s="813"/>
      <c r="V517" s="641">
        <f t="shared" si="207"/>
        <v>0</v>
      </c>
      <c r="W517" s="715">
        <f t="shared" si="208"/>
        <v>0</v>
      </c>
      <c r="X517" s="1016"/>
      <c r="Y517" s="675"/>
      <c r="AA517" s="675"/>
      <c r="AC517" s="675"/>
      <c r="AE517" s="675"/>
      <c r="AL517" s="489"/>
      <c r="AM517" s="489"/>
      <c r="AN517" s="489"/>
      <c r="AO517" s="489"/>
      <c r="AP517" s="489"/>
      <c r="AQ517" s="489"/>
      <c r="AR517" s="489"/>
      <c r="AS517" s="489"/>
    </row>
    <row r="518" spans="1:45" s="484" customFormat="1" ht="14.5">
      <c r="A518" s="695" t="s">
        <v>1300</v>
      </c>
      <c r="B518" s="647"/>
      <c r="C518" s="644"/>
      <c r="D518" s="644"/>
      <c r="E518" s="639">
        <v>0</v>
      </c>
      <c r="F518" s="705"/>
      <c r="G518" s="639">
        <v>0</v>
      </c>
      <c r="H518" s="639">
        <v>0</v>
      </c>
      <c r="I518" s="639">
        <v>0</v>
      </c>
      <c r="J518" s="639">
        <v>0</v>
      </c>
      <c r="K518" s="639">
        <v>0</v>
      </c>
      <c r="L518" s="639">
        <v>0</v>
      </c>
      <c r="M518" s="639">
        <v>0</v>
      </c>
      <c r="N518" s="639">
        <v>0</v>
      </c>
      <c r="O518" s="639">
        <v>0</v>
      </c>
      <c r="P518" s="639">
        <v>0</v>
      </c>
      <c r="Q518" s="639">
        <v>0</v>
      </c>
      <c r="R518" s="639">
        <v>0</v>
      </c>
      <c r="S518" s="639">
        <v>0</v>
      </c>
      <c r="T518" s="813"/>
      <c r="V518" s="641">
        <f t="shared" si="207"/>
        <v>0</v>
      </c>
      <c r="W518" s="715">
        <f t="shared" si="208"/>
        <v>0</v>
      </c>
      <c r="X518" s="1016"/>
      <c r="Y518" s="675"/>
      <c r="AA518" s="675"/>
      <c r="AC518" s="675"/>
      <c r="AE518" s="675"/>
      <c r="AL518" s="489"/>
      <c r="AM518" s="489"/>
      <c r="AN518" s="489"/>
      <c r="AO518" s="489"/>
      <c r="AP518" s="489"/>
      <c r="AQ518" s="489"/>
      <c r="AR518" s="489"/>
      <c r="AS518" s="489"/>
    </row>
    <row r="519" spans="1:45" s="484" customFormat="1" ht="14.5">
      <c r="A519" s="695" t="s">
        <v>1301</v>
      </c>
      <c r="B519" s="647"/>
      <c r="C519" s="644"/>
      <c r="D519" s="644"/>
      <c r="E519" s="639">
        <v>0</v>
      </c>
      <c r="F519" s="705"/>
      <c r="G519" s="639">
        <v>0</v>
      </c>
      <c r="H519" s="639">
        <v>0</v>
      </c>
      <c r="I519" s="639">
        <v>0</v>
      </c>
      <c r="J519" s="639">
        <v>0</v>
      </c>
      <c r="K519" s="639">
        <v>0</v>
      </c>
      <c r="L519" s="639">
        <v>0</v>
      </c>
      <c r="M519" s="639">
        <v>0</v>
      </c>
      <c r="N519" s="639">
        <v>0</v>
      </c>
      <c r="O519" s="639">
        <v>0</v>
      </c>
      <c r="P519" s="639">
        <v>0</v>
      </c>
      <c r="Q519" s="639">
        <v>0</v>
      </c>
      <c r="R519" s="639">
        <v>0</v>
      </c>
      <c r="S519" s="639">
        <v>0</v>
      </c>
      <c r="T519" s="813"/>
      <c r="V519" s="641">
        <f t="shared" si="207"/>
        <v>0</v>
      </c>
      <c r="W519" s="715">
        <f t="shared" si="208"/>
        <v>0</v>
      </c>
      <c r="X519" s="1016"/>
      <c r="Y519" s="675"/>
      <c r="AA519" s="675"/>
      <c r="AC519" s="675"/>
      <c r="AE519" s="675"/>
      <c r="AL519" s="489"/>
      <c r="AM519" s="489"/>
      <c r="AN519" s="489"/>
      <c r="AO519" s="489"/>
      <c r="AP519" s="489"/>
      <c r="AQ519" s="489"/>
      <c r="AR519" s="489"/>
      <c r="AS519" s="489"/>
    </row>
    <row r="520" spans="1:45" s="484" customFormat="1" ht="14.5">
      <c r="A520" s="695" t="s">
        <v>1302</v>
      </c>
      <c r="B520" s="647"/>
      <c r="C520" s="644"/>
      <c r="D520" s="644"/>
      <c r="E520" s="639">
        <v>0</v>
      </c>
      <c r="F520" s="705"/>
      <c r="G520" s="639">
        <v>0</v>
      </c>
      <c r="H520" s="639">
        <v>0</v>
      </c>
      <c r="I520" s="639">
        <v>0</v>
      </c>
      <c r="J520" s="639">
        <v>0</v>
      </c>
      <c r="K520" s="639">
        <v>0</v>
      </c>
      <c r="L520" s="639">
        <v>0</v>
      </c>
      <c r="M520" s="639">
        <v>0</v>
      </c>
      <c r="N520" s="639">
        <v>0</v>
      </c>
      <c r="O520" s="639">
        <v>0</v>
      </c>
      <c r="P520" s="639">
        <v>0</v>
      </c>
      <c r="Q520" s="639">
        <v>0</v>
      </c>
      <c r="R520" s="639">
        <v>0</v>
      </c>
      <c r="S520" s="639">
        <v>0</v>
      </c>
      <c r="T520" s="813"/>
      <c r="V520" s="641">
        <f t="shared" si="207"/>
        <v>0</v>
      </c>
      <c r="W520" s="715">
        <f t="shared" si="208"/>
        <v>0</v>
      </c>
      <c r="X520" s="1016"/>
      <c r="Y520" s="675"/>
      <c r="AA520" s="675"/>
      <c r="AC520" s="675"/>
      <c r="AE520" s="675"/>
      <c r="AL520" s="489"/>
      <c r="AM520" s="489"/>
      <c r="AN520" s="489"/>
      <c r="AO520" s="489"/>
      <c r="AP520" s="489"/>
      <c r="AQ520" s="489"/>
      <c r="AR520" s="489"/>
      <c r="AS520" s="489"/>
    </row>
    <row r="521" spans="1:45" s="484" customFormat="1" ht="14.5">
      <c r="A521" s="695" t="s">
        <v>1303</v>
      </c>
      <c r="B521" s="647"/>
      <c r="C521" s="644"/>
      <c r="D521" s="644"/>
      <c r="E521" s="639">
        <v>0</v>
      </c>
      <c r="F521" s="705"/>
      <c r="G521" s="639">
        <v>0</v>
      </c>
      <c r="H521" s="639">
        <v>0</v>
      </c>
      <c r="I521" s="639">
        <v>0</v>
      </c>
      <c r="J521" s="639">
        <v>0</v>
      </c>
      <c r="K521" s="639">
        <v>0</v>
      </c>
      <c r="L521" s="639">
        <v>0</v>
      </c>
      <c r="M521" s="639">
        <v>0</v>
      </c>
      <c r="N521" s="639">
        <v>0</v>
      </c>
      <c r="O521" s="639">
        <v>0</v>
      </c>
      <c r="P521" s="639">
        <v>0</v>
      </c>
      <c r="Q521" s="639">
        <v>0</v>
      </c>
      <c r="R521" s="639">
        <v>0</v>
      </c>
      <c r="S521" s="639">
        <v>0</v>
      </c>
      <c r="T521" s="813"/>
      <c r="V521" s="641">
        <f t="shared" si="207"/>
        <v>0</v>
      </c>
      <c r="W521" s="715">
        <f t="shared" si="208"/>
        <v>0</v>
      </c>
      <c r="X521" s="1016"/>
      <c r="Y521" s="675"/>
      <c r="AA521" s="675"/>
      <c r="AC521" s="675"/>
      <c r="AE521" s="675"/>
      <c r="AL521" s="489"/>
      <c r="AM521" s="489"/>
      <c r="AN521" s="489"/>
      <c r="AO521" s="489"/>
      <c r="AP521" s="489"/>
      <c r="AQ521" s="489"/>
      <c r="AR521" s="489"/>
      <c r="AS521" s="489"/>
    </row>
    <row r="522" spans="1:45" s="484" customFormat="1" ht="14.5">
      <c r="A522" s="695" t="s">
        <v>1304</v>
      </c>
      <c r="B522" s="647"/>
      <c r="C522" s="644"/>
      <c r="D522" s="644"/>
      <c r="E522" s="639">
        <v>0</v>
      </c>
      <c r="F522" s="705"/>
      <c r="G522" s="639">
        <v>0</v>
      </c>
      <c r="H522" s="639">
        <v>0</v>
      </c>
      <c r="I522" s="639">
        <v>0</v>
      </c>
      <c r="J522" s="639">
        <v>0</v>
      </c>
      <c r="K522" s="639">
        <v>0</v>
      </c>
      <c r="L522" s="639">
        <v>0</v>
      </c>
      <c r="M522" s="639">
        <v>0</v>
      </c>
      <c r="N522" s="639">
        <v>0</v>
      </c>
      <c r="O522" s="639">
        <v>0</v>
      </c>
      <c r="P522" s="639">
        <v>0</v>
      </c>
      <c r="Q522" s="639">
        <v>0</v>
      </c>
      <c r="R522" s="639">
        <v>0</v>
      </c>
      <c r="S522" s="639">
        <v>0</v>
      </c>
      <c r="T522" s="813"/>
      <c r="V522" s="641">
        <f t="shared" si="207"/>
        <v>0</v>
      </c>
      <c r="W522" s="715">
        <f t="shared" si="208"/>
        <v>0</v>
      </c>
      <c r="X522" s="1016"/>
      <c r="Y522" s="675"/>
      <c r="AA522" s="675"/>
      <c r="AC522" s="675"/>
      <c r="AE522" s="675"/>
      <c r="AL522" s="489"/>
      <c r="AM522" s="489"/>
      <c r="AN522" s="489"/>
      <c r="AO522" s="489"/>
      <c r="AP522" s="489"/>
      <c r="AQ522" s="489"/>
      <c r="AR522" s="489"/>
      <c r="AS522" s="489"/>
    </row>
    <row r="523" spans="1:45" s="484" customFormat="1" ht="14.5">
      <c r="A523" s="695" t="s">
        <v>1305</v>
      </c>
      <c r="B523" s="647"/>
      <c r="C523" s="644"/>
      <c r="D523" s="644"/>
      <c r="E523" s="639">
        <v>0</v>
      </c>
      <c r="F523" s="705"/>
      <c r="G523" s="639">
        <v>0</v>
      </c>
      <c r="H523" s="639">
        <v>0</v>
      </c>
      <c r="I523" s="639">
        <v>0</v>
      </c>
      <c r="J523" s="639">
        <v>0</v>
      </c>
      <c r="K523" s="639">
        <v>0</v>
      </c>
      <c r="L523" s="639">
        <v>0</v>
      </c>
      <c r="M523" s="639">
        <v>0</v>
      </c>
      <c r="N523" s="639">
        <v>0</v>
      </c>
      <c r="O523" s="639">
        <v>0</v>
      </c>
      <c r="P523" s="639">
        <v>0</v>
      </c>
      <c r="Q523" s="639">
        <v>0</v>
      </c>
      <c r="R523" s="639">
        <v>0</v>
      </c>
      <c r="S523" s="639">
        <v>0</v>
      </c>
      <c r="T523" s="813"/>
      <c r="V523" s="641">
        <f t="shared" si="207"/>
        <v>0</v>
      </c>
      <c r="W523" s="715">
        <f t="shared" si="208"/>
        <v>0</v>
      </c>
      <c r="X523" s="1016"/>
      <c r="Y523" s="675"/>
      <c r="AA523" s="675"/>
      <c r="AC523" s="675"/>
      <c r="AE523" s="675"/>
      <c r="AL523" s="489"/>
      <c r="AM523" s="489"/>
      <c r="AN523" s="489"/>
      <c r="AO523" s="489"/>
      <c r="AP523" s="489"/>
      <c r="AQ523" s="489"/>
      <c r="AR523" s="489"/>
      <c r="AS523" s="489"/>
    </row>
    <row r="524" spans="1:45" s="484" customFormat="1" ht="14.5">
      <c r="A524" s="695" t="s">
        <v>1306</v>
      </c>
      <c r="B524" s="647"/>
      <c r="C524" s="644"/>
      <c r="D524" s="644"/>
      <c r="E524" s="639">
        <v>0</v>
      </c>
      <c r="F524" s="705"/>
      <c r="G524" s="639">
        <v>0</v>
      </c>
      <c r="H524" s="639">
        <v>0</v>
      </c>
      <c r="I524" s="639">
        <v>0</v>
      </c>
      <c r="J524" s="639">
        <v>0</v>
      </c>
      <c r="K524" s="639">
        <v>0</v>
      </c>
      <c r="L524" s="639">
        <v>0</v>
      </c>
      <c r="M524" s="639">
        <v>0</v>
      </c>
      <c r="N524" s="639">
        <v>0</v>
      </c>
      <c r="O524" s="639">
        <v>0</v>
      </c>
      <c r="P524" s="639">
        <v>0</v>
      </c>
      <c r="Q524" s="639">
        <v>0</v>
      </c>
      <c r="R524" s="639">
        <v>0</v>
      </c>
      <c r="S524" s="639">
        <v>0</v>
      </c>
      <c r="T524" s="813"/>
      <c r="V524" s="641">
        <f t="shared" si="207"/>
        <v>0</v>
      </c>
      <c r="W524" s="715">
        <f t="shared" si="208"/>
        <v>0</v>
      </c>
      <c r="X524" s="1016"/>
      <c r="Y524" s="675"/>
      <c r="AA524" s="675"/>
      <c r="AC524" s="675"/>
      <c r="AE524" s="675"/>
      <c r="AL524" s="489"/>
      <c r="AM524" s="489"/>
      <c r="AN524" s="489"/>
      <c r="AO524" s="489"/>
      <c r="AP524" s="489"/>
      <c r="AQ524" s="489"/>
      <c r="AR524" s="489"/>
      <c r="AS524" s="489"/>
    </row>
    <row r="525" spans="1:45" s="484" customFormat="1" ht="14.5">
      <c r="A525" s="695" t="s">
        <v>1307</v>
      </c>
      <c r="B525" s="647"/>
      <c r="C525" s="644"/>
      <c r="D525" s="644"/>
      <c r="E525" s="639">
        <v>0</v>
      </c>
      <c r="F525" s="705"/>
      <c r="G525" s="639">
        <v>0</v>
      </c>
      <c r="H525" s="639">
        <v>0</v>
      </c>
      <c r="I525" s="639">
        <v>0</v>
      </c>
      <c r="J525" s="639">
        <v>0</v>
      </c>
      <c r="K525" s="639">
        <v>0</v>
      </c>
      <c r="L525" s="639">
        <v>0</v>
      </c>
      <c r="M525" s="639">
        <v>0</v>
      </c>
      <c r="N525" s="639">
        <v>25000000000</v>
      </c>
      <c r="O525" s="639">
        <v>25000000000</v>
      </c>
      <c r="P525" s="639">
        <v>25000000000</v>
      </c>
      <c r="Q525" s="639">
        <v>25000000000</v>
      </c>
      <c r="R525" s="639">
        <v>25000000000</v>
      </c>
      <c r="S525" s="639">
        <v>25000000000</v>
      </c>
      <c r="T525" s="813"/>
      <c r="V525" s="641">
        <f t="shared" si="207"/>
        <v>25000000000</v>
      </c>
      <c r="W525" s="715">
        <f t="shared" si="208"/>
        <v>4.016736654482044E-3</v>
      </c>
      <c r="X525" s="1016"/>
      <c r="Y525" s="675"/>
      <c r="AA525" s="675"/>
      <c r="AC525" s="675"/>
      <c r="AE525" s="675"/>
      <c r="AL525" s="489"/>
      <c r="AM525" s="489"/>
      <c r="AN525" s="489"/>
      <c r="AO525" s="489"/>
      <c r="AP525" s="489"/>
      <c r="AQ525" s="489"/>
      <c r="AR525" s="489"/>
      <c r="AS525" s="489"/>
    </row>
    <row r="526" spans="1:45" s="484" customFormat="1" ht="14.5">
      <c r="A526" s="695" t="s">
        <v>1308</v>
      </c>
      <c r="B526" s="647"/>
      <c r="C526" s="644"/>
      <c r="D526" s="644"/>
      <c r="E526" s="639">
        <v>0</v>
      </c>
      <c r="F526" s="705"/>
      <c r="G526" s="639">
        <v>0</v>
      </c>
      <c r="H526" s="639">
        <v>0</v>
      </c>
      <c r="I526" s="639">
        <v>0</v>
      </c>
      <c r="J526" s="639">
        <v>0</v>
      </c>
      <c r="K526" s="639">
        <v>0</v>
      </c>
      <c r="L526" s="639">
        <v>0</v>
      </c>
      <c r="M526" s="639">
        <v>0</v>
      </c>
      <c r="N526" s="639">
        <v>0</v>
      </c>
      <c r="O526" s="639">
        <v>0</v>
      </c>
      <c r="P526" s="639">
        <v>0</v>
      </c>
      <c r="Q526" s="639">
        <v>0</v>
      </c>
      <c r="R526" s="639">
        <v>0</v>
      </c>
      <c r="S526" s="639">
        <v>0</v>
      </c>
      <c r="T526" s="813"/>
      <c r="V526" s="641">
        <f t="shared" si="207"/>
        <v>0</v>
      </c>
      <c r="W526" s="715">
        <f t="shared" si="208"/>
        <v>0</v>
      </c>
      <c r="X526" s="1016"/>
      <c r="Y526" s="675"/>
      <c r="AA526" s="675"/>
      <c r="AC526" s="675"/>
      <c r="AE526" s="675"/>
      <c r="AL526" s="489"/>
      <c r="AM526" s="489"/>
      <c r="AN526" s="489"/>
      <c r="AO526" s="489"/>
      <c r="AP526" s="489"/>
      <c r="AQ526" s="489"/>
      <c r="AR526" s="489"/>
      <c r="AS526" s="489"/>
    </row>
    <row r="527" spans="1:45" s="484" customFormat="1" ht="14.5">
      <c r="A527" s="695" t="s">
        <v>1309</v>
      </c>
      <c r="B527" s="647"/>
      <c r="C527" s="644"/>
      <c r="D527" s="644"/>
      <c r="E527" s="639"/>
      <c r="F527" s="705"/>
      <c r="G527" s="639"/>
      <c r="H527" s="639"/>
      <c r="I527" s="639"/>
      <c r="J527" s="639"/>
      <c r="K527" s="639"/>
      <c r="L527" s="639"/>
      <c r="M527" s="639"/>
      <c r="N527" s="639"/>
      <c r="O527" s="639"/>
      <c r="P527" s="639"/>
      <c r="Q527" s="639"/>
      <c r="R527" s="639"/>
      <c r="S527" s="639"/>
      <c r="T527" s="813"/>
      <c r="V527" s="641">
        <f t="shared" si="207"/>
        <v>0</v>
      </c>
      <c r="W527" s="715">
        <f t="shared" si="208"/>
        <v>0</v>
      </c>
      <c r="X527" s="1016"/>
      <c r="Y527" s="675"/>
      <c r="AA527" s="675"/>
      <c r="AC527" s="675"/>
      <c r="AE527" s="675"/>
      <c r="AL527" s="489"/>
      <c r="AM527" s="489"/>
      <c r="AN527" s="489"/>
      <c r="AO527" s="489"/>
      <c r="AP527" s="489"/>
      <c r="AQ527" s="489"/>
      <c r="AR527" s="489"/>
      <c r="AS527" s="489"/>
    </row>
    <row r="528" spans="1:45" s="484" customFormat="1" ht="14.5">
      <c r="A528" s="695"/>
      <c r="B528" s="647"/>
      <c r="C528" s="644"/>
      <c r="D528" s="644"/>
      <c r="E528" s="644"/>
      <c r="F528" s="705"/>
      <c r="G528" s="639"/>
      <c r="H528" s="493"/>
      <c r="I528" s="493"/>
      <c r="J528" s="493"/>
      <c r="K528" s="493"/>
      <c r="L528" s="493"/>
      <c r="M528" s="493"/>
      <c r="N528" s="493"/>
      <c r="O528" s="493"/>
      <c r="P528" s="493"/>
      <c r="Q528" s="493"/>
      <c r="R528" s="493"/>
      <c r="S528" s="493"/>
      <c r="T528" s="794"/>
      <c r="V528" s="641">
        <f t="shared" si="207"/>
        <v>0</v>
      </c>
      <c r="W528" s="715">
        <f t="shared" si="208"/>
        <v>0</v>
      </c>
      <c r="X528" s="1016"/>
      <c r="Y528" s="675"/>
      <c r="AA528" s="675"/>
      <c r="AC528" s="675"/>
      <c r="AE528" s="675"/>
      <c r="AL528" s="489"/>
      <c r="AM528" s="489"/>
      <c r="AN528" s="489"/>
      <c r="AO528" s="489"/>
      <c r="AP528" s="489"/>
      <c r="AQ528" s="489"/>
      <c r="AR528" s="489"/>
      <c r="AS528" s="489"/>
    </row>
    <row r="529" spans="1:45" s="484" customFormat="1">
      <c r="A529" s="714" t="s">
        <v>1135</v>
      </c>
      <c r="B529" s="727">
        <v>191512506424.56</v>
      </c>
      <c r="C529" s="728"/>
      <c r="D529" s="728">
        <f>SUM(D493:D507)</f>
        <v>0</v>
      </c>
      <c r="E529" s="728">
        <f>SUM(E493:E528)</f>
        <v>731715674.6099999</v>
      </c>
      <c r="F529" s="721">
        <f t="shared" ref="F529:V529" si="213">SUM(F493:F528)</f>
        <v>0</v>
      </c>
      <c r="G529" s="728">
        <f t="shared" si="213"/>
        <v>11463431349.219999</v>
      </c>
      <c r="H529" s="728">
        <f t="shared" si="213"/>
        <v>14663431349.219999</v>
      </c>
      <c r="I529" s="728">
        <f t="shared" si="213"/>
        <v>18863431349.219997</v>
      </c>
      <c r="J529" s="728">
        <f t="shared" si="213"/>
        <v>25063431349.219997</v>
      </c>
      <c r="K529" s="728">
        <f t="shared" si="213"/>
        <v>36463431349.220001</v>
      </c>
      <c r="L529" s="728">
        <f t="shared" si="213"/>
        <v>52563431349.220001</v>
      </c>
      <c r="M529" s="728">
        <f t="shared" si="213"/>
        <v>71663431349.220001</v>
      </c>
      <c r="N529" s="728">
        <f t="shared" si="213"/>
        <v>115763431349.22</v>
      </c>
      <c r="O529" s="728">
        <f t="shared" si="213"/>
        <v>135463431349.22</v>
      </c>
      <c r="P529" s="728">
        <f t="shared" si="213"/>
        <v>155163431349.22</v>
      </c>
      <c r="Q529" s="728">
        <f t="shared" si="213"/>
        <v>174863431349.22</v>
      </c>
      <c r="R529" s="728">
        <f>SUM(R493:R528)</f>
        <v>194563431349.22</v>
      </c>
      <c r="S529" s="728">
        <f>SUM(S493:S528)</f>
        <v>214263431349.22</v>
      </c>
      <c r="T529" s="826"/>
      <c r="V529" s="728">
        <f t="shared" si="213"/>
        <v>214263431349.22</v>
      </c>
      <c r="W529" s="715">
        <f t="shared" si="208"/>
        <v>3.4425591136620359E-2</v>
      </c>
      <c r="X529" s="1025"/>
      <c r="Y529" s="729">
        <f>SUM(Y493:Y510)-Y502</f>
        <v>177196117619.064</v>
      </c>
      <c r="Z529" s="730">
        <f>Y529/V529-1</f>
        <v>-0.17299878703865879</v>
      </c>
      <c r="AA529" s="729">
        <f>SUM(AA493:AA510)-AA502</f>
        <v>248074564666.68958</v>
      </c>
      <c r="AB529" s="730">
        <f>+AA529/Y529-1</f>
        <v>0.39999999999999991</v>
      </c>
      <c r="AC529" s="729">
        <f>SUM(AC493:AC510)-AC502</f>
        <v>372111847000.03436</v>
      </c>
      <c r="AD529" s="730">
        <f>+AC529/AA529-1</f>
        <v>0.5</v>
      </c>
      <c r="AE529" s="729">
        <f>SUM(AE493:AE510)-AE502</f>
        <v>465139808750.04297</v>
      </c>
      <c r="AF529" s="730">
        <f>+AE529/AC529-1</f>
        <v>0.25</v>
      </c>
      <c r="AL529" s="489"/>
      <c r="AM529" s="489"/>
      <c r="AN529" s="489"/>
      <c r="AO529" s="489"/>
      <c r="AP529" s="489"/>
      <c r="AQ529" s="489"/>
      <c r="AR529" s="489"/>
      <c r="AS529" s="489"/>
    </row>
    <row r="530" spans="1:45" s="745" customFormat="1">
      <c r="A530" s="740"/>
      <c r="B530" s="741"/>
      <c r="C530" s="742"/>
      <c r="D530" s="742"/>
      <c r="E530" s="742"/>
      <c r="F530" s="721"/>
      <c r="G530" s="742"/>
      <c r="H530" s="742"/>
      <c r="I530" s="742"/>
      <c r="J530" s="742"/>
      <c r="K530" s="742"/>
      <c r="L530" s="742"/>
      <c r="M530" s="742"/>
      <c r="N530" s="742"/>
      <c r="O530" s="742"/>
      <c r="P530" s="728"/>
      <c r="Q530" s="742"/>
      <c r="R530" s="742"/>
      <c r="S530" s="742"/>
      <c r="T530" s="826"/>
      <c r="V530" s="742"/>
      <c r="W530" s="743"/>
      <c r="X530" s="1027"/>
      <c r="Y530" s="744"/>
      <c r="Z530" s="743"/>
      <c r="AA530" s="744"/>
      <c r="AB530" s="743"/>
      <c r="AC530" s="744"/>
      <c r="AD530" s="743"/>
      <c r="AE530" s="744"/>
      <c r="AF530" s="743"/>
    </row>
    <row r="531" spans="1:45" s="725" customFormat="1">
      <c r="A531" s="719"/>
      <c r="B531" s="720">
        <v>0</v>
      </c>
      <c r="C531" s="720"/>
      <c r="D531" s="720"/>
      <c r="E531" s="720"/>
      <c r="F531" s="721"/>
      <c r="G531" s="722"/>
      <c r="H531" s="722"/>
      <c r="I531" s="722"/>
      <c r="J531" s="722"/>
      <c r="K531" s="722"/>
      <c r="L531" s="722"/>
      <c r="M531" s="722"/>
      <c r="N531" s="722"/>
      <c r="O531" s="722"/>
      <c r="P531" s="722"/>
      <c r="Q531" s="722"/>
      <c r="R531" s="722"/>
      <c r="S531" s="722"/>
      <c r="T531" s="825"/>
      <c r="V531" s="746"/>
      <c r="W531" s="723"/>
      <c r="X531" s="1024"/>
      <c r="Y531" s="747" t="e">
        <v>#REF!</v>
      </c>
      <c r="Z531" s="484"/>
      <c r="AA531" s="747" t="e">
        <v>#REF!</v>
      </c>
      <c r="AB531" s="484"/>
      <c r="AC531" s="747" t="e">
        <v>#REF!</v>
      </c>
      <c r="AD531" s="484"/>
      <c r="AE531" s="747" t="e">
        <v>#REF!</v>
      </c>
      <c r="AF531" s="748"/>
    </row>
    <row r="532" spans="1:45" s="484" customFormat="1">
      <c r="A532" s="490" t="s">
        <v>1322</v>
      </c>
      <c r="B532" s="633" t="s">
        <v>1273</v>
      </c>
      <c r="C532" s="634"/>
      <c r="D532" s="693" t="s">
        <v>1313</v>
      </c>
      <c r="E532" s="690">
        <v>42613</v>
      </c>
      <c r="F532" s="711"/>
      <c r="G532" s="690">
        <v>42735</v>
      </c>
      <c r="H532" s="690">
        <v>42736</v>
      </c>
      <c r="I532" s="690">
        <v>42768</v>
      </c>
      <c r="J532" s="690">
        <v>42800</v>
      </c>
      <c r="K532" s="690">
        <v>42832</v>
      </c>
      <c r="L532" s="690">
        <v>42864</v>
      </c>
      <c r="M532" s="690">
        <v>42896</v>
      </c>
      <c r="N532" s="690">
        <v>42928</v>
      </c>
      <c r="O532" s="690">
        <v>42960</v>
      </c>
      <c r="P532" s="690">
        <v>42992</v>
      </c>
      <c r="Q532" s="690">
        <v>43024</v>
      </c>
      <c r="R532" s="690">
        <v>43056</v>
      </c>
      <c r="S532" s="690">
        <v>43088</v>
      </c>
      <c r="T532" s="822"/>
      <c r="V532" s="690" t="s">
        <v>1159</v>
      </c>
      <c r="W532" s="660"/>
      <c r="X532" s="1014"/>
      <c r="Y532" s="634"/>
      <c r="Z532" s="634"/>
      <c r="AA532" s="661"/>
      <c r="AB532" s="661"/>
      <c r="AC532" s="661"/>
      <c r="AD532" s="661"/>
      <c r="AE532" s="661"/>
      <c r="AF532" s="661"/>
      <c r="AL532" s="489"/>
      <c r="AM532" s="489"/>
      <c r="AN532" s="489"/>
      <c r="AO532" s="489"/>
      <c r="AP532" s="489"/>
      <c r="AQ532" s="489"/>
      <c r="AR532" s="489"/>
      <c r="AS532" s="489"/>
    </row>
    <row r="533" spans="1:45" s="484" customFormat="1">
      <c r="A533" s="695" t="s">
        <v>1275</v>
      </c>
      <c r="B533" s="638">
        <v>2891247907</v>
      </c>
      <c r="C533" s="639"/>
      <c r="D533" s="639"/>
      <c r="E533" s="639">
        <v>1719720095.8</v>
      </c>
      <c r="F533" s="703"/>
      <c r="G533" s="639">
        <v>1711702718.23</v>
      </c>
      <c r="H533" s="639">
        <v>1711702718.23</v>
      </c>
      <c r="I533" s="639">
        <v>1711702718.23</v>
      </c>
      <c r="J533" s="639">
        <v>1711702718.23</v>
      </c>
      <c r="K533" s="639">
        <v>1711702718.23</v>
      </c>
      <c r="L533" s="639">
        <v>1711702718.23</v>
      </c>
      <c r="M533" s="639">
        <v>1711702718.23</v>
      </c>
      <c r="N533" s="639">
        <v>1711702718.23</v>
      </c>
      <c r="O533" s="639">
        <v>1711702718.23</v>
      </c>
      <c r="P533" s="639">
        <v>1711702718.23</v>
      </c>
      <c r="Q533" s="639">
        <v>1711702718.23</v>
      </c>
      <c r="R533" s="639">
        <v>1711702718.23</v>
      </c>
      <c r="S533" s="639">
        <v>1711702718.23</v>
      </c>
      <c r="T533" s="813"/>
      <c r="V533" s="641">
        <f t="shared" ref="V533:V568" si="214">+S533</f>
        <v>1711702718.23</v>
      </c>
      <c r="W533" s="715">
        <f>+V533/$V$256</f>
        <v>2.7501836199563966E-4</v>
      </c>
      <c r="X533" s="1015"/>
      <c r="Y533" s="675">
        <f>+V533*(100%+$Y$16)</f>
        <v>2054043261.8759999</v>
      </c>
      <c r="Z533" s="664"/>
      <c r="AA533" s="675">
        <f>+Y533*(100%+$AA$16)</f>
        <v>2875660566.6263995</v>
      </c>
      <c r="AB533" s="664"/>
      <c r="AC533" s="675">
        <f>+AA533*(100%+$AC$16)</f>
        <v>4313490849.939599</v>
      </c>
      <c r="AD533" s="664"/>
      <c r="AE533" s="675">
        <f>+AC533*(100%+$AE$16)</f>
        <v>5391863562.4244986</v>
      </c>
      <c r="AF533" s="664"/>
      <c r="AL533" s="489"/>
      <c r="AM533" s="489"/>
      <c r="AN533" s="489"/>
      <c r="AO533" s="489"/>
      <c r="AP533" s="489"/>
      <c r="AQ533" s="489"/>
      <c r="AR533" s="489"/>
      <c r="AS533" s="489"/>
    </row>
    <row r="534" spans="1:45" s="484" customFormat="1" ht="14.5">
      <c r="A534" s="695" t="s">
        <v>1276</v>
      </c>
      <c r="B534" s="647"/>
      <c r="C534" s="644"/>
      <c r="D534" s="644"/>
      <c r="E534" s="639">
        <v>218071148.495</v>
      </c>
      <c r="F534" s="705"/>
      <c r="G534" s="639">
        <v>209527414.81999999</v>
      </c>
      <c r="H534" s="639">
        <v>209527414.81999999</v>
      </c>
      <c r="I534" s="639">
        <v>209527414.81999999</v>
      </c>
      <c r="J534" s="639">
        <v>209527414.81999999</v>
      </c>
      <c r="K534" s="639">
        <v>209527414.81999999</v>
      </c>
      <c r="L534" s="639">
        <v>209527414.81999999</v>
      </c>
      <c r="M534" s="639">
        <v>209527414.81999999</v>
      </c>
      <c r="N534" s="639">
        <v>209527414.81999999</v>
      </c>
      <c r="O534" s="639">
        <v>209527414.81999999</v>
      </c>
      <c r="P534" s="639">
        <v>209527414.81999999</v>
      </c>
      <c r="Q534" s="639">
        <v>209527414.81999999</v>
      </c>
      <c r="R534" s="639">
        <v>209527414.81999999</v>
      </c>
      <c r="S534" s="639">
        <v>209527414.81999999</v>
      </c>
      <c r="T534" s="813"/>
      <c r="V534" s="641">
        <f t="shared" si="214"/>
        <v>209527414.81999999</v>
      </c>
      <c r="W534" s="715">
        <f t="shared" ref="W534:W570" si="215">+V534/$V$256</f>
        <v>3.3664657889054325E-5</v>
      </c>
      <c r="X534" s="1016"/>
      <c r="Y534" s="675">
        <f t="shared" ref="Y534:Y550" si="216">+V534*(100%+$Y$16)</f>
        <v>251432897.78399998</v>
      </c>
      <c r="Z534" s="670"/>
      <c r="AA534" s="675">
        <f>+Y534*(100%+$AA$16)</f>
        <v>352006056.89759994</v>
      </c>
      <c r="AB534" s="670"/>
      <c r="AC534" s="675">
        <f>+AA534*(100%+$AC$16)</f>
        <v>528009085.3463999</v>
      </c>
      <c r="AD534" s="670"/>
      <c r="AE534" s="675">
        <f>+AC534*(100%+$AE$16)</f>
        <v>660011356.68299985</v>
      </c>
      <c r="AF534" s="670"/>
      <c r="AL534" s="489"/>
      <c r="AM534" s="489"/>
      <c r="AN534" s="489"/>
      <c r="AO534" s="489"/>
      <c r="AP534" s="489"/>
      <c r="AQ534" s="489"/>
      <c r="AR534" s="489"/>
      <c r="AS534" s="489"/>
    </row>
    <row r="535" spans="1:45" s="484" customFormat="1">
      <c r="A535" s="695" t="s">
        <v>1277</v>
      </c>
      <c r="B535" s="638">
        <v>20896385642</v>
      </c>
      <c r="C535" s="639"/>
      <c r="D535" s="639"/>
      <c r="E535" s="639">
        <v>14734799.141899999</v>
      </c>
      <c r="F535" s="703"/>
      <c r="G535" s="639">
        <v>777829052.63999999</v>
      </c>
      <c r="H535" s="639">
        <v>777829052.63999999</v>
      </c>
      <c r="I535" s="639">
        <v>777829052.63999999</v>
      </c>
      <c r="J535" s="639">
        <v>777829052.63999999</v>
      </c>
      <c r="K535" s="639">
        <v>777829052.63999999</v>
      </c>
      <c r="L535" s="639">
        <v>777829052.63999999</v>
      </c>
      <c r="M535" s="639">
        <v>777829052.63999999</v>
      </c>
      <c r="N535" s="639">
        <v>777829052.63999999</v>
      </c>
      <c r="O535" s="639">
        <v>777829052.63999999</v>
      </c>
      <c r="P535" s="639">
        <v>777829052.63999999</v>
      </c>
      <c r="Q535" s="639">
        <v>777829052.63999999</v>
      </c>
      <c r="R535" s="639">
        <v>777829052.63999999</v>
      </c>
      <c r="S535" s="639">
        <v>777829052.63999999</v>
      </c>
      <c r="T535" s="813"/>
      <c r="V535" s="641">
        <f t="shared" si="214"/>
        <v>777829052.63999999</v>
      </c>
      <c r="W535" s="715">
        <f t="shared" si="215"/>
        <v>1.2497337866640524E-4</v>
      </c>
      <c r="X535" s="1015"/>
      <c r="Y535" s="675">
        <f t="shared" si="216"/>
        <v>933394863.16799998</v>
      </c>
      <c r="Z535" s="675"/>
      <c r="AA535" s="675">
        <f t="shared" ref="AA535:AA550" si="217">+Y535*(100%+$AA$16)</f>
        <v>1306752808.4352</v>
      </c>
      <c r="AB535" s="675"/>
      <c r="AC535" s="675">
        <f t="shared" ref="AC535:AC550" si="218">+AA535*(100%+$AC$16)</f>
        <v>1960129212.6528001</v>
      </c>
      <c r="AD535" s="675"/>
      <c r="AE535" s="675">
        <f t="shared" ref="AE535:AE550" si="219">+AC535*(100%+$AE$16)</f>
        <v>2450161515.816</v>
      </c>
      <c r="AF535" s="675"/>
      <c r="AL535" s="489"/>
      <c r="AM535" s="489"/>
      <c r="AN535" s="489"/>
      <c r="AO535" s="489"/>
      <c r="AP535" s="489"/>
      <c r="AQ535" s="489"/>
      <c r="AR535" s="489"/>
      <c r="AS535" s="489"/>
    </row>
    <row r="536" spans="1:45" s="484" customFormat="1" ht="14.5">
      <c r="A536" s="695" t="s">
        <v>1278</v>
      </c>
      <c r="B536" s="647"/>
      <c r="C536" s="644"/>
      <c r="D536" s="644"/>
      <c r="E536" s="639">
        <v>0</v>
      </c>
      <c r="F536" s="705"/>
      <c r="G536" s="639">
        <v>0</v>
      </c>
      <c r="H536" s="639">
        <v>0</v>
      </c>
      <c r="I536" s="639">
        <v>0</v>
      </c>
      <c r="J536" s="639">
        <v>0</v>
      </c>
      <c r="K536" s="639">
        <v>0</v>
      </c>
      <c r="L536" s="639">
        <v>0</v>
      </c>
      <c r="M536" s="639">
        <v>0</v>
      </c>
      <c r="N536" s="639">
        <v>0</v>
      </c>
      <c r="O536" s="639">
        <v>0</v>
      </c>
      <c r="P536" s="639">
        <v>0</v>
      </c>
      <c r="Q536" s="639">
        <v>0</v>
      </c>
      <c r="R536" s="639">
        <v>0</v>
      </c>
      <c r="S536" s="639">
        <v>0</v>
      </c>
      <c r="T536" s="813"/>
      <c r="V536" s="641">
        <f t="shared" si="214"/>
        <v>0</v>
      </c>
      <c r="W536" s="715">
        <f t="shared" si="215"/>
        <v>0</v>
      </c>
      <c r="X536" s="1016"/>
      <c r="Y536" s="675">
        <f t="shared" si="216"/>
        <v>0</v>
      </c>
      <c r="Z536" s="670"/>
      <c r="AA536" s="675">
        <f t="shared" si="217"/>
        <v>0</v>
      </c>
      <c r="AB536" s="670"/>
      <c r="AC536" s="675">
        <f t="shared" si="218"/>
        <v>0</v>
      </c>
      <c r="AD536" s="670"/>
      <c r="AE536" s="675">
        <f t="shared" si="219"/>
        <v>0</v>
      </c>
      <c r="AF536" s="670"/>
      <c r="AL536" s="489"/>
      <c r="AM536" s="489"/>
      <c r="AN536" s="489"/>
      <c r="AO536" s="489"/>
      <c r="AP536" s="489"/>
      <c r="AQ536" s="489"/>
      <c r="AR536" s="489"/>
      <c r="AS536" s="489"/>
    </row>
    <row r="537" spans="1:45" s="484" customFormat="1">
      <c r="A537" s="695" t="s">
        <v>1279</v>
      </c>
      <c r="B537" s="638">
        <v>12712848871</v>
      </c>
      <c r="C537" s="639"/>
      <c r="D537" s="639"/>
      <c r="E537" s="639">
        <v>9630777052.7299995</v>
      </c>
      <c r="F537" s="703"/>
      <c r="G537" s="639">
        <v>8359912127.8199997</v>
      </c>
      <c r="H537" s="639">
        <v>8359912127.8199997</v>
      </c>
      <c r="I537" s="639">
        <v>8359912127.8199997</v>
      </c>
      <c r="J537" s="639">
        <v>8359912127.8199997</v>
      </c>
      <c r="K537" s="639">
        <v>8359912127.8199997</v>
      </c>
      <c r="L537" s="639">
        <v>8359912127.8199997</v>
      </c>
      <c r="M537" s="639">
        <v>8359912127.8199997</v>
      </c>
      <c r="N537" s="639">
        <v>8359912127.8199997</v>
      </c>
      <c r="O537" s="639">
        <v>8359912127.8199997</v>
      </c>
      <c r="P537" s="639">
        <v>8359912127.8199997</v>
      </c>
      <c r="Q537" s="639">
        <v>8359912127.8199997</v>
      </c>
      <c r="R537" s="639">
        <v>8359912127.8199997</v>
      </c>
      <c r="S537" s="639">
        <v>8359912127.8199997</v>
      </c>
      <c r="T537" s="813"/>
      <c r="V537" s="641">
        <f t="shared" si="214"/>
        <v>8359912127.8199997</v>
      </c>
      <c r="W537" s="715">
        <f t="shared" si="215"/>
        <v>1.3431826188825427E-3</v>
      </c>
      <c r="X537" s="1015"/>
      <c r="Y537" s="675">
        <f t="shared" si="216"/>
        <v>10031894553.383999</v>
      </c>
      <c r="Z537" s="675"/>
      <c r="AA537" s="675">
        <f t="shared" si="217"/>
        <v>14044652374.737598</v>
      </c>
      <c r="AB537" s="675"/>
      <c r="AC537" s="675">
        <f t="shared" si="218"/>
        <v>21066978562.1064</v>
      </c>
      <c r="AD537" s="675"/>
      <c r="AE537" s="675">
        <f t="shared" si="219"/>
        <v>26333723202.632999</v>
      </c>
      <c r="AF537" s="675"/>
      <c r="AL537" s="489"/>
      <c r="AM537" s="489"/>
      <c r="AN537" s="489"/>
      <c r="AO537" s="489"/>
      <c r="AP537" s="489"/>
      <c r="AQ537" s="489"/>
      <c r="AR537" s="489"/>
      <c r="AS537" s="489"/>
    </row>
    <row r="538" spans="1:45" s="484" customFormat="1" ht="14.5">
      <c r="A538" s="695" t="s">
        <v>1280</v>
      </c>
      <c r="B538" s="647"/>
      <c r="C538" s="644"/>
      <c r="D538" s="644"/>
      <c r="E538" s="639">
        <v>0</v>
      </c>
      <c r="F538" s="705"/>
      <c r="G538" s="639">
        <v>591103338.32000005</v>
      </c>
      <c r="H538" s="639">
        <v>591103338.32000005</v>
      </c>
      <c r="I538" s="639">
        <v>591103338.32000005</v>
      </c>
      <c r="J538" s="639">
        <v>591103338.32000005</v>
      </c>
      <c r="K538" s="639">
        <v>591103338.32000005</v>
      </c>
      <c r="L538" s="639">
        <v>591103338.32000005</v>
      </c>
      <c r="M538" s="639">
        <v>591103338.32000005</v>
      </c>
      <c r="N538" s="639">
        <v>591103338.32000005</v>
      </c>
      <c r="O538" s="639">
        <v>591103338.32000005</v>
      </c>
      <c r="P538" s="639">
        <v>591103338.32000005</v>
      </c>
      <c r="Q538" s="639">
        <v>591103338.32000005</v>
      </c>
      <c r="R538" s="639">
        <v>591103338.32000005</v>
      </c>
      <c r="S538" s="639">
        <v>591103338.32000005</v>
      </c>
      <c r="T538" s="813"/>
      <c r="V538" s="641">
        <f t="shared" si="214"/>
        <v>591103338.32000005</v>
      </c>
      <c r="W538" s="715">
        <f t="shared" si="215"/>
        <v>9.497225782466579E-5</v>
      </c>
      <c r="X538" s="1016"/>
      <c r="Y538" s="675">
        <f t="shared" si="216"/>
        <v>709324005.98400009</v>
      </c>
      <c r="Z538" s="670"/>
      <c r="AA538" s="675">
        <f t="shared" si="217"/>
        <v>993053608.37760007</v>
      </c>
      <c r="AB538" s="670"/>
      <c r="AC538" s="675">
        <f t="shared" si="218"/>
        <v>1489580412.5664001</v>
      </c>
      <c r="AD538" s="670"/>
      <c r="AE538" s="675">
        <f t="shared" si="219"/>
        <v>1861975515.7080002</v>
      </c>
      <c r="AF538" s="670"/>
      <c r="AL538" s="489"/>
      <c r="AM538" s="489"/>
      <c r="AN538" s="489"/>
      <c r="AO538" s="489"/>
      <c r="AP538" s="489"/>
      <c r="AQ538" s="489"/>
      <c r="AR538" s="489"/>
      <c r="AS538" s="489"/>
    </row>
    <row r="539" spans="1:45" s="484" customFormat="1">
      <c r="A539" s="695" t="s">
        <v>1281</v>
      </c>
      <c r="B539" s="638">
        <v>5637570085</v>
      </c>
      <c r="C539" s="639"/>
      <c r="D539" s="639"/>
      <c r="E539" s="639">
        <v>98856.626799999998</v>
      </c>
      <c r="F539" s="703"/>
      <c r="G539" s="639">
        <v>101745863.45</v>
      </c>
      <c r="H539" s="639">
        <v>101745863.45</v>
      </c>
      <c r="I539" s="639">
        <v>101745863.45</v>
      </c>
      <c r="J539" s="639">
        <v>101745863.45</v>
      </c>
      <c r="K539" s="639">
        <v>101745863.45</v>
      </c>
      <c r="L539" s="639">
        <v>101745863.45</v>
      </c>
      <c r="M539" s="639">
        <v>101745863.45</v>
      </c>
      <c r="N539" s="639">
        <v>101745863.45</v>
      </c>
      <c r="O539" s="639">
        <v>101745863.45</v>
      </c>
      <c r="P539" s="639">
        <v>101745863.45</v>
      </c>
      <c r="Q539" s="639">
        <v>101745863.45</v>
      </c>
      <c r="R539" s="639">
        <v>101745863.45</v>
      </c>
      <c r="S539" s="639">
        <v>101745863.45</v>
      </c>
      <c r="T539" s="813"/>
      <c r="V539" s="641">
        <f t="shared" si="214"/>
        <v>101745863.45</v>
      </c>
      <c r="W539" s="715">
        <f t="shared" si="215"/>
        <v>1.6347453566461595E-5</v>
      </c>
      <c r="X539" s="1015"/>
      <c r="Y539" s="675">
        <f t="shared" si="216"/>
        <v>122095036.14</v>
      </c>
      <c r="Z539" s="675"/>
      <c r="AA539" s="675">
        <f t="shared" si="217"/>
        <v>170933050.59599999</v>
      </c>
      <c r="AB539" s="675"/>
      <c r="AC539" s="675">
        <f t="shared" si="218"/>
        <v>256399575.89399999</v>
      </c>
      <c r="AD539" s="675"/>
      <c r="AE539" s="675">
        <f t="shared" si="219"/>
        <v>320499469.86750001</v>
      </c>
      <c r="AF539" s="675"/>
      <c r="AL539" s="489"/>
      <c r="AM539" s="489"/>
      <c r="AN539" s="489"/>
      <c r="AO539" s="489"/>
      <c r="AP539" s="489"/>
      <c r="AQ539" s="489"/>
      <c r="AR539" s="489"/>
      <c r="AS539" s="489"/>
    </row>
    <row r="540" spans="1:45" s="484" customFormat="1" ht="14.5">
      <c r="A540" s="695" t="s">
        <v>1282</v>
      </c>
      <c r="B540" s="647"/>
      <c r="C540" s="644"/>
      <c r="D540" s="644"/>
      <c r="E540" s="639">
        <v>0</v>
      </c>
      <c r="F540" s="705"/>
      <c r="G540" s="639">
        <v>0</v>
      </c>
      <c r="H540" s="639">
        <v>0</v>
      </c>
      <c r="I540" s="639">
        <v>0</v>
      </c>
      <c r="J540" s="639">
        <v>0</v>
      </c>
      <c r="K540" s="639">
        <v>0</v>
      </c>
      <c r="L540" s="639">
        <v>0</v>
      </c>
      <c r="M540" s="639">
        <v>0</v>
      </c>
      <c r="N540" s="639">
        <v>0</v>
      </c>
      <c r="O540" s="639">
        <v>0</v>
      </c>
      <c r="P540" s="639">
        <v>0</v>
      </c>
      <c r="Q540" s="639">
        <v>0</v>
      </c>
      <c r="R540" s="639">
        <v>0</v>
      </c>
      <c r="S540" s="639">
        <v>0</v>
      </c>
      <c r="T540" s="813"/>
      <c r="V540" s="641">
        <f t="shared" si="214"/>
        <v>0</v>
      </c>
      <c r="W540" s="715">
        <f t="shared" si="215"/>
        <v>0</v>
      </c>
      <c r="X540" s="1016"/>
      <c r="Y540" s="675">
        <f t="shared" si="216"/>
        <v>0</v>
      </c>
      <c r="Z540" s="670"/>
      <c r="AA540" s="675">
        <f t="shared" si="217"/>
        <v>0</v>
      </c>
      <c r="AB540" s="670"/>
      <c r="AC540" s="675">
        <f t="shared" si="218"/>
        <v>0</v>
      </c>
      <c r="AD540" s="670"/>
      <c r="AE540" s="675">
        <f t="shared" si="219"/>
        <v>0</v>
      </c>
      <c r="AF540" s="670"/>
      <c r="AL540" s="489"/>
      <c r="AM540" s="489"/>
      <c r="AN540" s="489"/>
      <c r="AO540" s="489"/>
      <c r="AP540" s="489"/>
      <c r="AQ540" s="489"/>
      <c r="AR540" s="489"/>
      <c r="AS540" s="489"/>
    </row>
    <row r="541" spans="1:45" s="484" customFormat="1">
      <c r="A541" s="695" t="s">
        <v>1283</v>
      </c>
      <c r="B541" s="638">
        <v>12566671540</v>
      </c>
      <c r="C541" s="639"/>
      <c r="D541" s="639"/>
      <c r="E541" s="639">
        <v>0</v>
      </c>
      <c r="F541" s="703"/>
      <c r="G541" s="639">
        <v>0</v>
      </c>
      <c r="H541" s="639">
        <v>0</v>
      </c>
      <c r="I541" s="639">
        <v>0</v>
      </c>
      <c r="J541" s="639">
        <v>0</v>
      </c>
      <c r="K541" s="639">
        <v>0</v>
      </c>
      <c r="L541" s="639">
        <v>0</v>
      </c>
      <c r="M541" s="639">
        <v>0</v>
      </c>
      <c r="N541" s="639">
        <v>0</v>
      </c>
      <c r="O541" s="639">
        <v>0</v>
      </c>
      <c r="P541" s="639">
        <v>0</v>
      </c>
      <c r="Q541" s="639">
        <v>0</v>
      </c>
      <c r="R541" s="639">
        <v>0</v>
      </c>
      <c r="S541" s="639">
        <v>0</v>
      </c>
      <c r="T541" s="813"/>
      <c r="V541" s="641">
        <f t="shared" si="214"/>
        <v>0</v>
      </c>
      <c r="W541" s="715">
        <f t="shared" si="215"/>
        <v>0</v>
      </c>
      <c r="X541" s="1015"/>
      <c r="Y541" s="675">
        <f t="shared" si="216"/>
        <v>0</v>
      </c>
      <c r="Z541" s="675"/>
      <c r="AA541" s="675">
        <f t="shared" si="217"/>
        <v>0</v>
      </c>
      <c r="AB541" s="675"/>
      <c r="AC541" s="675">
        <f t="shared" si="218"/>
        <v>0</v>
      </c>
      <c r="AD541" s="675"/>
      <c r="AE541" s="675">
        <f t="shared" si="219"/>
        <v>0</v>
      </c>
      <c r="AF541" s="675"/>
      <c r="AL541" s="489"/>
      <c r="AM541" s="489"/>
      <c r="AN541" s="489"/>
      <c r="AO541" s="489"/>
      <c r="AP541" s="489"/>
      <c r="AQ541" s="489"/>
      <c r="AR541" s="489"/>
      <c r="AS541" s="489"/>
    </row>
    <row r="542" spans="1:45" s="484" customFormat="1" ht="14.5">
      <c r="A542" s="695" t="s">
        <v>1284</v>
      </c>
      <c r="B542" s="647"/>
      <c r="C542" s="644"/>
      <c r="D542" s="644"/>
      <c r="E542" s="639">
        <v>15465729916.299</v>
      </c>
      <c r="F542" s="705"/>
      <c r="G542" s="639">
        <v>20618297854.490002</v>
      </c>
      <c r="H542" s="639">
        <v>23118297854.490002</v>
      </c>
      <c r="I542" s="639">
        <v>25618297854.490002</v>
      </c>
      <c r="J542" s="639">
        <v>28118297854.490002</v>
      </c>
      <c r="K542" s="639">
        <v>30618297854.490002</v>
      </c>
      <c r="L542" s="639">
        <v>33118297854.490002</v>
      </c>
      <c r="M542" s="639">
        <v>35618297854.490005</v>
      </c>
      <c r="N542" s="639">
        <v>38118297854.490005</v>
      </c>
      <c r="O542" s="639">
        <v>40618297854.490005</v>
      </c>
      <c r="P542" s="639">
        <v>43118297854.490005</v>
      </c>
      <c r="Q542" s="639">
        <v>45618297854.490005</v>
      </c>
      <c r="R542" s="639">
        <v>48118297854.490005</v>
      </c>
      <c r="S542" s="639">
        <v>50618297854.490005</v>
      </c>
      <c r="T542" s="813"/>
      <c r="V542" s="641">
        <f t="shared" si="214"/>
        <v>50618297854.490005</v>
      </c>
      <c r="W542" s="715">
        <f t="shared" si="215"/>
        <v>8.1328148951847912E-3</v>
      </c>
      <c r="X542" s="1016"/>
      <c r="Y542" s="675">
        <f t="shared" si="216"/>
        <v>60741957425.388008</v>
      </c>
      <c r="Z542" s="670"/>
      <c r="AA542" s="675">
        <f t="shared" si="217"/>
        <v>85038740395.543213</v>
      </c>
      <c r="AB542" s="670"/>
      <c r="AC542" s="675">
        <f t="shared" si="218"/>
        <v>127558110593.31482</v>
      </c>
      <c r="AD542" s="670"/>
      <c r="AE542" s="675">
        <f t="shared" si="219"/>
        <v>159447638241.64352</v>
      </c>
      <c r="AF542" s="670"/>
      <c r="AL542" s="489"/>
      <c r="AM542" s="489"/>
      <c r="AN542" s="489"/>
      <c r="AO542" s="489"/>
      <c r="AP542" s="489"/>
      <c r="AQ542" s="489"/>
      <c r="AR542" s="489"/>
      <c r="AS542" s="489"/>
    </row>
    <row r="543" spans="1:45" s="484" customFormat="1">
      <c r="A543" s="695" t="s">
        <v>1285</v>
      </c>
      <c r="B543" s="638">
        <v>3756181378.5600004</v>
      </c>
      <c r="C543" s="639"/>
      <c r="D543" s="639"/>
      <c r="E543" s="639">
        <v>36861421616.179001</v>
      </c>
      <c r="F543" s="703"/>
      <c r="G543" s="639">
        <v>39105502632.089996</v>
      </c>
      <c r="H543" s="639">
        <v>41605502632.089996</v>
      </c>
      <c r="I543" s="639">
        <v>44105502632.089996</v>
      </c>
      <c r="J543" s="639">
        <v>46605502632.089996</v>
      </c>
      <c r="K543" s="639">
        <v>49105502632.089996</v>
      </c>
      <c r="L543" s="639">
        <v>51605502632.089996</v>
      </c>
      <c r="M543" s="639">
        <v>54105502632.089996</v>
      </c>
      <c r="N543" s="639">
        <v>56605502632.089996</v>
      </c>
      <c r="O543" s="639">
        <v>59105502632.089996</v>
      </c>
      <c r="P543" s="639">
        <v>61605502632.089996</v>
      </c>
      <c r="Q543" s="639">
        <v>64105502632.089996</v>
      </c>
      <c r="R543" s="639">
        <v>66605502632.089996</v>
      </c>
      <c r="S543" s="639">
        <v>69105502632.089996</v>
      </c>
      <c r="T543" s="813"/>
      <c r="V543" s="641">
        <f t="shared" si="214"/>
        <v>69105502632.089996</v>
      </c>
      <c r="W543" s="715">
        <f t="shared" si="215"/>
        <v>1.110314421794885E-2</v>
      </c>
      <c r="X543" s="1015"/>
      <c r="Y543" s="675">
        <f t="shared" si="216"/>
        <v>82926603158.507996</v>
      </c>
      <c r="Z543" s="675"/>
      <c r="AA543" s="675">
        <f t="shared" si="217"/>
        <v>116097244421.91119</v>
      </c>
      <c r="AB543" s="675"/>
      <c r="AC543" s="675">
        <f t="shared" si="218"/>
        <v>174145866632.86679</v>
      </c>
      <c r="AD543" s="675"/>
      <c r="AE543" s="675">
        <f t="shared" si="219"/>
        <v>217682333291.0835</v>
      </c>
      <c r="AF543" s="675"/>
      <c r="AL543" s="489"/>
      <c r="AM543" s="489"/>
      <c r="AN543" s="489"/>
      <c r="AO543" s="489"/>
      <c r="AP543" s="489"/>
      <c r="AQ543" s="489"/>
      <c r="AR543" s="489"/>
      <c r="AS543" s="489"/>
    </row>
    <row r="544" spans="1:45" s="484" customFormat="1" ht="14.5">
      <c r="A544" s="695" t="s">
        <v>1286</v>
      </c>
      <c r="B544" s="647"/>
      <c r="C544" s="644"/>
      <c r="D544" s="644"/>
      <c r="E544" s="639">
        <v>0</v>
      </c>
      <c r="F544" s="705"/>
      <c r="G544" s="639">
        <v>0</v>
      </c>
      <c r="H544" s="639">
        <v>0</v>
      </c>
      <c r="I544" s="639">
        <v>0</v>
      </c>
      <c r="J544" s="639">
        <v>0</v>
      </c>
      <c r="K544" s="639">
        <v>0</v>
      </c>
      <c r="L544" s="639">
        <v>0</v>
      </c>
      <c r="M544" s="639">
        <v>0</v>
      </c>
      <c r="N544" s="639">
        <v>0</v>
      </c>
      <c r="O544" s="639">
        <v>0</v>
      </c>
      <c r="P544" s="639">
        <v>0</v>
      </c>
      <c r="Q544" s="639">
        <v>0</v>
      </c>
      <c r="R544" s="639">
        <v>0</v>
      </c>
      <c r="S544" s="639">
        <v>0</v>
      </c>
      <c r="T544" s="813"/>
      <c r="V544" s="641">
        <f t="shared" si="214"/>
        <v>0</v>
      </c>
      <c r="W544" s="715">
        <f t="shared" si="215"/>
        <v>0</v>
      </c>
      <c r="X544" s="1016"/>
      <c r="Y544" s="675">
        <f t="shared" si="216"/>
        <v>0</v>
      </c>
      <c r="Z544" s="670"/>
      <c r="AA544" s="675">
        <f t="shared" si="217"/>
        <v>0</v>
      </c>
      <c r="AB544" s="670"/>
      <c r="AC544" s="675">
        <f t="shared" si="218"/>
        <v>0</v>
      </c>
      <c r="AD544" s="670"/>
      <c r="AE544" s="675">
        <f t="shared" si="219"/>
        <v>0</v>
      </c>
      <c r="AF544" s="670"/>
      <c r="AL544" s="489"/>
      <c r="AM544" s="489"/>
      <c r="AN544" s="489"/>
      <c r="AO544" s="489"/>
      <c r="AP544" s="489"/>
      <c r="AQ544" s="489"/>
      <c r="AR544" s="489"/>
      <c r="AS544" s="489"/>
    </row>
    <row r="545" spans="1:45" s="484" customFormat="1">
      <c r="A545" s="695" t="s">
        <v>1287</v>
      </c>
      <c r="B545" s="638">
        <v>0</v>
      </c>
      <c r="C545" s="639"/>
      <c r="D545" s="639"/>
      <c r="E545" s="639">
        <v>0</v>
      </c>
      <c r="F545" s="703"/>
      <c r="G545" s="639">
        <v>0</v>
      </c>
      <c r="H545" s="639">
        <v>0</v>
      </c>
      <c r="I545" s="639">
        <v>0</v>
      </c>
      <c r="J545" s="639">
        <v>0</v>
      </c>
      <c r="K545" s="639">
        <v>0</v>
      </c>
      <c r="L545" s="639">
        <v>0</v>
      </c>
      <c r="M545" s="639">
        <v>0</v>
      </c>
      <c r="N545" s="639">
        <v>0</v>
      </c>
      <c r="O545" s="639">
        <v>0</v>
      </c>
      <c r="P545" s="639">
        <v>0</v>
      </c>
      <c r="Q545" s="639">
        <v>0</v>
      </c>
      <c r="R545" s="639">
        <v>0</v>
      </c>
      <c r="S545" s="639">
        <v>0</v>
      </c>
      <c r="T545" s="813"/>
      <c r="V545" s="641">
        <f t="shared" si="214"/>
        <v>0</v>
      </c>
      <c r="W545" s="715">
        <f t="shared" si="215"/>
        <v>0</v>
      </c>
      <c r="X545" s="1015"/>
      <c r="Y545" s="675">
        <f t="shared" si="216"/>
        <v>0</v>
      </c>
      <c r="Z545" s="675"/>
      <c r="AA545" s="675">
        <f t="shared" si="217"/>
        <v>0</v>
      </c>
      <c r="AB545" s="675"/>
      <c r="AC545" s="675">
        <f t="shared" si="218"/>
        <v>0</v>
      </c>
      <c r="AD545" s="675"/>
      <c r="AE545" s="675">
        <f t="shared" si="219"/>
        <v>0</v>
      </c>
      <c r="AF545" s="675"/>
      <c r="AL545" s="489"/>
      <c r="AM545" s="489"/>
      <c r="AN545" s="489"/>
      <c r="AO545" s="489"/>
      <c r="AP545" s="489"/>
      <c r="AQ545" s="489"/>
      <c r="AR545" s="489"/>
      <c r="AS545" s="489"/>
    </row>
    <row r="546" spans="1:45" s="484" customFormat="1" ht="14.5">
      <c r="A546" s="695" t="s">
        <v>1288</v>
      </c>
      <c r="B546" s="647"/>
      <c r="C546" s="644"/>
      <c r="D546" s="644"/>
      <c r="E546" s="639">
        <v>0</v>
      </c>
      <c r="F546" s="705"/>
      <c r="G546" s="639">
        <v>0</v>
      </c>
      <c r="H546" s="639">
        <v>0</v>
      </c>
      <c r="I546" s="639">
        <v>0</v>
      </c>
      <c r="J546" s="639">
        <v>0</v>
      </c>
      <c r="K546" s="639">
        <v>0</v>
      </c>
      <c r="L546" s="639">
        <v>0</v>
      </c>
      <c r="M546" s="639">
        <v>0</v>
      </c>
      <c r="N546" s="639">
        <v>0</v>
      </c>
      <c r="O546" s="639">
        <v>0</v>
      </c>
      <c r="P546" s="639">
        <v>0</v>
      </c>
      <c r="Q546" s="639">
        <v>0</v>
      </c>
      <c r="R546" s="639">
        <v>0</v>
      </c>
      <c r="S546" s="639">
        <v>0</v>
      </c>
      <c r="T546" s="813"/>
      <c r="V546" s="641">
        <f t="shared" si="214"/>
        <v>0</v>
      </c>
      <c r="W546" s="715">
        <f t="shared" si="215"/>
        <v>0</v>
      </c>
      <c r="X546" s="1016"/>
      <c r="Y546" s="675">
        <f t="shared" si="216"/>
        <v>0</v>
      </c>
      <c r="Z546" s="670"/>
      <c r="AA546" s="675">
        <f t="shared" si="217"/>
        <v>0</v>
      </c>
      <c r="AB546" s="670"/>
      <c r="AC546" s="675">
        <f t="shared" si="218"/>
        <v>0</v>
      </c>
      <c r="AD546" s="670"/>
      <c r="AE546" s="675">
        <f t="shared" si="219"/>
        <v>0</v>
      </c>
      <c r="AF546" s="670"/>
      <c r="AL546" s="489"/>
      <c r="AM546" s="489"/>
      <c r="AN546" s="489"/>
      <c r="AO546" s="489"/>
      <c r="AP546" s="489"/>
      <c r="AQ546" s="489"/>
      <c r="AR546" s="489"/>
      <c r="AS546" s="489"/>
    </row>
    <row r="547" spans="1:45" s="484" customFormat="1">
      <c r="A547" s="695" t="s">
        <v>1289</v>
      </c>
      <c r="B547" s="647">
        <v>111809990517</v>
      </c>
      <c r="C547" s="648"/>
      <c r="D547" s="648"/>
      <c r="E547" s="639">
        <v>0</v>
      </c>
      <c r="F547" s="706"/>
      <c r="G547" s="639">
        <v>0</v>
      </c>
      <c r="H547" s="639">
        <v>0</v>
      </c>
      <c r="I547" s="639">
        <v>0</v>
      </c>
      <c r="J547" s="639">
        <v>0</v>
      </c>
      <c r="K547" s="639">
        <v>0</v>
      </c>
      <c r="L547" s="639">
        <v>0</v>
      </c>
      <c r="M547" s="639">
        <v>0</v>
      </c>
      <c r="N547" s="639">
        <v>0</v>
      </c>
      <c r="O547" s="639">
        <v>0</v>
      </c>
      <c r="P547" s="639">
        <v>0</v>
      </c>
      <c r="Q547" s="639">
        <v>0</v>
      </c>
      <c r="R547" s="639">
        <v>0</v>
      </c>
      <c r="S547" s="639">
        <v>0</v>
      </c>
      <c r="T547" s="813"/>
      <c r="V547" s="641">
        <f t="shared" si="214"/>
        <v>0</v>
      </c>
      <c r="W547" s="715">
        <f t="shared" si="215"/>
        <v>0</v>
      </c>
      <c r="X547" s="1015"/>
      <c r="Y547" s="675">
        <f t="shared" si="216"/>
        <v>0</v>
      </c>
      <c r="Z547" s="675"/>
      <c r="AA547" s="675">
        <f t="shared" si="217"/>
        <v>0</v>
      </c>
      <c r="AB547" s="675"/>
      <c r="AC547" s="675">
        <f t="shared" si="218"/>
        <v>0</v>
      </c>
      <c r="AD547" s="675"/>
      <c r="AE547" s="675">
        <f t="shared" si="219"/>
        <v>0</v>
      </c>
      <c r="AF547" s="675"/>
      <c r="AL547" s="489"/>
      <c r="AM547" s="489"/>
      <c r="AN547" s="489"/>
      <c r="AO547" s="489"/>
      <c r="AP547" s="489"/>
      <c r="AQ547" s="489"/>
      <c r="AR547" s="489"/>
      <c r="AS547" s="489"/>
    </row>
    <row r="548" spans="1:45" s="484" customFormat="1" ht="14.5">
      <c r="A548" s="695" t="s">
        <v>1290</v>
      </c>
      <c r="B548" s="647"/>
      <c r="C548" s="644"/>
      <c r="D548" s="644"/>
      <c r="E548" s="639">
        <v>0</v>
      </c>
      <c r="F548" s="705"/>
      <c r="G548" s="639">
        <v>0</v>
      </c>
      <c r="H548" s="639">
        <v>0</v>
      </c>
      <c r="I548" s="639">
        <v>0</v>
      </c>
      <c r="J548" s="639">
        <v>0</v>
      </c>
      <c r="K548" s="639">
        <v>0</v>
      </c>
      <c r="L548" s="639">
        <v>0</v>
      </c>
      <c r="M548" s="639">
        <v>0</v>
      </c>
      <c r="N548" s="639">
        <v>0</v>
      </c>
      <c r="O548" s="639">
        <v>0</v>
      </c>
      <c r="P548" s="639">
        <v>0</v>
      </c>
      <c r="Q548" s="639">
        <v>0</v>
      </c>
      <c r="R548" s="639">
        <v>0</v>
      </c>
      <c r="S548" s="639">
        <v>0</v>
      </c>
      <c r="T548" s="813"/>
      <c r="V548" s="641">
        <f t="shared" si="214"/>
        <v>0</v>
      </c>
      <c r="W548" s="715">
        <f t="shared" si="215"/>
        <v>0</v>
      </c>
      <c r="X548" s="1016"/>
      <c r="Y548" s="675">
        <f t="shared" si="216"/>
        <v>0</v>
      </c>
      <c r="AA548" s="675">
        <f t="shared" si="217"/>
        <v>0</v>
      </c>
      <c r="AC548" s="675">
        <f t="shared" si="218"/>
        <v>0</v>
      </c>
      <c r="AE548" s="675">
        <f t="shared" si="219"/>
        <v>0</v>
      </c>
      <c r="AF548" s="528"/>
      <c r="AL548" s="489"/>
      <c r="AM548" s="489"/>
      <c r="AN548" s="489"/>
      <c r="AO548" s="489"/>
      <c r="AP548" s="489"/>
      <c r="AQ548" s="489"/>
      <c r="AR548" s="489"/>
      <c r="AS548" s="489"/>
    </row>
    <row r="549" spans="1:45" s="484" customFormat="1" ht="14.5">
      <c r="A549" s="695" t="s">
        <v>1291</v>
      </c>
      <c r="B549" s="647"/>
      <c r="C549" s="644"/>
      <c r="D549" s="644"/>
      <c r="E549" s="639">
        <v>0</v>
      </c>
      <c r="F549" s="705"/>
      <c r="G549" s="639">
        <v>0</v>
      </c>
      <c r="H549" s="639">
        <v>0</v>
      </c>
      <c r="I549" s="639">
        <v>0</v>
      </c>
      <c r="J549" s="639">
        <v>0</v>
      </c>
      <c r="K549" s="639">
        <v>0</v>
      </c>
      <c r="L549" s="639">
        <v>0</v>
      </c>
      <c r="M549" s="639">
        <v>0</v>
      </c>
      <c r="N549" s="639">
        <v>0</v>
      </c>
      <c r="O549" s="639">
        <v>0</v>
      </c>
      <c r="P549" s="639">
        <v>0</v>
      </c>
      <c r="Q549" s="639">
        <v>0</v>
      </c>
      <c r="R549" s="639">
        <v>0</v>
      </c>
      <c r="S549" s="639">
        <v>0</v>
      </c>
      <c r="T549" s="813"/>
      <c r="V549" s="641">
        <f t="shared" si="214"/>
        <v>0</v>
      </c>
      <c r="W549" s="715">
        <f t="shared" si="215"/>
        <v>0</v>
      </c>
      <c r="X549" s="1016"/>
      <c r="Y549" s="675">
        <f t="shared" si="216"/>
        <v>0</v>
      </c>
      <c r="Z549" s="675"/>
      <c r="AA549" s="675">
        <f t="shared" si="217"/>
        <v>0</v>
      </c>
      <c r="AB549" s="675"/>
      <c r="AC549" s="675">
        <f t="shared" si="218"/>
        <v>0</v>
      </c>
      <c r="AD549" s="675"/>
      <c r="AE549" s="675">
        <f t="shared" si="219"/>
        <v>0</v>
      </c>
      <c r="AL549" s="489"/>
      <c r="AM549" s="489"/>
      <c r="AN549" s="489"/>
      <c r="AO549" s="489"/>
      <c r="AP549" s="489"/>
      <c r="AQ549" s="489"/>
      <c r="AR549" s="489"/>
      <c r="AS549" s="489"/>
    </row>
    <row r="550" spans="1:45" s="484" customFormat="1" ht="14.5">
      <c r="A550" s="695" t="s">
        <v>1292</v>
      </c>
      <c r="B550" s="647"/>
      <c r="C550" s="644"/>
      <c r="D550" s="644"/>
      <c r="E550" s="639">
        <v>0</v>
      </c>
      <c r="F550" s="705"/>
      <c r="G550" s="639">
        <v>0</v>
      </c>
      <c r="H550" s="639">
        <v>0</v>
      </c>
      <c r="I550" s="639">
        <v>0</v>
      </c>
      <c r="J550" s="639">
        <v>0</v>
      </c>
      <c r="K550" s="639">
        <v>0</v>
      </c>
      <c r="L550" s="639">
        <v>0</v>
      </c>
      <c r="M550" s="639">
        <v>0</v>
      </c>
      <c r="N550" s="639">
        <v>0</v>
      </c>
      <c r="O550" s="639">
        <v>0</v>
      </c>
      <c r="P550" s="639">
        <v>0</v>
      </c>
      <c r="Q550" s="639">
        <v>0</v>
      </c>
      <c r="R550" s="639">
        <v>0</v>
      </c>
      <c r="S550" s="639">
        <v>0</v>
      </c>
      <c r="T550" s="813"/>
      <c r="V550" s="641">
        <f t="shared" si="214"/>
        <v>0</v>
      </c>
      <c r="W550" s="715">
        <f t="shared" si="215"/>
        <v>0</v>
      </c>
      <c r="X550" s="1016"/>
      <c r="Y550" s="675">
        <f t="shared" si="216"/>
        <v>0</v>
      </c>
      <c r="AA550" s="675">
        <f t="shared" si="217"/>
        <v>0</v>
      </c>
      <c r="AC550" s="675">
        <f t="shared" si="218"/>
        <v>0</v>
      </c>
      <c r="AE550" s="675">
        <f t="shared" si="219"/>
        <v>0</v>
      </c>
      <c r="AL550" s="489"/>
      <c r="AM550" s="489"/>
      <c r="AN550" s="489"/>
      <c r="AO550" s="489"/>
      <c r="AP550" s="489"/>
      <c r="AQ550" s="489"/>
      <c r="AR550" s="489"/>
      <c r="AS550" s="489"/>
    </row>
    <row r="551" spans="1:45" s="484" customFormat="1" ht="14.5">
      <c r="A551" s="695" t="s">
        <v>1293</v>
      </c>
      <c r="B551" s="647"/>
      <c r="C551" s="644"/>
      <c r="D551" s="644"/>
      <c r="E551" s="639">
        <v>0</v>
      </c>
      <c r="F551" s="705"/>
      <c r="G551" s="639">
        <v>0</v>
      </c>
      <c r="H551" s="639">
        <v>0</v>
      </c>
      <c r="I551" s="639">
        <v>0</v>
      </c>
      <c r="J551" s="639">
        <v>0</v>
      </c>
      <c r="K551" s="639">
        <v>0</v>
      </c>
      <c r="L551" s="639">
        <v>0</v>
      </c>
      <c r="M551" s="639">
        <v>0</v>
      </c>
      <c r="N551" s="639">
        <v>0</v>
      </c>
      <c r="O551" s="639">
        <v>0</v>
      </c>
      <c r="P551" s="639">
        <v>0</v>
      </c>
      <c r="Q551" s="639">
        <v>0</v>
      </c>
      <c r="R551" s="639">
        <v>0</v>
      </c>
      <c r="S551" s="639">
        <v>0</v>
      </c>
      <c r="T551" s="813"/>
      <c r="V551" s="641">
        <f t="shared" si="214"/>
        <v>0</v>
      </c>
      <c r="W551" s="715">
        <f t="shared" si="215"/>
        <v>0</v>
      </c>
      <c r="X551" s="1016"/>
      <c r="Y551" s="675"/>
      <c r="AA551" s="675"/>
      <c r="AC551" s="675"/>
      <c r="AE551" s="675"/>
      <c r="AL551" s="489"/>
      <c r="AM551" s="489"/>
      <c r="AN551" s="489"/>
      <c r="AO551" s="489"/>
      <c r="AP551" s="489"/>
      <c r="AQ551" s="489"/>
      <c r="AR551" s="489"/>
      <c r="AS551" s="489"/>
    </row>
    <row r="552" spans="1:45" s="484" customFormat="1" ht="14.5">
      <c r="A552" s="695" t="s">
        <v>1294</v>
      </c>
      <c r="B552" s="647"/>
      <c r="C552" s="644"/>
      <c r="D552" s="644"/>
      <c r="E552" s="639">
        <v>31025612039.032001</v>
      </c>
      <c r="F552" s="705"/>
      <c r="G552" s="639">
        <v>43332849418.150002</v>
      </c>
      <c r="H552" s="639">
        <v>46332849418.150002</v>
      </c>
      <c r="I552" s="639">
        <v>49332849418.150002</v>
      </c>
      <c r="J552" s="639">
        <v>52332849418.150002</v>
      </c>
      <c r="K552" s="639">
        <v>55332849418.150002</v>
      </c>
      <c r="L552" s="639">
        <v>58332849418.150002</v>
      </c>
      <c r="M552" s="639">
        <v>61332849418.150002</v>
      </c>
      <c r="N552" s="639">
        <v>64332849418.150002</v>
      </c>
      <c r="O552" s="639">
        <v>67332849418.150002</v>
      </c>
      <c r="P552" s="639">
        <v>70332849418.149994</v>
      </c>
      <c r="Q552" s="639">
        <v>73332849418.149994</v>
      </c>
      <c r="R552" s="639">
        <v>76332849418.149994</v>
      </c>
      <c r="S552" s="639">
        <v>79332849418.149994</v>
      </c>
      <c r="T552" s="813"/>
      <c r="V552" s="641">
        <f t="shared" si="214"/>
        <v>79332849418.149994</v>
      </c>
      <c r="W552" s="715">
        <f t="shared" si="215"/>
        <v>1.2746366566495502E-2</v>
      </c>
      <c r="X552" s="1016"/>
      <c r="Y552" s="675"/>
      <c r="AA552" s="675"/>
      <c r="AC552" s="675"/>
      <c r="AE552" s="675"/>
      <c r="AL552" s="489"/>
      <c r="AM552" s="489"/>
      <c r="AN552" s="489"/>
      <c r="AO552" s="489"/>
      <c r="AP552" s="489"/>
      <c r="AQ552" s="489"/>
      <c r="AR552" s="489"/>
      <c r="AS552" s="489"/>
    </row>
    <row r="553" spans="1:45" s="484" customFormat="1" ht="14.5">
      <c r="A553" s="695" t="s">
        <v>1295</v>
      </c>
      <c r="B553" s="647"/>
      <c r="C553" s="644"/>
      <c r="D553" s="644"/>
      <c r="E553" s="639">
        <v>0</v>
      </c>
      <c r="F553" s="705"/>
      <c r="G553" s="639">
        <v>0</v>
      </c>
      <c r="H553" s="639">
        <v>0</v>
      </c>
      <c r="I553" s="639">
        <v>0</v>
      </c>
      <c r="J553" s="639">
        <v>0</v>
      </c>
      <c r="K553" s="639">
        <v>0</v>
      </c>
      <c r="L553" s="639">
        <v>0</v>
      </c>
      <c r="M553" s="639">
        <v>0</v>
      </c>
      <c r="N553" s="639">
        <v>0</v>
      </c>
      <c r="O553" s="639">
        <v>0</v>
      </c>
      <c r="P553" s="639">
        <v>0</v>
      </c>
      <c r="Q553" s="639">
        <v>0</v>
      </c>
      <c r="R553" s="639">
        <v>0</v>
      </c>
      <c r="S553" s="639">
        <v>0</v>
      </c>
      <c r="T553" s="813"/>
      <c r="V553" s="641">
        <f t="shared" si="214"/>
        <v>0</v>
      </c>
      <c r="W553" s="715">
        <f t="shared" si="215"/>
        <v>0</v>
      </c>
      <c r="X553" s="1016"/>
      <c r="Y553" s="675"/>
      <c r="AA553" s="675"/>
      <c r="AC553" s="675"/>
      <c r="AE553" s="675"/>
      <c r="AL553" s="489"/>
      <c r="AM553" s="489"/>
      <c r="AN553" s="489"/>
      <c r="AO553" s="489"/>
      <c r="AP553" s="489"/>
      <c r="AQ553" s="489"/>
      <c r="AR553" s="489"/>
      <c r="AS553" s="489"/>
    </row>
    <row r="554" spans="1:45" s="484" customFormat="1" ht="14.5">
      <c r="A554" s="695" t="s">
        <v>1296</v>
      </c>
      <c r="B554" s="647"/>
      <c r="C554" s="644"/>
      <c r="D554" s="644"/>
      <c r="E554" s="639">
        <v>0</v>
      </c>
      <c r="F554" s="705"/>
      <c r="G554" s="639">
        <v>0</v>
      </c>
      <c r="H554" s="639">
        <v>0</v>
      </c>
      <c r="I554" s="639">
        <v>0</v>
      </c>
      <c r="J554" s="639">
        <v>0</v>
      </c>
      <c r="K554" s="639">
        <v>0</v>
      </c>
      <c r="L554" s="639">
        <v>0</v>
      </c>
      <c r="M554" s="639">
        <v>0</v>
      </c>
      <c r="N554" s="639">
        <v>0</v>
      </c>
      <c r="O554" s="639">
        <v>0</v>
      </c>
      <c r="P554" s="639">
        <v>0</v>
      </c>
      <c r="Q554" s="639">
        <v>0</v>
      </c>
      <c r="R554" s="639">
        <v>0</v>
      </c>
      <c r="S554" s="639">
        <v>0</v>
      </c>
      <c r="T554" s="813"/>
      <c r="V554" s="641">
        <f t="shared" si="214"/>
        <v>0</v>
      </c>
      <c r="W554" s="715">
        <f t="shared" si="215"/>
        <v>0</v>
      </c>
      <c r="X554" s="1016"/>
      <c r="Y554" s="675"/>
      <c r="AA554" s="675"/>
      <c r="AC554" s="675"/>
      <c r="AE554" s="675"/>
      <c r="AL554" s="489"/>
      <c r="AM554" s="489"/>
      <c r="AN554" s="489"/>
      <c r="AO554" s="489"/>
      <c r="AP554" s="489"/>
      <c r="AQ554" s="489"/>
      <c r="AR554" s="489"/>
      <c r="AS554" s="489"/>
    </row>
    <row r="555" spans="1:45" s="484" customFormat="1" ht="14.5">
      <c r="A555" s="695" t="s">
        <v>1297</v>
      </c>
      <c r="B555" s="647"/>
      <c r="C555" s="644"/>
      <c r="D555" s="644"/>
      <c r="E555" s="639">
        <v>0</v>
      </c>
      <c r="F555" s="705"/>
      <c r="G555" s="639">
        <v>0</v>
      </c>
      <c r="H555" s="639">
        <v>0</v>
      </c>
      <c r="I555" s="639">
        <v>0</v>
      </c>
      <c r="J555" s="639">
        <v>0</v>
      </c>
      <c r="K555" s="639">
        <v>0</v>
      </c>
      <c r="L555" s="639">
        <v>0</v>
      </c>
      <c r="M555" s="639">
        <v>0</v>
      </c>
      <c r="N555" s="639">
        <v>0</v>
      </c>
      <c r="O555" s="639">
        <v>0</v>
      </c>
      <c r="P555" s="639">
        <v>0</v>
      </c>
      <c r="Q555" s="639">
        <v>0</v>
      </c>
      <c r="R555" s="639">
        <v>0</v>
      </c>
      <c r="S555" s="639">
        <v>0</v>
      </c>
      <c r="T555" s="813"/>
      <c r="V555" s="641">
        <f t="shared" si="214"/>
        <v>0</v>
      </c>
      <c r="W555" s="715">
        <f t="shared" si="215"/>
        <v>0</v>
      </c>
      <c r="X555" s="1016"/>
      <c r="Y555" s="675"/>
      <c r="AA555" s="675"/>
      <c r="AC555" s="675"/>
      <c r="AE555" s="675"/>
      <c r="AL555" s="489"/>
      <c r="AM555" s="489"/>
      <c r="AN555" s="489"/>
      <c r="AO555" s="489"/>
      <c r="AP555" s="489"/>
      <c r="AQ555" s="489"/>
      <c r="AR555" s="489"/>
      <c r="AS555" s="489"/>
    </row>
    <row r="556" spans="1:45" s="484" customFormat="1" ht="14.5">
      <c r="A556" s="695" t="s">
        <v>1298</v>
      </c>
      <c r="B556" s="647"/>
      <c r="C556" s="644"/>
      <c r="D556" s="644"/>
      <c r="E556" s="639">
        <v>0</v>
      </c>
      <c r="F556" s="705"/>
      <c r="G556" s="639">
        <v>0</v>
      </c>
      <c r="H556" s="639">
        <v>0</v>
      </c>
      <c r="I556" s="639">
        <v>0</v>
      </c>
      <c r="J556" s="639">
        <v>0</v>
      </c>
      <c r="K556" s="639">
        <v>0</v>
      </c>
      <c r="L556" s="639">
        <v>0</v>
      </c>
      <c r="M556" s="639">
        <v>0</v>
      </c>
      <c r="N556" s="639">
        <v>0</v>
      </c>
      <c r="O556" s="639">
        <v>0</v>
      </c>
      <c r="P556" s="639">
        <v>0</v>
      </c>
      <c r="Q556" s="639">
        <v>0</v>
      </c>
      <c r="R556" s="639">
        <v>0</v>
      </c>
      <c r="S556" s="639">
        <v>0</v>
      </c>
      <c r="T556" s="813"/>
      <c r="V556" s="641">
        <f t="shared" si="214"/>
        <v>0</v>
      </c>
      <c r="W556" s="715">
        <f t="shared" si="215"/>
        <v>0</v>
      </c>
      <c r="X556" s="1016"/>
      <c r="Y556" s="675"/>
      <c r="AA556" s="675"/>
      <c r="AC556" s="675"/>
      <c r="AE556" s="675"/>
      <c r="AL556" s="489"/>
      <c r="AM556" s="489"/>
      <c r="AN556" s="489"/>
      <c r="AO556" s="489"/>
      <c r="AP556" s="489"/>
      <c r="AQ556" s="489"/>
      <c r="AR556" s="489"/>
      <c r="AS556" s="489"/>
    </row>
    <row r="557" spans="1:45" s="484" customFormat="1" ht="14.5">
      <c r="A557" s="695" t="s">
        <v>1299</v>
      </c>
      <c r="B557" s="647"/>
      <c r="C557" s="644"/>
      <c r="D557" s="644"/>
      <c r="E557" s="639">
        <v>0</v>
      </c>
      <c r="F557" s="705"/>
      <c r="G557" s="639">
        <v>0</v>
      </c>
      <c r="H557" s="639">
        <v>0</v>
      </c>
      <c r="I557" s="639">
        <v>0</v>
      </c>
      <c r="J557" s="639">
        <v>0</v>
      </c>
      <c r="K557" s="639">
        <v>0</v>
      </c>
      <c r="L557" s="639">
        <v>0</v>
      </c>
      <c r="M557" s="639">
        <v>0</v>
      </c>
      <c r="N557" s="639">
        <v>0</v>
      </c>
      <c r="O557" s="639">
        <v>0</v>
      </c>
      <c r="P557" s="639">
        <v>0</v>
      </c>
      <c r="Q557" s="639">
        <v>0</v>
      </c>
      <c r="R557" s="639">
        <v>0</v>
      </c>
      <c r="S557" s="639">
        <v>0</v>
      </c>
      <c r="T557" s="813"/>
      <c r="V557" s="641">
        <f t="shared" si="214"/>
        <v>0</v>
      </c>
      <c r="W557" s="715">
        <f t="shared" si="215"/>
        <v>0</v>
      </c>
      <c r="X557" s="1016"/>
      <c r="Y557" s="675"/>
      <c r="AA557" s="675"/>
      <c r="AC557" s="675"/>
      <c r="AE557" s="675"/>
      <c r="AL557" s="489"/>
      <c r="AM557" s="489"/>
      <c r="AN557" s="489"/>
      <c r="AO557" s="489"/>
      <c r="AP557" s="489"/>
      <c r="AQ557" s="489"/>
      <c r="AR557" s="489"/>
      <c r="AS557" s="489"/>
    </row>
    <row r="558" spans="1:45" s="484" customFormat="1" ht="14.5">
      <c r="A558" s="695" t="s">
        <v>1300</v>
      </c>
      <c r="B558" s="647"/>
      <c r="C558" s="644"/>
      <c r="D558" s="644"/>
      <c r="E558" s="639">
        <v>0</v>
      </c>
      <c r="F558" s="705"/>
      <c r="G558" s="639">
        <v>0</v>
      </c>
      <c r="H558" s="639">
        <v>0</v>
      </c>
      <c r="I558" s="639">
        <v>0</v>
      </c>
      <c r="J558" s="639">
        <v>0</v>
      </c>
      <c r="K558" s="639">
        <v>0</v>
      </c>
      <c r="L558" s="639">
        <v>0</v>
      </c>
      <c r="M558" s="639">
        <v>0</v>
      </c>
      <c r="N558" s="639">
        <v>0</v>
      </c>
      <c r="O558" s="639">
        <v>0</v>
      </c>
      <c r="P558" s="639">
        <v>0</v>
      </c>
      <c r="Q558" s="639">
        <v>0</v>
      </c>
      <c r="R558" s="639">
        <v>0</v>
      </c>
      <c r="S558" s="639">
        <v>0</v>
      </c>
      <c r="T558" s="813"/>
      <c r="V558" s="641">
        <f t="shared" si="214"/>
        <v>0</v>
      </c>
      <c r="W558" s="715">
        <f t="shared" si="215"/>
        <v>0</v>
      </c>
      <c r="X558" s="1016"/>
      <c r="Y558" s="675"/>
      <c r="AA558" s="675"/>
      <c r="AC558" s="675"/>
      <c r="AE558" s="675"/>
      <c r="AL558" s="489"/>
      <c r="AM558" s="489"/>
      <c r="AN558" s="489"/>
      <c r="AO558" s="489"/>
      <c r="AP558" s="489"/>
      <c r="AQ558" s="489"/>
      <c r="AR558" s="489"/>
      <c r="AS558" s="489"/>
    </row>
    <row r="559" spans="1:45" s="484" customFormat="1" ht="14.5">
      <c r="A559" s="695" t="s">
        <v>1301</v>
      </c>
      <c r="B559" s="647"/>
      <c r="C559" s="644"/>
      <c r="D559" s="644"/>
      <c r="E559" s="639">
        <v>0</v>
      </c>
      <c r="F559" s="705"/>
      <c r="G559" s="639">
        <v>0</v>
      </c>
      <c r="H559" s="639">
        <v>0</v>
      </c>
      <c r="I559" s="639">
        <v>0</v>
      </c>
      <c r="J559" s="639">
        <v>0</v>
      </c>
      <c r="K559" s="639">
        <v>0</v>
      </c>
      <c r="L559" s="639">
        <v>0</v>
      </c>
      <c r="M559" s="639">
        <v>0</v>
      </c>
      <c r="N559" s="639">
        <v>0</v>
      </c>
      <c r="O559" s="639">
        <v>0</v>
      </c>
      <c r="P559" s="639">
        <v>0</v>
      </c>
      <c r="Q559" s="639">
        <v>0</v>
      </c>
      <c r="R559" s="639">
        <v>0</v>
      </c>
      <c r="S559" s="639">
        <v>0</v>
      </c>
      <c r="T559" s="813"/>
      <c r="V559" s="641">
        <f t="shared" si="214"/>
        <v>0</v>
      </c>
      <c r="W559" s="715">
        <f t="shared" si="215"/>
        <v>0</v>
      </c>
      <c r="X559" s="1016"/>
      <c r="Y559" s="675"/>
      <c r="AA559" s="675"/>
      <c r="AC559" s="675"/>
      <c r="AE559" s="675"/>
      <c r="AL559" s="489"/>
      <c r="AM559" s="489"/>
      <c r="AN559" s="489"/>
      <c r="AO559" s="489"/>
      <c r="AP559" s="489"/>
      <c r="AQ559" s="489"/>
      <c r="AR559" s="489"/>
      <c r="AS559" s="489"/>
    </row>
    <row r="560" spans="1:45" s="484" customFormat="1" ht="14.5">
      <c r="A560" s="695" t="s">
        <v>1302</v>
      </c>
      <c r="B560" s="647"/>
      <c r="C560" s="644"/>
      <c r="D560" s="644"/>
      <c r="E560" s="639">
        <v>0</v>
      </c>
      <c r="F560" s="705"/>
      <c r="G560" s="639">
        <v>0</v>
      </c>
      <c r="H560" s="639">
        <v>0</v>
      </c>
      <c r="I560" s="639">
        <v>0</v>
      </c>
      <c r="J560" s="639">
        <v>0</v>
      </c>
      <c r="K560" s="639">
        <v>0</v>
      </c>
      <c r="L560" s="639">
        <v>0</v>
      </c>
      <c r="M560" s="639">
        <v>0</v>
      </c>
      <c r="N560" s="639">
        <v>0</v>
      </c>
      <c r="O560" s="639">
        <v>0</v>
      </c>
      <c r="P560" s="639">
        <v>0</v>
      </c>
      <c r="Q560" s="639">
        <v>0</v>
      </c>
      <c r="R560" s="639">
        <v>0</v>
      </c>
      <c r="S560" s="639">
        <v>0</v>
      </c>
      <c r="T560" s="813"/>
      <c r="V560" s="641">
        <f t="shared" si="214"/>
        <v>0</v>
      </c>
      <c r="W560" s="715">
        <f t="shared" si="215"/>
        <v>0</v>
      </c>
      <c r="X560" s="1016"/>
      <c r="Y560" s="675"/>
      <c r="AA560" s="675"/>
      <c r="AC560" s="675"/>
      <c r="AE560" s="675"/>
      <c r="AL560" s="489"/>
      <c r="AM560" s="489"/>
      <c r="AN560" s="489"/>
      <c r="AO560" s="489"/>
      <c r="AP560" s="489"/>
      <c r="AQ560" s="489"/>
      <c r="AR560" s="489"/>
      <c r="AS560" s="489"/>
    </row>
    <row r="561" spans="1:45" s="484" customFormat="1" ht="14.5">
      <c r="A561" s="695" t="s">
        <v>1303</v>
      </c>
      <c r="B561" s="647"/>
      <c r="C561" s="644"/>
      <c r="D561" s="644"/>
      <c r="E561" s="639">
        <v>0</v>
      </c>
      <c r="F561" s="705"/>
      <c r="G561" s="639">
        <v>0</v>
      </c>
      <c r="H561" s="639">
        <v>0</v>
      </c>
      <c r="I561" s="639">
        <v>0</v>
      </c>
      <c r="J561" s="639">
        <v>0</v>
      </c>
      <c r="K561" s="639">
        <v>0</v>
      </c>
      <c r="L561" s="639">
        <v>0</v>
      </c>
      <c r="M561" s="639">
        <v>0</v>
      </c>
      <c r="N561" s="639">
        <v>0</v>
      </c>
      <c r="O561" s="639">
        <v>0</v>
      </c>
      <c r="P561" s="639">
        <v>0</v>
      </c>
      <c r="Q561" s="639">
        <v>0</v>
      </c>
      <c r="R561" s="639">
        <v>0</v>
      </c>
      <c r="S561" s="639">
        <v>0</v>
      </c>
      <c r="T561" s="813"/>
      <c r="V561" s="641">
        <f t="shared" si="214"/>
        <v>0</v>
      </c>
      <c r="W561" s="715">
        <f t="shared" si="215"/>
        <v>0</v>
      </c>
      <c r="X561" s="1016"/>
      <c r="Y561" s="675"/>
      <c r="AA561" s="675"/>
      <c r="AC561" s="675"/>
      <c r="AE561" s="675"/>
      <c r="AL561" s="489"/>
      <c r="AM561" s="489"/>
      <c r="AN561" s="489"/>
      <c r="AO561" s="489"/>
      <c r="AP561" s="489"/>
      <c r="AQ561" s="489"/>
      <c r="AR561" s="489"/>
      <c r="AS561" s="489"/>
    </row>
    <row r="562" spans="1:45" s="484" customFormat="1" ht="14.5">
      <c r="A562" s="695" t="s">
        <v>1304</v>
      </c>
      <c r="B562" s="647"/>
      <c r="C562" s="644"/>
      <c r="D562" s="644"/>
      <c r="E562" s="639">
        <v>0</v>
      </c>
      <c r="F562" s="705"/>
      <c r="G562" s="639">
        <v>0</v>
      </c>
      <c r="H562" s="639">
        <v>0</v>
      </c>
      <c r="I562" s="639">
        <v>0</v>
      </c>
      <c r="J562" s="639">
        <v>0</v>
      </c>
      <c r="K562" s="639">
        <v>0</v>
      </c>
      <c r="L562" s="639">
        <v>0</v>
      </c>
      <c r="M562" s="639">
        <v>0</v>
      </c>
      <c r="N562" s="639">
        <v>0</v>
      </c>
      <c r="O562" s="639">
        <v>0</v>
      </c>
      <c r="P562" s="639">
        <v>0</v>
      </c>
      <c r="Q562" s="639">
        <v>0</v>
      </c>
      <c r="R562" s="639">
        <v>0</v>
      </c>
      <c r="S562" s="639">
        <v>0</v>
      </c>
      <c r="T562" s="813"/>
      <c r="V562" s="641">
        <f t="shared" si="214"/>
        <v>0</v>
      </c>
      <c r="W562" s="715">
        <f t="shared" si="215"/>
        <v>0</v>
      </c>
      <c r="X562" s="1016"/>
      <c r="Y562" s="675"/>
      <c r="AA562" s="675"/>
      <c r="AC562" s="675"/>
      <c r="AE562" s="675"/>
      <c r="AL562" s="489"/>
      <c r="AM562" s="489"/>
      <c r="AN562" s="489"/>
      <c r="AO562" s="489"/>
      <c r="AP562" s="489"/>
      <c r="AQ562" s="489"/>
      <c r="AR562" s="489"/>
      <c r="AS562" s="489"/>
    </row>
    <row r="563" spans="1:45" s="484" customFormat="1" ht="14.5">
      <c r="A563" s="695" t="s">
        <v>1305</v>
      </c>
      <c r="B563" s="647"/>
      <c r="C563" s="644"/>
      <c r="D563" s="644"/>
      <c r="E563" s="639">
        <v>0</v>
      </c>
      <c r="F563" s="705"/>
      <c r="G563" s="639">
        <v>0</v>
      </c>
      <c r="H563" s="639">
        <v>0</v>
      </c>
      <c r="I563" s="639">
        <v>0</v>
      </c>
      <c r="J563" s="639">
        <v>0</v>
      </c>
      <c r="K563" s="639">
        <v>0</v>
      </c>
      <c r="L563" s="639">
        <v>0</v>
      </c>
      <c r="M563" s="639">
        <v>0</v>
      </c>
      <c r="N563" s="639">
        <v>0</v>
      </c>
      <c r="O563" s="639">
        <v>0</v>
      </c>
      <c r="P563" s="639">
        <v>0</v>
      </c>
      <c r="Q563" s="639">
        <v>0</v>
      </c>
      <c r="R563" s="639">
        <v>0</v>
      </c>
      <c r="S563" s="639">
        <v>0</v>
      </c>
      <c r="T563" s="813"/>
      <c r="V563" s="641">
        <f t="shared" si="214"/>
        <v>0</v>
      </c>
      <c r="W563" s="715">
        <f t="shared" si="215"/>
        <v>0</v>
      </c>
      <c r="X563" s="1016"/>
      <c r="Y563" s="675"/>
      <c r="AA563" s="675"/>
      <c r="AC563" s="675"/>
      <c r="AE563" s="675"/>
      <c r="AL563" s="489"/>
      <c r="AM563" s="489"/>
      <c r="AN563" s="489"/>
      <c r="AO563" s="489"/>
      <c r="AP563" s="489"/>
      <c r="AQ563" s="489"/>
      <c r="AR563" s="489"/>
      <c r="AS563" s="489"/>
    </row>
    <row r="564" spans="1:45" s="484" customFormat="1" ht="14.5">
      <c r="A564" s="695" t="s">
        <v>1306</v>
      </c>
      <c r="B564" s="647"/>
      <c r="C564" s="644"/>
      <c r="D564" s="644"/>
      <c r="E564" s="639">
        <v>0</v>
      </c>
      <c r="F564" s="705"/>
      <c r="G564" s="639">
        <v>0</v>
      </c>
      <c r="H564" s="639">
        <v>0</v>
      </c>
      <c r="I564" s="639">
        <v>0</v>
      </c>
      <c r="J564" s="639">
        <v>0</v>
      </c>
      <c r="K564" s="639">
        <v>0</v>
      </c>
      <c r="L564" s="639">
        <v>0</v>
      </c>
      <c r="M564" s="639">
        <v>0</v>
      </c>
      <c r="N564" s="639">
        <v>0</v>
      </c>
      <c r="O564" s="639">
        <v>0</v>
      </c>
      <c r="P564" s="639">
        <v>0</v>
      </c>
      <c r="Q564" s="639">
        <v>0</v>
      </c>
      <c r="R564" s="639">
        <v>0</v>
      </c>
      <c r="S564" s="639">
        <v>0</v>
      </c>
      <c r="T564" s="813"/>
      <c r="V564" s="641">
        <f t="shared" si="214"/>
        <v>0</v>
      </c>
      <c r="W564" s="715">
        <f t="shared" si="215"/>
        <v>0</v>
      </c>
      <c r="X564" s="1016"/>
      <c r="Y564" s="675"/>
      <c r="AA564" s="675"/>
      <c r="AC564" s="675"/>
      <c r="AE564" s="675"/>
      <c r="AL564" s="489"/>
      <c r="AM564" s="489"/>
      <c r="AN564" s="489"/>
      <c r="AO564" s="489"/>
      <c r="AP564" s="489"/>
      <c r="AQ564" s="489"/>
      <c r="AR564" s="489"/>
      <c r="AS564" s="489"/>
    </row>
    <row r="565" spans="1:45" s="484" customFormat="1" ht="14.5">
      <c r="A565" s="695" t="s">
        <v>1307</v>
      </c>
      <c r="B565" s="647"/>
      <c r="C565" s="644"/>
      <c r="D565" s="644"/>
      <c r="E565" s="639">
        <v>0</v>
      </c>
      <c r="F565" s="705"/>
      <c r="G565" s="639">
        <v>0</v>
      </c>
      <c r="H565" s="639">
        <v>0</v>
      </c>
      <c r="I565" s="639">
        <v>0</v>
      </c>
      <c r="J565" s="639">
        <v>0</v>
      </c>
      <c r="K565" s="639">
        <v>0</v>
      </c>
      <c r="L565" s="639">
        <v>0</v>
      </c>
      <c r="M565" s="639">
        <v>0</v>
      </c>
      <c r="N565" s="639">
        <v>0</v>
      </c>
      <c r="O565" s="639">
        <v>0</v>
      </c>
      <c r="P565" s="639">
        <v>0</v>
      </c>
      <c r="Q565" s="639">
        <v>0</v>
      </c>
      <c r="R565" s="639">
        <v>0</v>
      </c>
      <c r="S565" s="639">
        <v>0</v>
      </c>
      <c r="T565" s="813"/>
      <c r="V565" s="641">
        <f t="shared" si="214"/>
        <v>0</v>
      </c>
      <c r="W565" s="715">
        <f t="shared" si="215"/>
        <v>0</v>
      </c>
      <c r="X565" s="1016"/>
      <c r="Y565" s="675"/>
      <c r="AA565" s="675"/>
      <c r="AC565" s="675"/>
      <c r="AE565" s="675"/>
      <c r="AL565" s="489"/>
      <c r="AM565" s="489"/>
      <c r="AN565" s="489"/>
      <c r="AO565" s="489"/>
      <c r="AP565" s="489"/>
      <c r="AQ565" s="489"/>
      <c r="AR565" s="489"/>
      <c r="AS565" s="489"/>
    </row>
    <row r="566" spans="1:45" s="484" customFormat="1" ht="14.5">
      <c r="A566" s="695" t="s">
        <v>1308</v>
      </c>
      <c r="B566" s="647"/>
      <c r="C566" s="644"/>
      <c r="D566" s="644"/>
      <c r="E566" s="639">
        <v>0</v>
      </c>
      <c r="F566" s="705"/>
      <c r="G566" s="639">
        <v>0</v>
      </c>
      <c r="H566" s="639">
        <v>0</v>
      </c>
      <c r="I566" s="639">
        <v>0</v>
      </c>
      <c r="J566" s="639">
        <v>0</v>
      </c>
      <c r="K566" s="639">
        <v>0</v>
      </c>
      <c r="L566" s="639">
        <v>0</v>
      </c>
      <c r="M566" s="639">
        <v>0</v>
      </c>
      <c r="N566" s="639">
        <v>0</v>
      </c>
      <c r="O566" s="639">
        <v>0</v>
      </c>
      <c r="P566" s="639">
        <v>0</v>
      </c>
      <c r="Q566" s="639">
        <v>0</v>
      </c>
      <c r="R566" s="639">
        <v>0</v>
      </c>
      <c r="S566" s="639">
        <v>0</v>
      </c>
      <c r="T566" s="813"/>
      <c r="V566" s="641">
        <f t="shared" si="214"/>
        <v>0</v>
      </c>
      <c r="W566" s="715">
        <f t="shared" si="215"/>
        <v>0</v>
      </c>
      <c r="X566" s="1016"/>
      <c r="Y566" s="675"/>
      <c r="AA566" s="675"/>
      <c r="AC566" s="675"/>
      <c r="AE566" s="675"/>
      <c r="AL566" s="489"/>
      <c r="AM566" s="489"/>
      <c r="AN566" s="489"/>
      <c r="AO566" s="489"/>
      <c r="AP566" s="489"/>
      <c r="AQ566" s="489"/>
      <c r="AR566" s="489"/>
      <c r="AS566" s="489"/>
    </row>
    <row r="567" spans="1:45" s="484" customFormat="1" ht="14.5">
      <c r="A567" s="695" t="s">
        <v>1309</v>
      </c>
      <c r="B567" s="647"/>
      <c r="C567" s="644"/>
      <c r="D567" s="644"/>
      <c r="E567" s="639"/>
      <c r="F567" s="705"/>
      <c r="G567" s="639"/>
      <c r="H567" s="639"/>
      <c r="I567" s="639"/>
      <c r="J567" s="639"/>
      <c r="K567" s="639"/>
      <c r="L567" s="639"/>
      <c r="M567" s="639"/>
      <c r="N567" s="639"/>
      <c r="O567" s="639"/>
      <c r="P567" s="639"/>
      <c r="Q567" s="639"/>
      <c r="R567" s="639"/>
      <c r="S567" s="639"/>
      <c r="T567" s="813"/>
      <c r="V567" s="641">
        <f t="shared" si="214"/>
        <v>0</v>
      </c>
      <c r="W567" s="715">
        <f t="shared" si="215"/>
        <v>0</v>
      </c>
      <c r="X567" s="1016"/>
      <c r="Y567" s="675"/>
      <c r="AA567" s="675"/>
      <c r="AC567" s="675"/>
      <c r="AE567" s="675"/>
      <c r="AL567" s="489"/>
      <c r="AM567" s="489"/>
      <c r="AN567" s="489"/>
      <c r="AO567" s="489"/>
      <c r="AP567" s="489"/>
      <c r="AQ567" s="489"/>
      <c r="AR567" s="489"/>
      <c r="AS567" s="489"/>
    </row>
    <row r="568" spans="1:45" s="484" customFormat="1" ht="14.5">
      <c r="A568" s="695"/>
      <c r="B568" s="647"/>
      <c r="C568" s="644"/>
      <c r="D568" s="644"/>
      <c r="E568" s="644"/>
      <c r="F568" s="705"/>
      <c r="G568" s="639"/>
      <c r="H568" s="493"/>
      <c r="I568" s="493"/>
      <c r="J568" s="493"/>
      <c r="K568" s="493"/>
      <c r="L568" s="493"/>
      <c r="M568" s="493"/>
      <c r="N568" s="493"/>
      <c r="O568" s="493"/>
      <c r="P568" s="493"/>
      <c r="Q568" s="493"/>
      <c r="R568" s="493"/>
      <c r="S568" s="493"/>
      <c r="T568" s="794"/>
      <c r="V568" s="641">
        <f t="shared" si="214"/>
        <v>0</v>
      </c>
      <c r="W568" s="715">
        <f t="shared" si="215"/>
        <v>0</v>
      </c>
      <c r="X568" s="1016"/>
      <c r="Y568" s="675"/>
      <c r="AA568" s="675"/>
      <c r="AC568" s="675"/>
      <c r="AE568" s="675"/>
      <c r="AL568" s="489"/>
      <c r="AM568" s="489"/>
      <c r="AN568" s="489"/>
      <c r="AO568" s="489"/>
      <c r="AP568" s="489"/>
      <c r="AQ568" s="489"/>
      <c r="AR568" s="489"/>
      <c r="AS568" s="489"/>
    </row>
    <row r="569" spans="1:45" s="484" customFormat="1">
      <c r="A569" s="714" t="s">
        <v>1136</v>
      </c>
      <c r="B569" s="727">
        <v>191512506424.56</v>
      </c>
      <c r="C569" s="728"/>
      <c r="D569" s="728">
        <f>SUM(D533:D547)</f>
        <v>0</v>
      </c>
      <c r="E569" s="728">
        <f>SUM(E533:E568)</f>
        <v>94936165524.303696</v>
      </c>
      <c r="F569" s="721">
        <f t="shared" ref="F569:V569" si="220">SUM(F533:F568)</f>
        <v>0</v>
      </c>
      <c r="G569" s="728">
        <f t="shared" si="220"/>
        <v>114808470420.01001</v>
      </c>
      <c r="H569" s="728">
        <f t="shared" si="220"/>
        <v>122808470420.01001</v>
      </c>
      <c r="I569" s="728">
        <f t="shared" si="220"/>
        <v>130808470420.01001</v>
      </c>
      <c r="J569" s="728">
        <f t="shared" si="220"/>
        <v>138808470420.01001</v>
      </c>
      <c r="K569" s="728">
        <f t="shared" si="220"/>
        <v>146808470420.01001</v>
      </c>
      <c r="L569" s="728">
        <f t="shared" si="220"/>
        <v>154808470420.01001</v>
      </c>
      <c r="M569" s="728">
        <f t="shared" si="220"/>
        <v>162808470420.01001</v>
      </c>
      <c r="N569" s="728">
        <f t="shared" si="220"/>
        <v>170808470420.01001</v>
      </c>
      <c r="O569" s="728">
        <f t="shared" si="220"/>
        <v>178808470420.01001</v>
      </c>
      <c r="P569" s="728">
        <f t="shared" si="220"/>
        <v>186808470420.01001</v>
      </c>
      <c r="Q569" s="728">
        <f t="shared" si="220"/>
        <v>194808470420.01001</v>
      </c>
      <c r="R569" s="728">
        <f>SUM(R533:R568)</f>
        <v>202808470420.01001</v>
      </c>
      <c r="S569" s="728">
        <f>SUM(S533:S568)</f>
        <v>210808470420.01001</v>
      </c>
      <c r="T569" s="826"/>
      <c r="V569" s="728">
        <f t="shared" si="220"/>
        <v>210808470420.01001</v>
      </c>
      <c r="W569" s="715">
        <f t="shared" si="215"/>
        <v>3.3870484408453916E-2</v>
      </c>
      <c r="X569" s="1025"/>
      <c r="Y569" s="729">
        <f>SUM(Y533:Y550)-Y542</f>
        <v>97028787776.843994</v>
      </c>
      <c r="Z569" s="730">
        <f>Y569/V569-1</f>
        <v>-0.53973012761998584</v>
      </c>
      <c r="AA569" s="729">
        <f>SUM(AA533:AA550)-AA542</f>
        <v>135840302887.5816</v>
      </c>
      <c r="AB569" s="730">
        <f>+AA569/Y569-1</f>
        <v>0.40000000000000013</v>
      </c>
      <c r="AC569" s="729">
        <f>SUM(AC533:AC550)-AC542</f>
        <v>203760454331.37238</v>
      </c>
      <c r="AD569" s="730">
        <f>+AC569/AA569-1</f>
        <v>0.49999999999999978</v>
      </c>
      <c r="AE569" s="729">
        <f>SUM(AE533:AE550)-AE542</f>
        <v>254700567914.21548</v>
      </c>
      <c r="AF569" s="730">
        <f>+AE569/AC569-1</f>
        <v>0.25</v>
      </c>
      <c r="AL569" s="489"/>
      <c r="AM569" s="489"/>
      <c r="AN569" s="489"/>
      <c r="AO569" s="489"/>
      <c r="AP569" s="489"/>
      <c r="AQ569" s="489"/>
      <c r="AR569" s="489"/>
      <c r="AS569" s="489"/>
    </row>
    <row r="570" spans="1:45" s="745" customFormat="1">
      <c r="A570" s="740"/>
      <c r="B570" s="741"/>
      <c r="C570" s="742"/>
      <c r="D570" s="742"/>
      <c r="E570" s="742"/>
      <c r="F570" s="721"/>
      <c r="G570" s="742"/>
      <c r="H570" s="742"/>
      <c r="I570" s="742"/>
      <c r="J570" s="742"/>
      <c r="K570" s="742"/>
      <c r="L570" s="742"/>
      <c r="M570" s="742"/>
      <c r="N570" s="742"/>
      <c r="O570" s="742"/>
      <c r="P570" s="728"/>
      <c r="Q570" s="742"/>
      <c r="R570" s="742"/>
      <c r="S570" s="742"/>
      <c r="T570" s="826"/>
      <c r="V570" s="742"/>
      <c r="W570" s="743">
        <f t="shared" si="215"/>
        <v>0</v>
      </c>
      <c r="X570" s="1027"/>
      <c r="Y570" s="744"/>
      <c r="Z570" s="743"/>
      <c r="AA570" s="744"/>
      <c r="AB570" s="743"/>
      <c r="AC570" s="744"/>
      <c r="AD570" s="743"/>
      <c r="AE570" s="744"/>
      <c r="AF570" s="743"/>
    </row>
    <row r="571" spans="1:45" s="484" customFormat="1">
      <c r="A571" s="490" t="s">
        <v>1137</v>
      </c>
      <c r="B571" s="633" t="s">
        <v>1273</v>
      </c>
      <c r="C571" s="634"/>
      <c r="D571" s="693" t="s">
        <v>1274</v>
      </c>
      <c r="E571" s="690">
        <v>42613</v>
      </c>
      <c r="F571" s="711"/>
      <c r="G571" s="690">
        <v>42735</v>
      </c>
      <c r="H571" s="690">
        <v>42736</v>
      </c>
      <c r="I571" s="690">
        <v>42768</v>
      </c>
      <c r="J571" s="690">
        <v>42800</v>
      </c>
      <c r="K571" s="690">
        <v>42832</v>
      </c>
      <c r="L571" s="690">
        <v>42864</v>
      </c>
      <c r="M571" s="690">
        <v>42896</v>
      </c>
      <c r="N571" s="690">
        <v>42928</v>
      </c>
      <c r="O571" s="690">
        <v>42960</v>
      </c>
      <c r="P571" s="690">
        <v>42992</v>
      </c>
      <c r="Q571" s="690">
        <v>43024</v>
      </c>
      <c r="R571" s="690">
        <v>43056</v>
      </c>
      <c r="S571" s="690">
        <v>43088</v>
      </c>
      <c r="T571" s="822"/>
      <c r="V571" s="690" t="s">
        <v>1159</v>
      </c>
      <c r="W571" s="660"/>
      <c r="X571" s="1014"/>
      <c r="Y571" s="634"/>
      <c r="Z571" s="634"/>
      <c r="AA571" s="661"/>
      <c r="AB571" s="661"/>
      <c r="AC571" s="661"/>
      <c r="AD571" s="661"/>
      <c r="AE571" s="661"/>
      <c r="AF571" s="661"/>
      <c r="AL571" s="489"/>
      <c r="AM571" s="489"/>
      <c r="AN571" s="489"/>
      <c r="AO571" s="489"/>
      <c r="AP571" s="489"/>
      <c r="AQ571" s="489"/>
      <c r="AR571" s="489"/>
      <c r="AS571" s="489"/>
    </row>
    <row r="572" spans="1:45" s="484" customFormat="1">
      <c r="A572" s="695" t="s">
        <v>1275</v>
      </c>
      <c r="B572" s="638">
        <v>2891247907</v>
      </c>
      <c r="C572" s="639"/>
      <c r="D572" s="639"/>
      <c r="E572" s="639">
        <v>0</v>
      </c>
      <c r="F572" s="703"/>
      <c r="G572" s="639">
        <v>0</v>
      </c>
      <c r="H572" s="639">
        <v>0</v>
      </c>
      <c r="I572" s="639">
        <v>0</v>
      </c>
      <c r="J572" s="639">
        <v>0</v>
      </c>
      <c r="K572" s="639">
        <v>0</v>
      </c>
      <c r="L572" s="639">
        <v>0</v>
      </c>
      <c r="M572" s="639">
        <v>0</v>
      </c>
      <c r="N572" s="639">
        <v>0</v>
      </c>
      <c r="O572" s="639">
        <v>0</v>
      </c>
      <c r="P572" s="639">
        <v>0</v>
      </c>
      <c r="Q572" s="639">
        <v>0</v>
      </c>
      <c r="R572" s="639">
        <v>0</v>
      </c>
      <c r="S572" s="639">
        <v>0</v>
      </c>
      <c r="T572" s="813"/>
      <c r="V572" s="641">
        <f t="shared" ref="V572:V607" si="221">+S572</f>
        <v>0</v>
      </c>
      <c r="W572" s="715">
        <f t="shared" ref="W572:W608" si="222">+V572/$V$256</f>
        <v>0</v>
      </c>
      <c r="X572" s="1015"/>
      <c r="Y572" s="675">
        <f>+V572*(100%+$Y$16)</f>
        <v>0</v>
      </c>
      <c r="Z572" s="664"/>
      <c r="AA572" s="675">
        <f>+Y572*(100%+$AA$16)</f>
        <v>0</v>
      </c>
      <c r="AB572" s="664"/>
      <c r="AC572" s="675">
        <f>+AA572*(100%+$AC$16)</f>
        <v>0</v>
      </c>
      <c r="AD572" s="664"/>
      <c r="AE572" s="675">
        <f>+AC572*(100%+$AE$16)</f>
        <v>0</v>
      </c>
      <c r="AF572" s="664"/>
      <c r="AL572" s="489"/>
      <c r="AM572" s="489"/>
      <c r="AN572" s="489"/>
      <c r="AO572" s="489"/>
      <c r="AP572" s="489"/>
      <c r="AQ572" s="489"/>
      <c r="AR572" s="489"/>
      <c r="AS572" s="489"/>
    </row>
    <row r="573" spans="1:45" s="484" customFormat="1" ht="14.5">
      <c r="A573" s="695" t="s">
        <v>1276</v>
      </c>
      <c r="B573" s="647"/>
      <c r="C573" s="644"/>
      <c r="D573" s="644"/>
      <c r="E573" s="639">
        <v>0</v>
      </c>
      <c r="F573" s="705"/>
      <c r="G573" s="639">
        <v>0</v>
      </c>
      <c r="H573" s="639">
        <v>25000000</v>
      </c>
      <c r="I573" s="639">
        <v>50000000</v>
      </c>
      <c r="J573" s="639">
        <v>75000000</v>
      </c>
      <c r="K573" s="639">
        <v>100000000</v>
      </c>
      <c r="L573" s="639">
        <v>125000000</v>
      </c>
      <c r="M573" s="639">
        <v>150000000</v>
      </c>
      <c r="N573" s="639">
        <v>175000000</v>
      </c>
      <c r="O573" s="639">
        <v>200000000</v>
      </c>
      <c r="P573" s="639">
        <v>225000000</v>
      </c>
      <c r="Q573" s="639">
        <v>250000000</v>
      </c>
      <c r="R573" s="639">
        <v>275000000</v>
      </c>
      <c r="S573" s="639">
        <v>300000000</v>
      </c>
      <c r="T573" s="813"/>
      <c r="V573" s="641">
        <f t="shared" si="221"/>
        <v>300000000</v>
      </c>
      <c r="W573" s="715">
        <f t="shared" si="222"/>
        <v>4.8200839853784526E-5</v>
      </c>
      <c r="X573" s="1016"/>
      <c r="Y573" s="675">
        <f t="shared" ref="Y573:Y589" si="223">+V573*(100%+$Y$16)</f>
        <v>360000000</v>
      </c>
      <c r="Z573" s="670"/>
      <c r="AA573" s="675">
        <f>+Y573*(100%+$AA$16)</f>
        <v>503999999.99999994</v>
      </c>
      <c r="AB573" s="670"/>
      <c r="AC573" s="675">
        <f>+AA573*(100%+$AC$16)</f>
        <v>755999999.99999988</v>
      </c>
      <c r="AD573" s="670"/>
      <c r="AE573" s="675">
        <f>+AC573*(100%+$AE$16)</f>
        <v>944999999.99999988</v>
      </c>
      <c r="AF573" s="670"/>
      <c r="AL573" s="489"/>
      <c r="AM573" s="489"/>
      <c r="AN573" s="489"/>
      <c r="AO573" s="489"/>
      <c r="AP573" s="489"/>
      <c r="AQ573" s="489"/>
      <c r="AR573" s="489"/>
      <c r="AS573" s="489"/>
    </row>
    <row r="574" spans="1:45" s="484" customFormat="1">
      <c r="A574" s="695" t="s">
        <v>1277</v>
      </c>
      <c r="B574" s="638">
        <v>20896385642</v>
      </c>
      <c r="C574" s="639"/>
      <c r="D574" s="639"/>
      <c r="E574" s="639">
        <v>0</v>
      </c>
      <c r="F574" s="703"/>
      <c r="G574" s="639">
        <v>0</v>
      </c>
      <c r="H574" s="639">
        <v>0</v>
      </c>
      <c r="I574" s="639">
        <v>0</v>
      </c>
      <c r="J574" s="639">
        <v>0</v>
      </c>
      <c r="K574" s="639">
        <v>0</v>
      </c>
      <c r="L574" s="639">
        <v>0</v>
      </c>
      <c r="M574" s="639">
        <v>0</v>
      </c>
      <c r="N574" s="639">
        <v>0</v>
      </c>
      <c r="O574" s="639">
        <v>0</v>
      </c>
      <c r="P574" s="639">
        <v>0</v>
      </c>
      <c r="Q574" s="639">
        <v>0</v>
      </c>
      <c r="R574" s="639">
        <v>0</v>
      </c>
      <c r="S574" s="639">
        <v>0</v>
      </c>
      <c r="T574" s="813"/>
      <c r="V574" s="641">
        <f t="shared" si="221"/>
        <v>0</v>
      </c>
      <c r="W574" s="715">
        <f t="shared" si="222"/>
        <v>0</v>
      </c>
      <c r="X574" s="1015"/>
      <c r="Y574" s="675">
        <f t="shared" si="223"/>
        <v>0</v>
      </c>
      <c r="Z574" s="675"/>
      <c r="AA574" s="675">
        <f t="shared" ref="AA574:AA589" si="224">+Y574*(100%+$AA$16)</f>
        <v>0</v>
      </c>
      <c r="AB574" s="675"/>
      <c r="AC574" s="675">
        <f t="shared" ref="AC574:AC589" si="225">+AA574*(100%+$AC$16)</f>
        <v>0</v>
      </c>
      <c r="AD574" s="675"/>
      <c r="AE574" s="675">
        <f t="shared" ref="AE574:AE589" si="226">+AC574*(100%+$AE$16)</f>
        <v>0</v>
      </c>
      <c r="AF574" s="675"/>
      <c r="AL574" s="489"/>
      <c r="AM574" s="489"/>
      <c r="AN574" s="489"/>
      <c r="AO574" s="489"/>
      <c r="AP574" s="489"/>
      <c r="AQ574" s="489"/>
      <c r="AR574" s="489"/>
      <c r="AS574" s="489"/>
    </row>
    <row r="575" spans="1:45" s="484" customFormat="1" ht="14.5">
      <c r="A575" s="695" t="s">
        <v>1278</v>
      </c>
      <c r="B575" s="647"/>
      <c r="C575" s="644"/>
      <c r="D575" s="644"/>
      <c r="E575" s="639">
        <v>0</v>
      </c>
      <c r="F575" s="705"/>
      <c r="G575" s="639">
        <v>0</v>
      </c>
      <c r="H575" s="639">
        <v>0</v>
      </c>
      <c r="I575" s="639">
        <v>0</v>
      </c>
      <c r="J575" s="639">
        <v>0</v>
      </c>
      <c r="K575" s="639">
        <v>0</v>
      </c>
      <c r="L575" s="639">
        <v>0</v>
      </c>
      <c r="M575" s="639">
        <v>0</v>
      </c>
      <c r="N575" s="639">
        <v>0</v>
      </c>
      <c r="O575" s="639">
        <v>0</v>
      </c>
      <c r="P575" s="639">
        <v>0</v>
      </c>
      <c r="Q575" s="639">
        <v>0</v>
      </c>
      <c r="R575" s="639">
        <v>0</v>
      </c>
      <c r="S575" s="639">
        <v>0</v>
      </c>
      <c r="T575" s="813"/>
      <c r="V575" s="641">
        <f t="shared" si="221"/>
        <v>0</v>
      </c>
      <c r="W575" s="715">
        <f t="shared" si="222"/>
        <v>0</v>
      </c>
      <c r="X575" s="1016"/>
      <c r="Y575" s="675">
        <f t="shared" si="223"/>
        <v>0</v>
      </c>
      <c r="Z575" s="670"/>
      <c r="AA575" s="675">
        <f t="shared" si="224"/>
        <v>0</v>
      </c>
      <c r="AB575" s="670"/>
      <c r="AC575" s="675">
        <f t="shared" si="225"/>
        <v>0</v>
      </c>
      <c r="AD575" s="670"/>
      <c r="AE575" s="675">
        <f t="shared" si="226"/>
        <v>0</v>
      </c>
      <c r="AF575" s="670"/>
      <c r="AL575" s="489"/>
      <c r="AM575" s="489"/>
      <c r="AN575" s="489"/>
      <c r="AO575" s="489"/>
      <c r="AP575" s="489"/>
      <c r="AQ575" s="489"/>
      <c r="AR575" s="489"/>
      <c r="AS575" s="489"/>
    </row>
    <row r="576" spans="1:45" s="484" customFormat="1">
      <c r="A576" s="695" t="s">
        <v>1279</v>
      </c>
      <c r="B576" s="638">
        <v>12712848871</v>
      </c>
      <c r="C576" s="639"/>
      <c r="D576" s="639"/>
      <c r="E576" s="639">
        <v>0</v>
      </c>
      <c r="F576" s="703"/>
      <c r="G576" s="639">
        <v>0</v>
      </c>
      <c r="H576" s="639">
        <v>200000000</v>
      </c>
      <c r="I576" s="639">
        <v>400000000</v>
      </c>
      <c r="J576" s="639">
        <v>600000000</v>
      </c>
      <c r="K576" s="639">
        <v>800000000</v>
      </c>
      <c r="L576" s="639">
        <v>1000000000</v>
      </c>
      <c r="M576" s="639">
        <v>1200000000</v>
      </c>
      <c r="N576" s="639">
        <v>1400000000</v>
      </c>
      <c r="O576" s="639">
        <v>1600000000</v>
      </c>
      <c r="P576" s="639">
        <v>1800000000</v>
      </c>
      <c r="Q576" s="639">
        <v>2000000000</v>
      </c>
      <c r="R576" s="639">
        <v>2200000000</v>
      </c>
      <c r="S576" s="639">
        <v>2400000000</v>
      </c>
      <c r="T576" s="813"/>
      <c r="V576" s="641">
        <f t="shared" si="221"/>
        <v>2400000000</v>
      </c>
      <c r="W576" s="715">
        <f t="shared" si="222"/>
        <v>3.8560671883027621E-4</v>
      </c>
      <c r="X576" s="1015"/>
      <c r="Y576" s="675">
        <f t="shared" si="223"/>
        <v>2880000000</v>
      </c>
      <c r="Z576" s="675"/>
      <c r="AA576" s="675">
        <f t="shared" si="224"/>
        <v>4031999999.9999995</v>
      </c>
      <c r="AB576" s="675"/>
      <c r="AC576" s="675">
        <f t="shared" si="225"/>
        <v>6047999999.999999</v>
      </c>
      <c r="AD576" s="675"/>
      <c r="AE576" s="675">
        <f t="shared" si="226"/>
        <v>7559999999.999999</v>
      </c>
      <c r="AF576" s="675"/>
      <c r="AL576" s="489"/>
      <c r="AM576" s="489"/>
      <c r="AN576" s="489"/>
      <c r="AO576" s="489"/>
      <c r="AP576" s="489"/>
      <c r="AQ576" s="489"/>
      <c r="AR576" s="489"/>
      <c r="AS576" s="489"/>
    </row>
    <row r="577" spans="1:45" s="484" customFormat="1" ht="14.5">
      <c r="A577" s="695" t="s">
        <v>1280</v>
      </c>
      <c r="B577" s="647"/>
      <c r="C577" s="644"/>
      <c r="D577" s="644"/>
      <c r="E577" s="639">
        <v>0</v>
      </c>
      <c r="F577" s="705"/>
      <c r="G577" s="639">
        <v>0</v>
      </c>
      <c r="H577" s="639">
        <v>50000000</v>
      </c>
      <c r="I577" s="639">
        <v>100000000</v>
      </c>
      <c r="J577" s="639">
        <v>150000000</v>
      </c>
      <c r="K577" s="639">
        <v>200000000</v>
      </c>
      <c r="L577" s="639">
        <v>250000000</v>
      </c>
      <c r="M577" s="639">
        <v>300000000</v>
      </c>
      <c r="N577" s="639">
        <v>350000000</v>
      </c>
      <c r="O577" s="639">
        <v>400000000</v>
      </c>
      <c r="P577" s="639">
        <v>450000000</v>
      </c>
      <c r="Q577" s="639">
        <v>500000000</v>
      </c>
      <c r="R577" s="639">
        <v>550000000</v>
      </c>
      <c r="S577" s="639">
        <v>600000000</v>
      </c>
      <c r="T577" s="813"/>
      <c r="V577" s="641">
        <f t="shared" si="221"/>
        <v>600000000</v>
      </c>
      <c r="W577" s="715">
        <f t="shared" si="222"/>
        <v>9.6401679707569052E-5</v>
      </c>
      <c r="X577" s="1016"/>
      <c r="Y577" s="675">
        <f t="shared" si="223"/>
        <v>720000000</v>
      </c>
      <c r="Z577" s="670"/>
      <c r="AA577" s="675">
        <f t="shared" si="224"/>
        <v>1007999999.9999999</v>
      </c>
      <c r="AB577" s="670"/>
      <c r="AC577" s="675">
        <f t="shared" si="225"/>
        <v>1511999999.9999998</v>
      </c>
      <c r="AD577" s="670"/>
      <c r="AE577" s="675">
        <f t="shared" si="226"/>
        <v>1889999999.9999998</v>
      </c>
      <c r="AF577" s="670"/>
      <c r="AL577" s="489"/>
      <c r="AM577" s="489"/>
      <c r="AN577" s="489"/>
      <c r="AO577" s="489"/>
      <c r="AP577" s="489"/>
      <c r="AQ577" s="489"/>
      <c r="AR577" s="489"/>
      <c r="AS577" s="489"/>
    </row>
    <row r="578" spans="1:45" s="484" customFormat="1">
      <c r="A578" s="695" t="s">
        <v>1281</v>
      </c>
      <c r="B578" s="638">
        <v>5637570085</v>
      </c>
      <c r="C578" s="639"/>
      <c r="D578" s="639"/>
      <c r="E578" s="639">
        <v>0</v>
      </c>
      <c r="F578" s="703"/>
      <c r="G578" s="639">
        <v>0</v>
      </c>
      <c r="H578" s="639">
        <v>10000000</v>
      </c>
      <c r="I578" s="639">
        <v>20000000</v>
      </c>
      <c r="J578" s="639">
        <v>30000000</v>
      </c>
      <c r="K578" s="639">
        <v>40000000</v>
      </c>
      <c r="L578" s="639">
        <v>50000000</v>
      </c>
      <c r="M578" s="639">
        <v>60000000</v>
      </c>
      <c r="N578" s="639">
        <v>70000000</v>
      </c>
      <c r="O578" s="639">
        <v>80000000</v>
      </c>
      <c r="P578" s="639">
        <v>90000000</v>
      </c>
      <c r="Q578" s="639">
        <v>100000000</v>
      </c>
      <c r="R578" s="639">
        <v>110000000</v>
      </c>
      <c r="S578" s="639">
        <v>120000000</v>
      </c>
      <c r="T578" s="813"/>
      <c r="V578" s="641">
        <f t="shared" si="221"/>
        <v>120000000</v>
      </c>
      <c r="W578" s="715">
        <f t="shared" si="222"/>
        <v>1.9280335941513809E-5</v>
      </c>
      <c r="X578" s="1015"/>
      <c r="Y578" s="675">
        <f t="shared" si="223"/>
        <v>144000000</v>
      </c>
      <c r="Z578" s="675"/>
      <c r="AA578" s="675">
        <f t="shared" si="224"/>
        <v>201600000</v>
      </c>
      <c r="AB578" s="675"/>
      <c r="AC578" s="675">
        <f t="shared" si="225"/>
        <v>302400000</v>
      </c>
      <c r="AD578" s="675"/>
      <c r="AE578" s="675">
        <f t="shared" si="226"/>
        <v>378000000</v>
      </c>
      <c r="AF578" s="675"/>
      <c r="AL578" s="489"/>
      <c r="AM578" s="489"/>
      <c r="AN578" s="489"/>
      <c r="AO578" s="489"/>
      <c r="AP578" s="489"/>
      <c r="AQ578" s="489"/>
      <c r="AR578" s="489"/>
      <c r="AS578" s="489"/>
    </row>
    <row r="579" spans="1:45" s="484" customFormat="1" ht="14.5">
      <c r="A579" s="695" t="s">
        <v>1282</v>
      </c>
      <c r="B579" s="647"/>
      <c r="C579" s="644"/>
      <c r="D579" s="644"/>
      <c r="E579" s="639">
        <v>0</v>
      </c>
      <c r="F579" s="705"/>
      <c r="G579" s="639">
        <v>0</v>
      </c>
      <c r="H579" s="639">
        <v>0</v>
      </c>
      <c r="I579" s="639">
        <v>0</v>
      </c>
      <c r="J579" s="639">
        <v>0</v>
      </c>
      <c r="K579" s="639">
        <v>0</v>
      </c>
      <c r="L579" s="639">
        <v>0</v>
      </c>
      <c r="M579" s="639">
        <v>0</v>
      </c>
      <c r="N579" s="639">
        <v>0</v>
      </c>
      <c r="O579" s="639">
        <v>0</v>
      </c>
      <c r="P579" s="639">
        <v>0</v>
      </c>
      <c r="Q579" s="639">
        <v>0</v>
      </c>
      <c r="R579" s="639">
        <v>0</v>
      </c>
      <c r="S579" s="639">
        <v>0</v>
      </c>
      <c r="T579" s="813"/>
      <c r="V579" s="641">
        <f t="shared" si="221"/>
        <v>0</v>
      </c>
      <c r="W579" s="715">
        <f t="shared" si="222"/>
        <v>0</v>
      </c>
      <c r="X579" s="1016"/>
      <c r="Y579" s="675">
        <f t="shared" si="223"/>
        <v>0</v>
      </c>
      <c r="Z579" s="670"/>
      <c r="AA579" s="675">
        <f t="shared" si="224"/>
        <v>0</v>
      </c>
      <c r="AB579" s="670"/>
      <c r="AC579" s="675">
        <f t="shared" si="225"/>
        <v>0</v>
      </c>
      <c r="AD579" s="670"/>
      <c r="AE579" s="675">
        <f t="shared" si="226"/>
        <v>0</v>
      </c>
      <c r="AF579" s="670"/>
      <c r="AL579" s="489"/>
      <c r="AM579" s="489"/>
      <c r="AN579" s="489"/>
      <c r="AO579" s="489"/>
      <c r="AP579" s="489"/>
      <c r="AQ579" s="489"/>
      <c r="AR579" s="489"/>
      <c r="AS579" s="489"/>
    </row>
    <row r="580" spans="1:45" s="484" customFormat="1">
      <c r="A580" s="695" t="s">
        <v>1283</v>
      </c>
      <c r="B580" s="638">
        <v>12566671540</v>
      </c>
      <c r="C580" s="639"/>
      <c r="D580" s="639"/>
      <c r="E580" s="639">
        <v>0</v>
      </c>
      <c r="F580" s="703"/>
      <c r="G580" s="639">
        <v>0</v>
      </c>
      <c r="H580" s="639">
        <v>0</v>
      </c>
      <c r="I580" s="639">
        <v>0</v>
      </c>
      <c r="J580" s="639">
        <v>0</v>
      </c>
      <c r="K580" s="639">
        <v>0</v>
      </c>
      <c r="L580" s="639">
        <v>0</v>
      </c>
      <c r="M580" s="639">
        <v>0</v>
      </c>
      <c r="N580" s="639">
        <v>0</v>
      </c>
      <c r="O580" s="639">
        <v>0</v>
      </c>
      <c r="P580" s="639">
        <v>0</v>
      </c>
      <c r="Q580" s="639">
        <v>0</v>
      </c>
      <c r="R580" s="639">
        <v>0</v>
      </c>
      <c r="S580" s="639">
        <v>0</v>
      </c>
      <c r="T580" s="813"/>
      <c r="V580" s="641">
        <f t="shared" si="221"/>
        <v>0</v>
      </c>
      <c r="W580" s="715">
        <f t="shared" si="222"/>
        <v>0</v>
      </c>
      <c r="X580" s="1015"/>
      <c r="Y580" s="675">
        <f t="shared" si="223"/>
        <v>0</v>
      </c>
      <c r="Z580" s="675"/>
      <c r="AA580" s="675">
        <f t="shared" si="224"/>
        <v>0</v>
      </c>
      <c r="AB580" s="675"/>
      <c r="AC580" s="675">
        <f t="shared" si="225"/>
        <v>0</v>
      </c>
      <c r="AD580" s="675"/>
      <c r="AE580" s="675">
        <f t="shared" si="226"/>
        <v>0</v>
      </c>
      <c r="AF580" s="675"/>
      <c r="AL580" s="489"/>
      <c r="AM580" s="489"/>
      <c r="AN580" s="489"/>
      <c r="AO580" s="489"/>
      <c r="AP580" s="489"/>
      <c r="AQ580" s="489"/>
      <c r="AR580" s="489"/>
      <c r="AS580" s="489"/>
    </row>
    <row r="581" spans="1:45" s="484" customFormat="1" ht="14.5">
      <c r="A581" s="695" t="s">
        <v>1284</v>
      </c>
      <c r="B581" s="647"/>
      <c r="C581" s="644"/>
      <c r="D581" s="644"/>
      <c r="E581" s="639">
        <v>0</v>
      </c>
      <c r="F581" s="705"/>
      <c r="G581" s="639">
        <v>0</v>
      </c>
      <c r="H581" s="639">
        <v>50000000</v>
      </c>
      <c r="I581" s="639">
        <v>100000000</v>
      </c>
      <c r="J581" s="639">
        <v>150000000</v>
      </c>
      <c r="K581" s="639">
        <v>200000000</v>
      </c>
      <c r="L581" s="639">
        <v>250000000</v>
      </c>
      <c r="M581" s="639">
        <v>300000000</v>
      </c>
      <c r="N581" s="639">
        <v>350000000</v>
      </c>
      <c r="O581" s="639">
        <v>400000000</v>
      </c>
      <c r="P581" s="639">
        <v>450000000</v>
      </c>
      <c r="Q581" s="639">
        <v>500000000</v>
      </c>
      <c r="R581" s="639">
        <v>550000000</v>
      </c>
      <c r="S581" s="639">
        <v>600000000</v>
      </c>
      <c r="T581" s="813"/>
      <c r="V581" s="641">
        <f t="shared" si="221"/>
        <v>600000000</v>
      </c>
      <c r="W581" s="715">
        <f t="shared" si="222"/>
        <v>9.6401679707569052E-5</v>
      </c>
      <c r="X581" s="1016"/>
      <c r="Y581" s="675">
        <f t="shared" si="223"/>
        <v>720000000</v>
      </c>
      <c r="Z581" s="670"/>
      <c r="AA581" s="675">
        <f t="shared" si="224"/>
        <v>1007999999.9999999</v>
      </c>
      <c r="AB581" s="670"/>
      <c r="AC581" s="675">
        <f t="shared" si="225"/>
        <v>1511999999.9999998</v>
      </c>
      <c r="AD581" s="670"/>
      <c r="AE581" s="675">
        <f t="shared" si="226"/>
        <v>1889999999.9999998</v>
      </c>
      <c r="AF581" s="670"/>
      <c r="AL581" s="489"/>
      <c r="AM581" s="489"/>
      <c r="AN581" s="489"/>
      <c r="AO581" s="489"/>
      <c r="AP581" s="489"/>
      <c r="AQ581" s="489"/>
      <c r="AR581" s="489"/>
      <c r="AS581" s="489"/>
    </row>
    <row r="582" spans="1:45" s="484" customFormat="1">
      <c r="A582" s="695" t="s">
        <v>1285</v>
      </c>
      <c r="B582" s="638">
        <v>3756181378.5600004</v>
      </c>
      <c r="C582" s="639"/>
      <c r="D582" s="639"/>
      <c r="E582" s="639">
        <v>0</v>
      </c>
      <c r="F582" s="703"/>
      <c r="G582" s="639">
        <v>0</v>
      </c>
      <c r="H582" s="639">
        <v>300000000</v>
      </c>
      <c r="I582" s="639">
        <v>600000000</v>
      </c>
      <c r="J582" s="639">
        <v>900000000</v>
      </c>
      <c r="K582" s="639">
        <v>1200000000</v>
      </c>
      <c r="L582" s="639">
        <v>1500000000</v>
      </c>
      <c r="M582" s="639">
        <v>1800000000</v>
      </c>
      <c r="N582" s="639">
        <v>2100000000</v>
      </c>
      <c r="O582" s="639">
        <v>2400000000</v>
      </c>
      <c r="P582" s="639">
        <v>2700000000</v>
      </c>
      <c r="Q582" s="639">
        <v>3000000000</v>
      </c>
      <c r="R582" s="639">
        <v>3300000000</v>
      </c>
      <c r="S582" s="639">
        <v>3600000000</v>
      </c>
      <c r="T582" s="813"/>
      <c r="V582" s="641">
        <f t="shared" si="221"/>
        <v>3600000000</v>
      </c>
      <c r="W582" s="715">
        <f t="shared" si="222"/>
        <v>5.7841007824541428E-4</v>
      </c>
      <c r="X582" s="1015"/>
      <c r="Y582" s="675">
        <f t="shared" si="223"/>
        <v>4320000000</v>
      </c>
      <c r="Z582" s="675"/>
      <c r="AA582" s="675">
        <f t="shared" si="224"/>
        <v>6048000000</v>
      </c>
      <c r="AB582" s="675"/>
      <c r="AC582" s="675">
        <f t="shared" si="225"/>
        <v>9072000000</v>
      </c>
      <c r="AD582" s="675"/>
      <c r="AE582" s="675">
        <f t="shared" si="226"/>
        <v>11340000000</v>
      </c>
      <c r="AF582" s="675"/>
      <c r="AL582" s="489"/>
      <c r="AM582" s="489"/>
      <c r="AN582" s="489"/>
      <c r="AO582" s="489"/>
      <c r="AP582" s="489"/>
      <c r="AQ582" s="489"/>
      <c r="AR582" s="489"/>
      <c r="AS582" s="489"/>
    </row>
    <row r="583" spans="1:45" s="484" customFormat="1" ht="14.5" hidden="1">
      <c r="A583" s="695" t="s">
        <v>1286</v>
      </c>
      <c r="B583" s="647"/>
      <c r="C583" s="644"/>
      <c r="D583" s="644"/>
      <c r="E583" s="639">
        <v>0</v>
      </c>
      <c r="F583" s="705"/>
      <c r="G583" s="639">
        <v>0</v>
      </c>
      <c r="H583" s="639">
        <v>0</v>
      </c>
      <c r="I583" s="639">
        <v>0</v>
      </c>
      <c r="J583" s="639">
        <v>0</v>
      </c>
      <c r="K583" s="639">
        <v>0</v>
      </c>
      <c r="L583" s="639">
        <v>0</v>
      </c>
      <c r="M583" s="639">
        <v>0</v>
      </c>
      <c r="N583" s="639">
        <v>0</v>
      </c>
      <c r="O583" s="639">
        <v>0</v>
      </c>
      <c r="P583" s="639">
        <v>0</v>
      </c>
      <c r="Q583" s="639">
        <v>0</v>
      </c>
      <c r="R583" s="639">
        <v>0</v>
      </c>
      <c r="S583" s="639">
        <v>0</v>
      </c>
      <c r="T583" s="813"/>
      <c r="V583" s="641">
        <f t="shared" si="221"/>
        <v>0</v>
      </c>
      <c r="W583" s="715">
        <f t="shared" si="222"/>
        <v>0</v>
      </c>
      <c r="X583" s="1016"/>
      <c r="Y583" s="675">
        <f t="shared" si="223"/>
        <v>0</v>
      </c>
      <c r="Z583" s="670"/>
      <c r="AA583" s="675">
        <f t="shared" si="224"/>
        <v>0</v>
      </c>
      <c r="AB583" s="670"/>
      <c r="AC583" s="675">
        <f t="shared" si="225"/>
        <v>0</v>
      </c>
      <c r="AD583" s="670"/>
      <c r="AE583" s="675">
        <f t="shared" si="226"/>
        <v>0</v>
      </c>
      <c r="AF583" s="670"/>
      <c r="AL583" s="489"/>
      <c r="AM583" s="489"/>
      <c r="AN583" s="489"/>
      <c r="AO583" s="489"/>
      <c r="AP583" s="489"/>
      <c r="AQ583" s="489"/>
      <c r="AR583" s="489"/>
      <c r="AS583" s="489"/>
    </row>
    <row r="584" spans="1:45" s="484" customFormat="1" hidden="1">
      <c r="A584" s="695" t="s">
        <v>1287</v>
      </c>
      <c r="B584" s="638">
        <v>0</v>
      </c>
      <c r="C584" s="639"/>
      <c r="D584" s="639"/>
      <c r="E584" s="639">
        <v>0</v>
      </c>
      <c r="F584" s="703"/>
      <c r="G584" s="639">
        <v>0</v>
      </c>
      <c r="H584" s="639">
        <v>0</v>
      </c>
      <c r="I584" s="639">
        <v>0</v>
      </c>
      <c r="J584" s="639">
        <v>0</v>
      </c>
      <c r="K584" s="639">
        <v>0</v>
      </c>
      <c r="L584" s="639">
        <v>0</v>
      </c>
      <c r="M584" s="639">
        <v>0</v>
      </c>
      <c r="N584" s="639">
        <v>0</v>
      </c>
      <c r="O584" s="639">
        <v>0</v>
      </c>
      <c r="P584" s="639">
        <v>0</v>
      </c>
      <c r="Q584" s="639">
        <v>0</v>
      </c>
      <c r="R584" s="639">
        <v>0</v>
      </c>
      <c r="S584" s="639">
        <v>0</v>
      </c>
      <c r="T584" s="813"/>
      <c r="V584" s="641">
        <f t="shared" si="221"/>
        <v>0</v>
      </c>
      <c r="W584" s="715">
        <f t="shared" si="222"/>
        <v>0</v>
      </c>
      <c r="X584" s="1015"/>
      <c r="Y584" s="675">
        <f t="shared" si="223"/>
        <v>0</v>
      </c>
      <c r="Z584" s="675"/>
      <c r="AA584" s="675">
        <f t="shared" si="224"/>
        <v>0</v>
      </c>
      <c r="AB584" s="675"/>
      <c r="AC584" s="675">
        <f t="shared" si="225"/>
        <v>0</v>
      </c>
      <c r="AD584" s="675"/>
      <c r="AE584" s="675">
        <f t="shared" si="226"/>
        <v>0</v>
      </c>
      <c r="AF584" s="675"/>
      <c r="AL584" s="489"/>
      <c r="AM584" s="489"/>
      <c r="AN584" s="489"/>
      <c r="AO584" s="489"/>
      <c r="AP584" s="489"/>
      <c r="AQ584" s="489"/>
      <c r="AR584" s="489"/>
      <c r="AS584" s="489"/>
    </row>
    <row r="585" spans="1:45" s="484" customFormat="1" ht="14.5" hidden="1">
      <c r="A585" s="695" t="s">
        <v>1288</v>
      </c>
      <c r="B585" s="647"/>
      <c r="C585" s="644"/>
      <c r="D585" s="644"/>
      <c r="E585" s="639">
        <v>0</v>
      </c>
      <c r="F585" s="705"/>
      <c r="G585" s="639">
        <v>0</v>
      </c>
      <c r="H585" s="639">
        <v>0</v>
      </c>
      <c r="I585" s="639">
        <v>0</v>
      </c>
      <c r="J585" s="639">
        <v>0</v>
      </c>
      <c r="K585" s="639">
        <v>0</v>
      </c>
      <c r="L585" s="639">
        <v>0</v>
      </c>
      <c r="M585" s="639">
        <v>0</v>
      </c>
      <c r="N585" s="639">
        <v>0</v>
      </c>
      <c r="O585" s="639">
        <v>0</v>
      </c>
      <c r="P585" s="639">
        <v>0</v>
      </c>
      <c r="Q585" s="639">
        <v>0</v>
      </c>
      <c r="R585" s="639">
        <v>0</v>
      </c>
      <c r="S585" s="639">
        <v>0</v>
      </c>
      <c r="T585" s="813"/>
      <c r="V585" s="641">
        <f t="shared" si="221"/>
        <v>0</v>
      </c>
      <c r="W585" s="715">
        <f t="shared" si="222"/>
        <v>0</v>
      </c>
      <c r="X585" s="1016"/>
      <c r="Y585" s="675">
        <f t="shared" si="223"/>
        <v>0</v>
      </c>
      <c r="Z585" s="670"/>
      <c r="AA585" s="675">
        <f t="shared" si="224"/>
        <v>0</v>
      </c>
      <c r="AB585" s="670"/>
      <c r="AC585" s="675">
        <f t="shared" si="225"/>
        <v>0</v>
      </c>
      <c r="AD585" s="670"/>
      <c r="AE585" s="675">
        <f t="shared" si="226"/>
        <v>0</v>
      </c>
      <c r="AF585" s="670"/>
      <c r="AL585" s="489"/>
      <c r="AM585" s="489"/>
      <c r="AN585" s="489"/>
      <c r="AO585" s="489"/>
      <c r="AP585" s="489"/>
      <c r="AQ585" s="489"/>
      <c r="AR585" s="489"/>
      <c r="AS585" s="489"/>
    </row>
    <row r="586" spans="1:45" s="484" customFormat="1" hidden="1">
      <c r="A586" s="695" t="s">
        <v>1289</v>
      </c>
      <c r="B586" s="647">
        <v>111809990517</v>
      </c>
      <c r="C586" s="648"/>
      <c r="D586" s="648"/>
      <c r="E586" s="639">
        <v>0</v>
      </c>
      <c r="F586" s="706"/>
      <c r="G586" s="639">
        <v>0</v>
      </c>
      <c r="H586" s="639">
        <v>0</v>
      </c>
      <c r="I586" s="639">
        <v>0</v>
      </c>
      <c r="J586" s="639">
        <v>0</v>
      </c>
      <c r="K586" s="639">
        <v>0</v>
      </c>
      <c r="L586" s="639">
        <v>0</v>
      </c>
      <c r="M586" s="639">
        <v>0</v>
      </c>
      <c r="N586" s="639">
        <v>0</v>
      </c>
      <c r="O586" s="639">
        <v>0</v>
      </c>
      <c r="P586" s="639">
        <v>0</v>
      </c>
      <c r="Q586" s="639">
        <v>0</v>
      </c>
      <c r="R586" s="639">
        <v>0</v>
      </c>
      <c r="S586" s="639">
        <v>0</v>
      </c>
      <c r="T586" s="813"/>
      <c r="V586" s="641">
        <f t="shared" si="221"/>
        <v>0</v>
      </c>
      <c r="W586" s="715">
        <f t="shared" si="222"/>
        <v>0</v>
      </c>
      <c r="X586" s="1015"/>
      <c r="Y586" s="675">
        <f t="shared" si="223"/>
        <v>0</v>
      </c>
      <c r="Z586" s="675"/>
      <c r="AA586" s="675">
        <f t="shared" si="224"/>
        <v>0</v>
      </c>
      <c r="AB586" s="675"/>
      <c r="AC586" s="675">
        <f t="shared" si="225"/>
        <v>0</v>
      </c>
      <c r="AD586" s="675"/>
      <c r="AE586" s="675">
        <f t="shared" si="226"/>
        <v>0</v>
      </c>
      <c r="AF586" s="675"/>
      <c r="AL586" s="489"/>
      <c r="AM586" s="489"/>
      <c r="AN586" s="489"/>
      <c r="AO586" s="489"/>
      <c r="AP586" s="489"/>
      <c r="AQ586" s="489"/>
      <c r="AR586" s="489"/>
      <c r="AS586" s="489"/>
    </row>
    <row r="587" spans="1:45" s="484" customFormat="1" ht="14.5" hidden="1">
      <c r="A587" s="695" t="s">
        <v>1290</v>
      </c>
      <c r="B587" s="647"/>
      <c r="C587" s="644"/>
      <c r="D587" s="644"/>
      <c r="E587" s="639">
        <v>0</v>
      </c>
      <c r="F587" s="705"/>
      <c r="G587" s="639">
        <v>0</v>
      </c>
      <c r="H587" s="639">
        <v>0</v>
      </c>
      <c r="I587" s="639">
        <v>0</v>
      </c>
      <c r="J587" s="639">
        <v>0</v>
      </c>
      <c r="K587" s="639">
        <v>0</v>
      </c>
      <c r="L587" s="639">
        <v>0</v>
      </c>
      <c r="M587" s="639">
        <v>0</v>
      </c>
      <c r="N587" s="639">
        <v>0</v>
      </c>
      <c r="O587" s="639">
        <v>0</v>
      </c>
      <c r="P587" s="639">
        <v>0</v>
      </c>
      <c r="Q587" s="639">
        <v>0</v>
      </c>
      <c r="R587" s="639">
        <v>0</v>
      </c>
      <c r="S587" s="639">
        <v>0</v>
      </c>
      <c r="T587" s="813"/>
      <c r="V587" s="641">
        <f t="shared" si="221"/>
        <v>0</v>
      </c>
      <c r="W587" s="715">
        <f t="shared" si="222"/>
        <v>0</v>
      </c>
      <c r="X587" s="1016"/>
      <c r="Y587" s="675">
        <f t="shared" si="223"/>
        <v>0</v>
      </c>
      <c r="AA587" s="675">
        <f t="shared" si="224"/>
        <v>0</v>
      </c>
      <c r="AC587" s="675">
        <f t="shared" si="225"/>
        <v>0</v>
      </c>
      <c r="AE587" s="675">
        <f t="shared" si="226"/>
        <v>0</v>
      </c>
      <c r="AF587" s="528"/>
      <c r="AL587" s="489"/>
      <c r="AM587" s="489"/>
      <c r="AN587" s="489"/>
      <c r="AO587" s="489"/>
      <c r="AP587" s="489"/>
      <c r="AQ587" s="489"/>
      <c r="AR587" s="489"/>
      <c r="AS587" s="489"/>
    </row>
    <row r="588" spans="1:45" s="484" customFormat="1" ht="14.5" hidden="1">
      <c r="A588" s="695" t="s">
        <v>1291</v>
      </c>
      <c r="B588" s="647"/>
      <c r="C588" s="644"/>
      <c r="D588" s="644"/>
      <c r="E588" s="639">
        <v>0</v>
      </c>
      <c r="F588" s="705"/>
      <c r="G588" s="639">
        <v>0</v>
      </c>
      <c r="H588" s="639">
        <v>0</v>
      </c>
      <c r="I588" s="639">
        <v>0</v>
      </c>
      <c r="J588" s="639">
        <v>0</v>
      </c>
      <c r="K588" s="639">
        <v>0</v>
      </c>
      <c r="L588" s="639">
        <v>0</v>
      </c>
      <c r="M588" s="639">
        <v>0</v>
      </c>
      <c r="N588" s="639">
        <v>0</v>
      </c>
      <c r="O588" s="639">
        <v>0</v>
      </c>
      <c r="P588" s="639">
        <v>0</v>
      </c>
      <c r="Q588" s="639">
        <v>0</v>
      </c>
      <c r="R588" s="639">
        <v>0</v>
      </c>
      <c r="S588" s="639">
        <v>0</v>
      </c>
      <c r="T588" s="813"/>
      <c r="V588" s="641">
        <f t="shared" si="221"/>
        <v>0</v>
      </c>
      <c r="W588" s="715">
        <f t="shared" si="222"/>
        <v>0</v>
      </c>
      <c r="X588" s="1016"/>
      <c r="Y588" s="675">
        <f t="shared" si="223"/>
        <v>0</v>
      </c>
      <c r="Z588" s="675"/>
      <c r="AA588" s="675">
        <f t="shared" si="224"/>
        <v>0</v>
      </c>
      <c r="AB588" s="675"/>
      <c r="AC588" s="675">
        <f t="shared" si="225"/>
        <v>0</v>
      </c>
      <c r="AD588" s="675"/>
      <c r="AE588" s="675">
        <f t="shared" si="226"/>
        <v>0</v>
      </c>
      <c r="AL588" s="489"/>
      <c r="AM588" s="489"/>
      <c r="AN588" s="489"/>
      <c r="AO588" s="489"/>
      <c r="AP588" s="489"/>
      <c r="AQ588" s="489"/>
      <c r="AR588" s="489"/>
      <c r="AS588" s="489"/>
    </row>
    <row r="589" spans="1:45" s="484" customFormat="1" ht="14.5" hidden="1">
      <c r="A589" s="695" t="s">
        <v>1292</v>
      </c>
      <c r="B589" s="647"/>
      <c r="C589" s="644"/>
      <c r="D589" s="644"/>
      <c r="E589" s="639">
        <v>0</v>
      </c>
      <c r="F589" s="705"/>
      <c r="G589" s="639">
        <v>0</v>
      </c>
      <c r="H589" s="639">
        <v>0</v>
      </c>
      <c r="I589" s="639">
        <v>0</v>
      </c>
      <c r="J589" s="639">
        <v>0</v>
      </c>
      <c r="K589" s="639">
        <v>0</v>
      </c>
      <c r="L589" s="639">
        <v>0</v>
      </c>
      <c r="M589" s="639">
        <v>0</v>
      </c>
      <c r="N589" s="639">
        <v>0</v>
      </c>
      <c r="O589" s="639">
        <v>0</v>
      </c>
      <c r="P589" s="639">
        <v>0</v>
      </c>
      <c r="Q589" s="639">
        <v>0</v>
      </c>
      <c r="R589" s="639">
        <v>0</v>
      </c>
      <c r="S589" s="639">
        <v>0</v>
      </c>
      <c r="T589" s="813"/>
      <c r="V589" s="641">
        <f t="shared" si="221"/>
        <v>0</v>
      </c>
      <c r="W589" s="715">
        <f t="shared" si="222"/>
        <v>0</v>
      </c>
      <c r="X589" s="1016"/>
      <c r="Y589" s="675">
        <f t="shared" si="223"/>
        <v>0</v>
      </c>
      <c r="AA589" s="675">
        <f t="shared" si="224"/>
        <v>0</v>
      </c>
      <c r="AC589" s="675">
        <f t="shared" si="225"/>
        <v>0</v>
      </c>
      <c r="AE589" s="675">
        <f t="shared" si="226"/>
        <v>0</v>
      </c>
      <c r="AL589" s="489"/>
      <c r="AM589" s="489"/>
      <c r="AN589" s="489"/>
      <c r="AO589" s="489"/>
      <c r="AP589" s="489"/>
      <c r="AQ589" s="489"/>
      <c r="AR589" s="489"/>
      <c r="AS589" s="489"/>
    </row>
    <row r="590" spans="1:45" s="484" customFormat="1" ht="14.5" hidden="1">
      <c r="A590" s="695" t="s">
        <v>1293</v>
      </c>
      <c r="B590" s="647"/>
      <c r="C590" s="644"/>
      <c r="D590" s="644"/>
      <c r="E590" s="639">
        <v>0</v>
      </c>
      <c r="F590" s="705"/>
      <c r="G590" s="639">
        <v>0</v>
      </c>
      <c r="H590" s="639">
        <v>0</v>
      </c>
      <c r="I590" s="639">
        <v>0</v>
      </c>
      <c r="J590" s="639">
        <v>0</v>
      </c>
      <c r="K590" s="639">
        <v>0</v>
      </c>
      <c r="L590" s="639">
        <v>0</v>
      </c>
      <c r="M590" s="639">
        <v>0</v>
      </c>
      <c r="N590" s="639">
        <v>0</v>
      </c>
      <c r="O590" s="639">
        <v>0</v>
      </c>
      <c r="P590" s="639">
        <v>0</v>
      </c>
      <c r="Q590" s="639">
        <v>0</v>
      </c>
      <c r="R590" s="639">
        <v>0</v>
      </c>
      <c r="S590" s="639">
        <v>0</v>
      </c>
      <c r="T590" s="813"/>
      <c r="V590" s="641">
        <f t="shared" si="221"/>
        <v>0</v>
      </c>
      <c r="W590" s="715">
        <f t="shared" si="222"/>
        <v>0</v>
      </c>
      <c r="X590" s="1016"/>
      <c r="Y590" s="675"/>
      <c r="AA590" s="675"/>
      <c r="AC590" s="675"/>
      <c r="AE590" s="675"/>
      <c r="AL590" s="489"/>
      <c r="AM590" s="489"/>
      <c r="AN590" s="489"/>
      <c r="AO590" s="489"/>
      <c r="AP590" s="489"/>
      <c r="AQ590" s="489"/>
      <c r="AR590" s="489"/>
      <c r="AS590" s="489"/>
    </row>
    <row r="591" spans="1:45" s="484" customFormat="1" ht="14.5">
      <c r="A591" s="695" t="s">
        <v>1294</v>
      </c>
      <c r="B591" s="647"/>
      <c r="C591" s="644"/>
      <c r="D591" s="644"/>
      <c r="E591" s="639">
        <v>0</v>
      </c>
      <c r="F591" s="705"/>
      <c r="G591" s="639">
        <v>200000000</v>
      </c>
      <c r="H591" s="639">
        <v>950000000</v>
      </c>
      <c r="I591" s="639">
        <v>1700000000</v>
      </c>
      <c r="J591" s="639">
        <v>2450000000</v>
      </c>
      <c r="K591" s="639">
        <v>3200000000</v>
      </c>
      <c r="L591" s="639">
        <v>3950000000</v>
      </c>
      <c r="M591" s="639">
        <v>4700000000</v>
      </c>
      <c r="N591" s="639">
        <v>5450000000</v>
      </c>
      <c r="O591" s="639">
        <v>6200000000</v>
      </c>
      <c r="P591" s="639">
        <v>6950000000</v>
      </c>
      <c r="Q591" s="639">
        <v>7700000000</v>
      </c>
      <c r="R591" s="639">
        <v>8450000000</v>
      </c>
      <c r="S591" s="639">
        <v>9200000000</v>
      </c>
      <c r="T591" s="813"/>
      <c r="V591" s="641">
        <f t="shared" si="221"/>
        <v>9200000000</v>
      </c>
      <c r="W591" s="715">
        <f t="shared" si="222"/>
        <v>1.4781590888493922E-3</v>
      </c>
      <c r="X591" s="1016"/>
      <c r="Y591" s="675"/>
      <c r="AA591" s="675"/>
      <c r="AC591" s="675"/>
      <c r="AE591" s="675"/>
      <c r="AL591" s="489"/>
      <c r="AM591" s="489"/>
      <c r="AN591" s="489"/>
      <c r="AO591" s="489"/>
      <c r="AP591" s="489"/>
      <c r="AQ591" s="489"/>
      <c r="AR591" s="489"/>
      <c r="AS591" s="489"/>
    </row>
    <row r="592" spans="1:45" s="484" customFormat="1" ht="14.5">
      <c r="A592" s="695" t="s">
        <v>1295</v>
      </c>
      <c r="B592" s="647"/>
      <c r="C592" s="644"/>
      <c r="D592" s="644"/>
      <c r="E592" s="639">
        <v>0</v>
      </c>
      <c r="F592" s="705"/>
      <c r="G592" s="639">
        <v>0</v>
      </c>
      <c r="H592" s="639">
        <v>50000000</v>
      </c>
      <c r="I592" s="639">
        <v>100000000</v>
      </c>
      <c r="J592" s="639">
        <v>150000000</v>
      </c>
      <c r="K592" s="639">
        <v>200000000</v>
      </c>
      <c r="L592" s="639">
        <v>250000000</v>
      </c>
      <c r="M592" s="639">
        <v>300000000</v>
      </c>
      <c r="N592" s="639">
        <v>350000000</v>
      </c>
      <c r="O592" s="639">
        <v>400000000</v>
      </c>
      <c r="P592" s="639">
        <v>450000000</v>
      </c>
      <c r="Q592" s="639">
        <v>500000000</v>
      </c>
      <c r="R592" s="639">
        <v>550000000</v>
      </c>
      <c r="S592" s="639">
        <v>600000000</v>
      </c>
      <c r="T592" s="813"/>
      <c r="V592" s="641">
        <f t="shared" si="221"/>
        <v>600000000</v>
      </c>
      <c r="W592" s="715">
        <f t="shared" si="222"/>
        <v>9.6401679707569052E-5</v>
      </c>
      <c r="X592" s="1016"/>
      <c r="Y592" s="675"/>
      <c r="AA592" s="675"/>
      <c r="AC592" s="675"/>
      <c r="AE592" s="675"/>
      <c r="AL592" s="489"/>
      <c r="AM592" s="489"/>
      <c r="AN592" s="489"/>
      <c r="AO592" s="489"/>
      <c r="AP592" s="489"/>
      <c r="AQ592" s="489"/>
      <c r="AR592" s="489"/>
      <c r="AS592" s="489"/>
    </row>
    <row r="593" spans="1:45" s="484" customFormat="1" ht="14.5">
      <c r="A593" s="695" t="s">
        <v>1296</v>
      </c>
      <c r="B593" s="647"/>
      <c r="C593" s="644"/>
      <c r="D593" s="644"/>
      <c r="E593" s="639">
        <v>0</v>
      </c>
      <c r="F593" s="705"/>
      <c r="G593" s="639">
        <v>0</v>
      </c>
      <c r="H593" s="639">
        <v>0</v>
      </c>
      <c r="I593" s="639">
        <v>0</v>
      </c>
      <c r="J593" s="639">
        <v>0</v>
      </c>
      <c r="K593" s="639">
        <v>0</v>
      </c>
      <c r="L593" s="639">
        <v>0</v>
      </c>
      <c r="M593" s="639">
        <v>0</v>
      </c>
      <c r="N593" s="639">
        <v>0</v>
      </c>
      <c r="O593" s="639">
        <v>0</v>
      </c>
      <c r="P593" s="639">
        <v>0</v>
      </c>
      <c r="Q593" s="639">
        <v>0</v>
      </c>
      <c r="R593" s="639">
        <v>0</v>
      </c>
      <c r="S593" s="639">
        <v>0</v>
      </c>
      <c r="T593" s="813"/>
      <c r="V593" s="641">
        <f t="shared" si="221"/>
        <v>0</v>
      </c>
      <c r="W593" s="715">
        <f t="shared" si="222"/>
        <v>0</v>
      </c>
      <c r="X593" s="1016"/>
      <c r="Y593" s="675"/>
      <c r="AA593" s="675"/>
      <c r="AC593" s="675"/>
      <c r="AE593" s="675"/>
      <c r="AL593" s="489"/>
      <c r="AM593" s="489"/>
      <c r="AN593" s="489"/>
      <c r="AO593" s="489"/>
      <c r="AP593" s="489"/>
      <c r="AQ593" s="489"/>
      <c r="AR593" s="489"/>
      <c r="AS593" s="489"/>
    </row>
    <row r="594" spans="1:45" s="484" customFormat="1" ht="14.5" hidden="1">
      <c r="A594" s="695" t="s">
        <v>1297</v>
      </c>
      <c r="B594" s="647"/>
      <c r="C594" s="644"/>
      <c r="D594" s="644"/>
      <c r="E594" s="639">
        <v>0</v>
      </c>
      <c r="F594" s="705"/>
      <c r="G594" s="639">
        <v>0</v>
      </c>
      <c r="H594" s="639">
        <v>0</v>
      </c>
      <c r="I594" s="639">
        <v>0</v>
      </c>
      <c r="J594" s="639">
        <v>0</v>
      </c>
      <c r="K594" s="639">
        <v>0</v>
      </c>
      <c r="L594" s="639">
        <v>0</v>
      </c>
      <c r="M594" s="639">
        <v>0</v>
      </c>
      <c r="N594" s="639">
        <v>0</v>
      </c>
      <c r="O594" s="639">
        <v>0</v>
      </c>
      <c r="P594" s="639">
        <v>0</v>
      </c>
      <c r="Q594" s="639">
        <v>0</v>
      </c>
      <c r="R594" s="639">
        <v>0</v>
      </c>
      <c r="S594" s="639">
        <v>0</v>
      </c>
      <c r="T594" s="813"/>
      <c r="V594" s="641">
        <f t="shared" si="221"/>
        <v>0</v>
      </c>
      <c r="W594" s="715">
        <f t="shared" si="222"/>
        <v>0</v>
      </c>
      <c r="X594" s="1016"/>
      <c r="Y594" s="675"/>
      <c r="AA594" s="675"/>
      <c r="AC594" s="675"/>
      <c r="AE594" s="675"/>
      <c r="AL594" s="489"/>
      <c r="AM594" s="489"/>
      <c r="AN594" s="489"/>
      <c r="AO594" s="489"/>
      <c r="AP594" s="489"/>
      <c r="AQ594" s="489"/>
      <c r="AR594" s="489"/>
      <c r="AS594" s="489"/>
    </row>
    <row r="595" spans="1:45" s="484" customFormat="1" ht="14.5" hidden="1">
      <c r="A595" s="695" t="s">
        <v>1298</v>
      </c>
      <c r="B595" s="647"/>
      <c r="C595" s="644"/>
      <c r="D595" s="644"/>
      <c r="E595" s="639">
        <v>0</v>
      </c>
      <c r="F595" s="705"/>
      <c r="G595" s="639">
        <v>0</v>
      </c>
      <c r="H595" s="639">
        <v>0</v>
      </c>
      <c r="I595" s="639">
        <v>0</v>
      </c>
      <c r="J595" s="639">
        <v>0</v>
      </c>
      <c r="K595" s="639">
        <v>0</v>
      </c>
      <c r="L595" s="639">
        <v>0</v>
      </c>
      <c r="M595" s="639">
        <v>0</v>
      </c>
      <c r="N595" s="639">
        <v>0</v>
      </c>
      <c r="O595" s="639">
        <v>0</v>
      </c>
      <c r="P595" s="639">
        <v>0</v>
      </c>
      <c r="Q595" s="639">
        <v>0</v>
      </c>
      <c r="R595" s="639">
        <v>0</v>
      </c>
      <c r="S595" s="639">
        <v>0</v>
      </c>
      <c r="T595" s="813"/>
      <c r="V595" s="641">
        <f t="shared" si="221"/>
        <v>0</v>
      </c>
      <c r="W595" s="715">
        <f t="shared" si="222"/>
        <v>0</v>
      </c>
      <c r="X595" s="1016"/>
      <c r="Y595" s="675"/>
      <c r="AA595" s="675"/>
      <c r="AC595" s="675"/>
      <c r="AE595" s="675"/>
      <c r="AL595" s="489"/>
      <c r="AM595" s="489"/>
      <c r="AN595" s="489"/>
      <c r="AO595" s="489"/>
      <c r="AP595" s="489"/>
      <c r="AQ595" s="489"/>
      <c r="AR595" s="489"/>
      <c r="AS595" s="489"/>
    </row>
    <row r="596" spans="1:45" s="484" customFormat="1" ht="14.5" hidden="1">
      <c r="A596" s="695" t="s">
        <v>1299</v>
      </c>
      <c r="B596" s="647"/>
      <c r="C596" s="644"/>
      <c r="D596" s="644"/>
      <c r="E596" s="639">
        <v>0</v>
      </c>
      <c r="F596" s="705"/>
      <c r="G596" s="639">
        <v>0</v>
      </c>
      <c r="H596" s="639">
        <v>0</v>
      </c>
      <c r="I596" s="639">
        <v>0</v>
      </c>
      <c r="J596" s="639">
        <v>0</v>
      </c>
      <c r="K596" s="639">
        <v>0</v>
      </c>
      <c r="L596" s="639">
        <v>0</v>
      </c>
      <c r="M596" s="639">
        <v>0</v>
      </c>
      <c r="N596" s="639">
        <v>0</v>
      </c>
      <c r="O596" s="639">
        <v>0</v>
      </c>
      <c r="P596" s="639">
        <v>0</v>
      </c>
      <c r="Q596" s="639">
        <v>0</v>
      </c>
      <c r="R596" s="639">
        <v>0</v>
      </c>
      <c r="S596" s="639">
        <v>0</v>
      </c>
      <c r="T596" s="813"/>
      <c r="V596" s="641">
        <f t="shared" si="221"/>
        <v>0</v>
      </c>
      <c r="W596" s="715">
        <f t="shared" si="222"/>
        <v>0</v>
      </c>
      <c r="X596" s="1016"/>
      <c r="Y596" s="675"/>
      <c r="AA596" s="675"/>
      <c r="AC596" s="675"/>
      <c r="AE596" s="675"/>
      <c r="AL596" s="489"/>
      <c r="AM596" s="489"/>
      <c r="AN596" s="489"/>
      <c r="AO596" s="489"/>
      <c r="AP596" s="489"/>
      <c r="AQ596" s="489"/>
      <c r="AR596" s="489"/>
      <c r="AS596" s="489"/>
    </row>
    <row r="597" spans="1:45" s="484" customFormat="1" ht="14.5" hidden="1">
      <c r="A597" s="695" t="s">
        <v>1300</v>
      </c>
      <c r="B597" s="647"/>
      <c r="C597" s="644"/>
      <c r="D597" s="644"/>
      <c r="E597" s="639">
        <v>0</v>
      </c>
      <c r="F597" s="705"/>
      <c r="G597" s="639">
        <v>0</v>
      </c>
      <c r="H597" s="639">
        <v>0</v>
      </c>
      <c r="I597" s="639">
        <v>0</v>
      </c>
      <c r="J597" s="639">
        <v>0</v>
      </c>
      <c r="K597" s="639">
        <v>0</v>
      </c>
      <c r="L597" s="639">
        <v>0</v>
      </c>
      <c r="M597" s="639">
        <v>0</v>
      </c>
      <c r="N597" s="639">
        <v>0</v>
      </c>
      <c r="O597" s="639">
        <v>0</v>
      </c>
      <c r="P597" s="639">
        <v>0</v>
      </c>
      <c r="Q597" s="639">
        <v>0</v>
      </c>
      <c r="R597" s="639">
        <v>0</v>
      </c>
      <c r="S597" s="639">
        <v>0</v>
      </c>
      <c r="T597" s="813"/>
      <c r="V597" s="641">
        <f t="shared" si="221"/>
        <v>0</v>
      </c>
      <c r="W597" s="715">
        <f t="shared" si="222"/>
        <v>0</v>
      </c>
      <c r="X597" s="1016"/>
      <c r="Y597" s="675"/>
      <c r="AA597" s="675"/>
      <c r="AC597" s="675"/>
      <c r="AE597" s="675"/>
      <c r="AL597" s="489"/>
      <c r="AM597" s="489"/>
      <c r="AN597" s="489"/>
      <c r="AO597" s="489"/>
      <c r="AP597" s="489"/>
      <c r="AQ597" s="489"/>
      <c r="AR597" s="489"/>
      <c r="AS597" s="489"/>
    </row>
    <row r="598" spans="1:45" s="484" customFormat="1" ht="14.5" hidden="1">
      <c r="A598" s="695" t="s">
        <v>1301</v>
      </c>
      <c r="B598" s="647"/>
      <c r="C598" s="644"/>
      <c r="D598" s="644"/>
      <c r="E598" s="639">
        <v>0</v>
      </c>
      <c r="F598" s="705"/>
      <c r="G598" s="639">
        <v>0</v>
      </c>
      <c r="H598" s="639">
        <v>0</v>
      </c>
      <c r="I598" s="639">
        <v>0</v>
      </c>
      <c r="J598" s="639">
        <v>0</v>
      </c>
      <c r="K598" s="639">
        <v>0</v>
      </c>
      <c r="L598" s="639">
        <v>0</v>
      </c>
      <c r="M598" s="639">
        <v>0</v>
      </c>
      <c r="N598" s="639">
        <v>0</v>
      </c>
      <c r="O598" s="639">
        <v>0</v>
      </c>
      <c r="P598" s="639">
        <v>0</v>
      </c>
      <c r="Q598" s="639">
        <v>0</v>
      </c>
      <c r="R598" s="639">
        <v>0</v>
      </c>
      <c r="S598" s="639">
        <v>0</v>
      </c>
      <c r="T598" s="813"/>
      <c r="V598" s="641">
        <f t="shared" si="221"/>
        <v>0</v>
      </c>
      <c r="W598" s="715">
        <f t="shared" si="222"/>
        <v>0</v>
      </c>
      <c r="X598" s="1016"/>
      <c r="Y598" s="675"/>
      <c r="AA598" s="675"/>
      <c r="AC598" s="675"/>
      <c r="AE598" s="675"/>
      <c r="AL598" s="489"/>
      <c r="AM598" s="489"/>
      <c r="AN598" s="489"/>
      <c r="AO598" s="489"/>
      <c r="AP598" s="489"/>
      <c r="AQ598" s="489"/>
      <c r="AR598" s="489"/>
      <c r="AS598" s="489"/>
    </row>
    <row r="599" spans="1:45" s="484" customFormat="1" ht="14.5" hidden="1">
      <c r="A599" s="695" t="s">
        <v>1302</v>
      </c>
      <c r="B599" s="647"/>
      <c r="C599" s="644"/>
      <c r="D599" s="644"/>
      <c r="E599" s="639">
        <v>0</v>
      </c>
      <c r="F599" s="705"/>
      <c r="G599" s="639">
        <v>0</v>
      </c>
      <c r="H599" s="639">
        <v>0</v>
      </c>
      <c r="I599" s="639">
        <v>0</v>
      </c>
      <c r="J599" s="639">
        <v>0</v>
      </c>
      <c r="K599" s="639">
        <v>0</v>
      </c>
      <c r="L599" s="639">
        <v>0</v>
      </c>
      <c r="M599" s="639">
        <v>0</v>
      </c>
      <c r="N599" s="639">
        <v>0</v>
      </c>
      <c r="O599" s="639">
        <v>0</v>
      </c>
      <c r="P599" s="639">
        <v>0</v>
      </c>
      <c r="Q599" s="639">
        <v>0</v>
      </c>
      <c r="R599" s="639">
        <v>0</v>
      </c>
      <c r="S599" s="639">
        <v>0</v>
      </c>
      <c r="T599" s="813"/>
      <c r="V599" s="641">
        <f t="shared" si="221"/>
        <v>0</v>
      </c>
      <c r="W599" s="715">
        <f t="shared" si="222"/>
        <v>0</v>
      </c>
      <c r="X599" s="1016"/>
      <c r="Y599" s="675"/>
      <c r="AA599" s="675"/>
      <c r="AC599" s="675"/>
      <c r="AE599" s="675"/>
      <c r="AL599" s="489"/>
      <c r="AM599" s="489"/>
      <c r="AN599" s="489"/>
      <c r="AO599" s="489"/>
      <c r="AP599" s="489"/>
      <c r="AQ599" s="489"/>
      <c r="AR599" s="489"/>
      <c r="AS599" s="489"/>
    </row>
    <row r="600" spans="1:45" s="484" customFormat="1" ht="14.5" hidden="1">
      <c r="A600" s="695" t="s">
        <v>1303</v>
      </c>
      <c r="B600" s="647"/>
      <c r="C600" s="644"/>
      <c r="D600" s="644"/>
      <c r="E600" s="639">
        <v>0</v>
      </c>
      <c r="F600" s="705"/>
      <c r="G600" s="639">
        <v>0</v>
      </c>
      <c r="H600" s="639">
        <v>0</v>
      </c>
      <c r="I600" s="639">
        <v>0</v>
      </c>
      <c r="J600" s="639">
        <v>0</v>
      </c>
      <c r="K600" s="639">
        <v>0</v>
      </c>
      <c r="L600" s="639">
        <v>0</v>
      </c>
      <c r="M600" s="639">
        <v>0</v>
      </c>
      <c r="N600" s="639">
        <v>0</v>
      </c>
      <c r="O600" s="639">
        <v>0</v>
      </c>
      <c r="P600" s="639">
        <v>0</v>
      </c>
      <c r="Q600" s="639">
        <v>0</v>
      </c>
      <c r="R600" s="639">
        <v>0</v>
      </c>
      <c r="S600" s="639">
        <v>0</v>
      </c>
      <c r="T600" s="813"/>
      <c r="V600" s="641">
        <f t="shared" si="221"/>
        <v>0</v>
      </c>
      <c r="W600" s="715">
        <f t="shared" si="222"/>
        <v>0</v>
      </c>
      <c r="X600" s="1016"/>
      <c r="Y600" s="675"/>
      <c r="AA600" s="675"/>
      <c r="AC600" s="675"/>
      <c r="AE600" s="675"/>
      <c r="AL600" s="489"/>
      <c r="AM600" s="489"/>
      <c r="AN600" s="489"/>
      <c r="AO600" s="489"/>
      <c r="AP600" s="489"/>
      <c r="AQ600" s="489"/>
      <c r="AR600" s="489"/>
      <c r="AS600" s="489"/>
    </row>
    <row r="601" spans="1:45" s="484" customFormat="1" ht="14.5" hidden="1">
      <c r="A601" s="695" t="s">
        <v>1304</v>
      </c>
      <c r="B601" s="647"/>
      <c r="C601" s="644"/>
      <c r="D601" s="644"/>
      <c r="E601" s="639">
        <v>0</v>
      </c>
      <c r="F601" s="705"/>
      <c r="G601" s="639">
        <v>0</v>
      </c>
      <c r="H601" s="639">
        <v>0</v>
      </c>
      <c r="I601" s="639">
        <v>0</v>
      </c>
      <c r="J601" s="639">
        <v>0</v>
      </c>
      <c r="K601" s="639">
        <v>0</v>
      </c>
      <c r="L601" s="639">
        <v>0</v>
      </c>
      <c r="M601" s="639">
        <v>0</v>
      </c>
      <c r="N601" s="639">
        <v>0</v>
      </c>
      <c r="O601" s="639">
        <v>0</v>
      </c>
      <c r="P601" s="639">
        <v>0</v>
      </c>
      <c r="Q601" s="639">
        <v>0</v>
      </c>
      <c r="R601" s="639">
        <v>0</v>
      </c>
      <c r="S601" s="639">
        <v>0</v>
      </c>
      <c r="T601" s="813"/>
      <c r="V601" s="641">
        <f t="shared" si="221"/>
        <v>0</v>
      </c>
      <c r="W601" s="715">
        <f t="shared" si="222"/>
        <v>0</v>
      </c>
      <c r="X601" s="1016"/>
      <c r="Y601" s="675"/>
      <c r="AA601" s="675"/>
      <c r="AC601" s="675"/>
      <c r="AE601" s="675"/>
      <c r="AL601" s="489"/>
      <c r="AM601" s="489"/>
      <c r="AN601" s="489"/>
      <c r="AO601" s="489"/>
      <c r="AP601" s="489"/>
      <c r="AQ601" s="489"/>
      <c r="AR601" s="489"/>
      <c r="AS601" s="489"/>
    </row>
    <row r="602" spans="1:45" s="484" customFormat="1" ht="14.5" hidden="1">
      <c r="A602" s="695" t="s">
        <v>1305</v>
      </c>
      <c r="B602" s="647"/>
      <c r="C602" s="644"/>
      <c r="D602" s="644"/>
      <c r="E602" s="639">
        <v>0</v>
      </c>
      <c r="F602" s="705"/>
      <c r="G602" s="639">
        <v>0</v>
      </c>
      <c r="H602" s="639">
        <v>0</v>
      </c>
      <c r="I602" s="639">
        <v>0</v>
      </c>
      <c r="J602" s="639">
        <v>0</v>
      </c>
      <c r="K602" s="639">
        <v>0</v>
      </c>
      <c r="L602" s="639">
        <v>0</v>
      </c>
      <c r="M602" s="639">
        <v>0</v>
      </c>
      <c r="N602" s="639">
        <v>0</v>
      </c>
      <c r="O602" s="639">
        <v>0</v>
      </c>
      <c r="P602" s="639">
        <v>0</v>
      </c>
      <c r="Q602" s="639">
        <v>0</v>
      </c>
      <c r="R602" s="639">
        <v>0</v>
      </c>
      <c r="S602" s="639">
        <v>0</v>
      </c>
      <c r="T602" s="813"/>
      <c r="V602" s="641">
        <f t="shared" si="221"/>
        <v>0</v>
      </c>
      <c r="W602" s="715">
        <f t="shared" si="222"/>
        <v>0</v>
      </c>
      <c r="X602" s="1016"/>
      <c r="Y602" s="675"/>
      <c r="AA602" s="675"/>
      <c r="AC602" s="675"/>
      <c r="AE602" s="675"/>
      <c r="AL602" s="489"/>
      <c r="AM602" s="489"/>
      <c r="AN602" s="489"/>
      <c r="AO602" s="489"/>
      <c r="AP602" s="489"/>
      <c r="AQ602" s="489"/>
      <c r="AR602" s="489"/>
      <c r="AS602" s="489"/>
    </row>
    <row r="603" spans="1:45" s="484" customFormat="1" ht="14.5" hidden="1">
      <c r="A603" s="695" t="s">
        <v>1306</v>
      </c>
      <c r="B603" s="647"/>
      <c r="C603" s="644"/>
      <c r="D603" s="644"/>
      <c r="E603" s="639">
        <v>0</v>
      </c>
      <c r="F603" s="705"/>
      <c r="G603" s="639">
        <v>0</v>
      </c>
      <c r="H603" s="639">
        <v>0</v>
      </c>
      <c r="I603" s="639">
        <v>0</v>
      </c>
      <c r="J603" s="639">
        <v>0</v>
      </c>
      <c r="K603" s="639">
        <v>0</v>
      </c>
      <c r="L603" s="639">
        <v>0</v>
      </c>
      <c r="M603" s="639">
        <v>0</v>
      </c>
      <c r="N603" s="639">
        <v>0</v>
      </c>
      <c r="O603" s="639">
        <v>0</v>
      </c>
      <c r="P603" s="639">
        <v>0</v>
      </c>
      <c r="Q603" s="639">
        <v>0</v>
      </c>
      <c r="R603" s="639">
        <v>0</v>
      </c>
      <c r="S603" s="639">
        <v>0</v>
      </c>
      <c r="T603" s="813"/>
      <c r="V603" s="641">
        <f t="shared" si="221"/>
        <v>0</v>
      </c>
      <c r="W603" s="715">
        <f t="shared" si="222"/>
        <v>0</v>
      </c>
      <c r="X603" s="1016"/>
      <c r="Y603" s="675"/>
      <c r="AA603" s="675"/>
      <c r="AC603" s="675"/>
      <c r="AE603" s="675"/>
      <c r="AL603" s="489"/>
      <c r="AM603" s="489"/>
      <c r="AN603" s="489"/>
      <c r="AO603" s="489"/>
      <c r="AP603" s="489"/>
      <c r="AQ603" s="489"/>
      <c r="AR603" s="489"/>
      <c r="AS603" s="489"/>
    </row>
    <row r="604" spans="1:45" s="484" customFormat="1" ht="14.5" hidden="1">
      <c r="A604" s="695" t="s">
        <v>1307</v>
      </c>
      <c r="B604" s="647"/>
      <c r="C604" s="644"/>
      <c r="D604" s="644"/>
      <c r="E604" s="639">
        <v>0</v>
      </c>
      <c r="F604" s="705"/>
      <c r="G604" s="639">
        <v>0</v>
      </c>
      <c r="H604" s="639">
        <v>0</v>
      </c>
      <c r="I604" s="639">
        <v>0</v>
      </c>
      <c r="J604" s="639">
        <v>0</v>
      </c>
      <c r="K604" s="639">
        <v>0</v>
      </c>
      <c r="L604" s="639">
        <v>0</v>
      </c>
      <c r="M604" s="639">
        <v>0</v>
      </c>
      <c r="N604" s="639">
        <v>0</v>
      </c>
      <c r="O604" s="639">
        <v>0</v>
      </c>
      <c r="P604" s="639">
        <v>0</v>
      </c>
      <c r="Q604" s="639">
        <v>0</v>
      </c>
      <c r="R604" s="639">
        <v>0</v>
      </c>
      <c r="S604" s="639">
        <v>0</v>
      </c>
      <c r="T604" s="813"/>
      <c r="V604" s="641">
        <f t="shared" si="221"/>
        <v>0</v>
      </c>
      <c r="W604" s="715">
        <f t="shared" si="222"/>
        <v>0</v>
      </c>
      <c r="X604" s="1016"/>
      <c r="Y604" s="675"/>
      <c r="AA604" s="675"/>
      <c r="AC604" s="675"/>
      <c r="AE604" s="675"/>
      <c r="AL604" s="489"/>
      <c r="AM604" s="489"/>
      <c r="AN604" s="489"/>
      <c r="AO604" s="489"/>
      <c r="AP604" s="489"/>
      <c r="AQ604" s="489"/>
      <c r="AR604" s="489"/>
      <c r="AS604" s="489"/>
    </row>
    <row r="605" spans="1:45" s="484" customFormat="1" ht="14.5" hidden="1">
      <c r="A605" s="695" t="s">
        <v>1308</v>
      </c>
      <c r="B605" s="647"/>
      <c r="C605" s="644"/>
      <c r="D605" s="644"/>
      <c r="E605" s="639">
        <v>0</v>
      </c>
      <c r="F605" s="705"/>
      <c r="G605" s="639">
        <v>0</v>
      </c>
      <c r="H605" s="639">
        <v>0</v>
      </c>
      <c r="I605" s="639">
        <v>0</v>
      </c>
      <c r="J605" s="639">
        <v>0</v>
      </c>
      <c r="K605" s="639">
        <v>0</v>
      </c>
      <c r="L605" s="639">
        <v>0</v>
      </c>
      <c r="M605" s="639">
        <v>0</v>
      </c>
      <c r="N605" s="639">
        <v>0</v>
      </c>
      <c r="O605" s="639">
        <v>0</v>
      </c>
      <c r="P605" s="639">
        <v>0</v>
      </c>
      <c r="Q605" s="639">
        <v>0</v>
      </c>
      <c r="R605" s="639">
        <v>0</v>
      </c>
      <c r="S605" s="639">
        <v>0</v>
      </c>
      <c r="T605" s="813"/>
      <c r="V605" s="641">
        <f t="shared" si="221"/>
        <v>0</v>
      </c>
      <c r="W605" s="715">
        <f t="shared" si="222"/>
        <v>0</v>
      </c>
      <c r="X605" s="1016"/>
      <c r="Y605" s="675"/>
      <c r="AA605" s="675"/>
      <c r="AC605" s="675"/>
      <c r="AE605" s="675"/>
      <c r="AL605" s="489"/>
      <c r="AM605" s="489"/>
      <c r="AN605" s="489"/>
      <c r="AO605" s="489"/>
      <c r="AP605" s="489"/>
      <c r="AQ605" s="489"/>
      <c r="AR605" s="489"/>
      <c r="AS605" s="489"/>
    </row>
    <row r="606" spans="1:45" s="484" customFormat="1" ht="14.5" hidden="1">
      <c r="A606" s="695" t="s">
        <v>1309</v>
      </c>
      <c r="B606" s="647"/>
      <c r="C606" s="644"/>
      <c r="D606" s="644"/>
      <c r="E606" s="639"/>
      <c r="F606" s="705"/>
      <c r="G606" s="639"/>
      <c r="H606" s="639"/>
      <c r="I606" s="639"/>
      <c r="J606" s="639"/>
      <c r="K606" s="639"/>
      <c r="L606" s="639"/>
      <c r="M606" s="639"/>
      <c r="N606" s="639"/>
      <c r="O606" s="639"/>
      <c r="P606" s="639"/>
      <c r="Q606" s="639"/>
      <c r="R606" s="639"/>
      <c r="S606" s="639"/>
      <c r="T606" s="813"/>
      <c r="V606" s="641">
        <f t="shared" si="221"/>
        <v>0</v>
      </c>
      <c r="W606" s="715">
        <f t="shared" si="222"/>
        <v>0</v>
      </c>
      <c r="X606" s="1016"/>
      <c r="Y606" s="675"/>
      <c r="AA606" s="675"/>
      <c r="AC606" s="675"/>
      <c r="AE606" s="675"/>
      <c r="AL606" s="489"/>
      <c r="AM606" s="489"/>
      <c r="AN606" s="489"/>
      <c r="AO606" s="489"/>
      <c r="AP606" s="489"/>
      <c r="AQ606" s="489"/>
      <c r="AR606" s="489"/>
      <c r="AS606" s="489"/>
    </row>
    <row r="607" spans="1:45" s="484" customFormat="1" ht="14.5">
      <c r="A607" s="695"/>
      <c r="B607" s="647"/>
      <c r="C607" s="644"/>
      <c r="D607" s="644"/>
      <c r="E607" s="644"/>
      <c r="F607" s="705"/>
      <c r="G607" s="639"/>
      <c r="H607" s="493"/>
      <c r="I607" s="493"/>
      <c r="J607" s="493"/>
      <c r="K607" s="493"/>
      <c r="L607" s="493"/>
      <c r="M607" s="493"/>
      <c r="N607" s="493"/>
      <c r="O607" s="493"/>
      <c r="P607" s="493"/>
      <c r="Q607" s="493"/>
      <c r="R607" s="493"/>
      <c r="S607" s="493"/>
      <c r="T607" s="794"/>
      <c r="V607" s="641">
        <f t="shared" si="221"/>
        <v>0</v>
      </c>
      <c r="W607" s="715">
        <f t="shared" si="222"/>
        <v>0</v>
      </c>
      <c r="X607" s="1016"/>
      <c r="Y607" s="675"/>
      <c r="AA607" s="675"/>
      <c r="AC607" s="675"/>
      <c r="AE607" s="675"/>
      <c r="AL607" s="489"/>
      <c r="AM607" s="489"/>
      <c r="AN607" s="489"/>
      <c r="AO607" s="489"/>
      <c r="AP607" s="489"/>
      <c r="AQ607" s="489"/>
      <c r="AR607" s="489"/>
      <c r="AS607" s="489"/>
    </row>
    <row r="608" spans="1:45" s="484" customFormat="1">
      <c r="A608" s="714" t="s">
        <v>1323</v>
      </c>
      <c r="B608" s="727">
        <v>191512506424.56</v>
      </c>
      <c r="C608" s="728"/>
      <c r="D608" s="728">
        <f>SUM(D572:D586)</f>
        <v>0</v>
      </c>
      <c r="E608" s="728">
        <f>SUM(E572:E607)</f>
        <v>0</v>
      </c>
      <c r="F608" s="721">
        <f t="shared" ref="F608:V608" si="227">SUM(F572:F607)</f>
        <v>0</v>
      </c>
      <c r="G608" s="728">
        <f t="shared" si="227"/>
        <v>200000000</v>
      </c>
      <c r="H608" s="728">
        <f t="shared" si="227"/>
        <v>1635000000</v>
      </c>
      <c r="I608" s="728">
        <f t="shared" si="227"/>
        <v>3070000000</v>
      </c>
      <c r="J608" s="728">
        <f t="shared" si="227"/>
        <v>4505000000</v>
      </c>
      <c r="K608" s="728">
        <f t="shared" si="227"/>
        <v>5940000000</v>
      </c>
      <c r="L608" s="728">
        <f t="shared" si="227"/>
        <v>7375000000</v>
      </c>
      <c r="M608" s="728">
        <f t="shared" si="227"/>
        <v>8810000000</v>
      </c>
      <c r="N608" s="728">
        <f t="shared" si="227"/>
        <v>10245000000</v>
      </c>
      <c r="O608" s="728">
        <f t="shared" si="227"/>
        <v>11680000000</v>
      </c>
      <c r="P608" s="728">
        <f t="shared" si="227"/>
        <v>13115000000</v>
      </c>
      <c r="Q608" s="728">
        <f t="shared" si="227"/>
        <v>14550000000</v>
      </c>
      <c r="R608" s="728">
        <f>SUM(R572:R607)</f>
        <v>15985000000</v>
      </c>
      <c r="S608" s="728">
        <f>SUM(S572:S607)</f>
        <v>17420000000</v>
      </c>
      <c r="T608" s="826"/>
      <c r="V608" s="728">
        <f t="shared" si="227"/>
        <v>17420000000</v>
      </c>
      <c r="W608" s="715">
        <f t="shared" si="222"/>
        <v>2.7988621008430883E-3</v>
      </c>
      <c r="X608" s="1025"/>
      <c r="Y608" s="729">
        <f>SUM(Y572:Y589)-Y581</f>
        <v>8424000000</v>
      </c>
      <c r="Z608" s="730">
        <f>Y608/V608-1</f>
        <v>-0.5164179104477612</v>
      </c>
      <c r="AA608" s="729">
        <f>SUM(AA572:AA589)-AA581</f>
        <v>11793600000</v>
      </c>
      <c r="AB608" s="730">
        <f>+AA608/Y608-1</f>
        <v>0.39999999999999991</v>
      </c>
      <c r="AC608" s="729">
        <f>SUM(AC572:AC589)-AC581</f>
        <v>17690400000</v>
      </c>
      <c r="AD608" s="730">
        <f>+AC608/AA608-1</f>
        <v>0.5</v>
      </c>
      <c r="AE608" s="729">
        <f>SUM(AE572:AE589)-AE581</f>
        <v>22113000000</v>
      </c>
      <c r="AF608" s="730">
        <f>+AE608/AC608-1</f>
        <v>0.25</v>
      </c>
      <c r="AL608" s="489"/>
      <c r="AM608" s="489"/>
      <c r="AN608" s="489"/>
      <c r="AO608" s="489"/>
      <c r="AP608" s="489"/>
      <c r="AQ608" s="489"/>
      <c r="AR608" s="489"/>
      <c r="AS608" s="489"/>
    </row>
    <row r="609" spans="1:45" s="484" customFormat="1">
      <c r="A609" s="749"/>
      <c r="B609" s="750"/>
      <c r="C609" s="728"/>
      <c r="D609" s="728"/>
      <c r="E609" s="728"/>
      <c r="F609" s="721"/>
      <c r="G609" s="728"/>
      <c r="H609" s="728"/>
      <c r="I609" s="728"/>
      <c r="J609" s="728"/>
      <c r="K609" s="728"/>
      <c r="L609" s="728"/>
      <c r="M609" s="728"/>
      <c r="N609" s="728"/>
      <c r="O609" s="728"/>
      <c r="P609" s="728"/>
      <c r="Q609" s="728"/>
      <c r="R609" s="728"/>
      <c r="S609" s="728"/>
      <c r="T609" s="826"/>
      <c r="V609" s="728"/>
      <c r="W609" s="730"/>
      <c r="X609" s="1025"/>
      <c r="Y609" s="664"/>
      <c r="Z609" s="730"/>
      <c r="AA609" s="664"/>
      <c r="AB609" s="730"/>
      <c r="AC609" s="664"/>
      <c r="AD609" s="730"/>
      <c r="AE609" s="664"/>
      <c r="AF609" s="730"/>
    </row>
    <row r="610" spans="1:45" s="484" customFormat="1">
      <c r="A610" s="490" t="s">
        <v>1138</v>
      </c>
      <c r="B610" s="633" t="s">
        <v>1273</v>
      </c>
      <c r="C610" s="634"/>
      <c r="D610" s="693" t="s">
        <v>1274</v>
      </c>
      <c r="E610" s="690">
        <v>42613</v>
      </c>
      <c r="F610" s="711"/>
      <c r="G610" s="690">
        <v>42735</v>
      </c>
      <c r="H610" s="690">
        <v>42736</v>
      </c>
      <c r="I610" s="690">
        <v>42768</v>
      </c>
      <c r="J610" s="690">
        <v>42800</v>
      </c>
      <c r="K610" s="690">
        <v>42832</v>
      </c>
      <c r="L610" s="690">
        <v>42864</v>
      </c>
      <c r="M610" s="690">
        <v>42896</v>
      </c>
      <c r="N610" s="690">
        <v>42928</v>
      </c>
      <c r="O610" s="690">
        <v>42960</v>
      </c>
      <c r="P610" s="690">
        <v>42992</v>
      </c>
      <c r="Q610" s="690">
        <v>43024</v>
      </c>
      <c r="R610" s="690">
        <v>43056</v>
      </c>
      <c r="S610" s="690">
        <v>43088</v>
      </c>
      <c r="T610" s="822"/>
      <c r="V610" s="690" t="s">
        <v>1159</v>
      </c>
      <c r="W610" s="660"/>
      <c r="X610" s="1014"/>
      <c r="Y610" s="634"/>
      <c r="Z610" s="634"/>
      <c r="AA610" s="661"/>
      <c r="AB610" s="661"/>
      <c r="AC610" s="661"/>
      <c r="AD610" s="661"/>
      <c r="AE610" s="661"/>
      <c r="AF610" s="661"/>
      <c r="AL610" s="489"/>
      <c r="AM610" s="489"/>
      <c r="AN610" s="489"/>
      <c r="AO610" s="489"/>
      <c r="AP610" s="489"/>
      <c r="AQ610" s="489"/>
      <c r="AR610" s="489"/>
      <c r="AS610" s="489"/>
    </row>
    <row r="611" spans="1:45" s="484" customFormat="1">
      <c r="A611" s="695" t="s">
        <v>1275</v>
      </c>
      <c r="B611" s="638">
        <v>2891247907</v>
      </c>
      <c r="C611" s="639"/>
      <c r="D611" s="639"/>
      <c r="E611" s="639">
        <v>90865005.33498311</v>
      </c>
      <c r="F611" s="703"/>
      <c r="G611" s="639">
        <v>0</v>
      </c>
      <c r="H611" s="639">
        <v>0</v>
      </c>
      <c r="I611" s="639">
        <v>0</v>
      </c>
      <c r="J611" s="639">
        <v>0</v>
      </c>
      <c r="K611" s="639">
        <v>0</v>
      </c>
      <c r="L611" s="639">
        <v>0</v>
      </c>
      <c r="M611" s="639">
        <v>0</v>
      </c>
      <c r="N611" s="639">
        <v>0</v>
      </c>
      <c r="O611" s="639">
        <v>0</v>
      </c>
      <c r="P611" s="639">
        <v>0</v>
      </c>
      <c r="Q611" s="639">
        <v>0</v>
      </c>
      <c r="R611" s="639">
        <v>0</v>
      </c>
      <c r="S611" s="639">
        <v>0</v>
      </c>
      <c r="T611" s="813"/>
      <c r="V611" s="641">
        <f t="shared" ref="V611:V646" si="228">+S611</f>
        <v>0</v>
      </c>
      <c r="W611" s="715">
        <f>+V611/$V$256</f>
        <v>0</v>
      </c>
      <c r="X611" s="1015"/>
      <c r="Y611" s="675">
        <f>+V611*(100%+$Y$16)</f>
        <v>0</v>
      </c>
      <c r="Z611" s="664"/>
      <c r="AA611" s="675">
        <f>+Y611*(100%+$AA$16)</f>
        <v>0</v>
      </c>
      <c r="AB611" s="664"/>
      <c r="AC611" s="675">
        <f>+AA611*(100%+$AC$16)</f>
        <v>0</v>
      </c>
      <c r="AD611" s="664"/>
      <c r="AE611" s="675">
        <f>+AC611*(100%+$AE$16)</f>
        <v>0</v>
      </c>
      <c r="AF611" s="664"/>
      <c r="AL611" s="489"/>
      <c r="AM611" s="489"/>
      <c r="AN611" s="489"/>
      <c r="AO611" s="489"/>
      <c r="AP611" s="489"/>
      <c r="AQ611" s="489"/>
      <c r="AR611" s="489"/>
      <c r="AS611" s="489"/>
    </row>
    <row r="612" spans="1:45" s="484" customFormat="1" ht="14.5">
      <c r="A612" s="695" t="s">
        <v>1276</v>
      </c>
      <c r="B612" s="647"/>
      <c r="C612" s="644"/>
      <c r="D612" s="644"/>
      <c r="E612" s="639">
        <v>204762017.62790203</v>
      </c>
      <c r="F612" s="705"/>
      <c r="G612" s="639">
        <v>0</v>
      </c>
      <c r="H612" s="639">
        <v>0</v>
      </c>
      <c r="I612" s="639">
        <v>0</v>
      </c>
      <c r="J612" s="639">
        <v>0</v>
      </c>
      <c r="K612" s="639">
        <v>0</v>
      </c>
      <c r="L612" s="639">
        <v>0</v>
      </c>
      <c r="M612" s="639">
        <v>0</v>
      </c>
      <c r="N612" s="639">
        <v>0</v>
      </c>
      <c r="O612" s="639">
        <v>0</v>
      </c>
      <c r="P612" s="639">
        <v>0</v>
      </c>
      <c r="Q612" s="639">
        <v>0</v>
      </c>
      <c r="R612" s="639">
        <v>0</v>
      </c>
      <c r="S612" s="639">
        <v>0</v>
      </c>
      <c r="T612" s="813"/>
      <c r="V612" s="641">
        <f t="shared" si="228"/>
        <v>0</v>
      </c>
      <c r="W612" s="715">
        <f t="shared" ref="W612:W645" si="229">+V612/$V$256</f>
        <v>0</v>
      </c>
      <c r="X612" s="1016"/>
      <c r="Y612" s="675">
        <f t="shared" ref="Y612:Y628" si="230">+V612*(100%+$Y$16)</f>
        <v>0</v>
      </c>
      <c r="Z612" s="670"/>
      <c r="AA612" s="675">
        <f>+Y612*(100%+$AA$16)</f>
        <v>0</v>
      </c>
      <c r="AB612" s="670"/>
      <c r="AC612" s="675">
        <f>+AA612*(100%+$AC$16)</f>
        <v>0</v>
      </c>
      <c r="AD612" s="670"/>
      <c r="AE612" s="675">
        <f>+AC612*(100%+$AE$16)</f>
        <v>0</v>
      </c>
      <c r="AF612" s="670"/>
      <c r="AL612" s="489"/>
      <c r="AM612" s="489"/>
      <c r="AN612" s="489"/>
      <c r="AO612" s="489"/>
      <c r="AP612" s="489"/>
      <c r="AQ612" s="489"/>
      <c r="AR612" s="489"/>
      <c r="AS612" s="489"/>
    </row>
    <row r="613" spans="1:45" s="484" customFormat="1">
      <c r="A613" s="695" t="s">
        <v>1277</v>
      </c>
      <c r="B613" s="638">
        <v>20896385642</v>
      </c>
      <c r="C613" s="639"/>
      <c r="D613" s="639"/>
      <c r="E613" s="639">
        <v>4753856.9115399756</v>
      </c>
      <c r="F613" s="703"/>
      <c r="G613" s="639">
        <v>518749585.56267536</v>
      </c>
      <c r="H613" s="639">
        <v>518749585.56267536</v>
      </c>
      <c r="I613" s="639">
        <v>518749585.56267536</v>
      </c>
      <c r="J613" s="639">
        <v>518749585.56267536</v>
      </c>
      <c r="K613" s="639">
        <v>518749585.56267536</v>
      </c>
      <c r="L613" s="639">
        <v>518749585.56267536</v>
      </c>
      <c r="M613" s="639">
        <v>518749585.56267536</v>
      </c>
      <c r="N613" s="639">
        <v>518749585.56267536</v>
      </c>
      <c r="O613" s="639">
        <v>518749585.56267536</v>
      </c>
      <c r="P613" s="639">
        <v>518749585.56267536</v>
      </c>
      <c r="Q613" s="639">
        <v>518749585.56267536</v>
      </c>
      <c r="R613" s="639">
        <v>518749585.56267536</v>
      </c>
      <c r="S613" s="639">
        <v>518749585.56267536</v>
      </c>
      <c r="T613" s="813"/>
      <c r="V613" s="641">
        <f t="shared" si="228"/>
        <v>518749585.56267536</v>
      </c>
      <c r="W613" s="715">
        <f t="shared" si="229"/>
        <v>8.334721899307869E-5</v>
      </c>
      <c r="X613" s="1015"/>
      <c r="Y613" s="675">
        <f t="shared" si="230"/>
        <v>622499502.67521036</v>
      </c>
      <c r="Z613" s="675"/>
      <c r="AA613" s="675">
        <f t="shared" ref="AA613:AA628" si="231">+Y613*(100%+$AA$16)</f>
        <v>871499303.74529445</v>
      </c>
      <c r="AB613" s="675"/>
      <c r="AC613" s="675">
        <f t="shared" ref="AC613:AC628" si="232">+AA613*(100%+$AC$16)</f>
        <v>1307248955.6179416</v>
      </c>
      <c r="AD613" s="675"/>
      <c r="AE613" s="675">
        <f t="shared" ref="AE613:AE628" si="233">+AC613*(100%+$AE$16)</f>
        <v>1634061194.5224271</v>
      </c>
      <c r="AF613" s="675"/>
      <c r="AL613" s="489"/>
      <c r="AM613" s="489"/>
      <c r="AN613" s="489"/>
      <c r="AO613" s="489"/>
      <c r="AP613" s="489"/>
      <c r="AQ613" s="489"/>
      <c r="AR613" s="489"/>
      <c r="AS613" s="489"/>
    </row>
    <row r="614" spans="1:45" s="484" customFormat="1" ht="14.5">
      <c r="A614" s="695" t="s">
        <v>1278</v>
      </c>
      <c r="B614" s="647"/>
      <c r="C614" s="644"/>
      <c r="D614" s="644"/>
      <c r="E614" s="639">
        <v>27055610.278799057</v>
      </c>
      <c r="F614" s="705"/>
      <c r="G614" s="639">
        <v>0</v>
      </c>
      <c r="H614" s="639">
        <v>0</v>
      </c>
      <c r="I614" s="639">
        <v>0</v>
      </c>
      <c r="J614" s="639">
        <v>0</v>
      </c>
      <c r="K614" s="639">
        <v>0</v>
      </c>
      <c r="L614" s="639">
        <v>0</v>
      </c>
      <c r="M614" s="639">
        <v>0</v>
      </c>
      <c r="N614" s="639">
        <v>0</v>
      </c>
      <c r="O614" s="639">
        <v>0</v>
      </c>
      <c r="P614" s="639">
        <v>0</v>
      </c>
      <c r="Q614" s="639">
        <v>0</v>
      </c>
      <c r="R614" s="639">
        <v>0</v>
      </c>
      <c r="S614" s="639">
        <v>0</v>
      </c>
      <c r="T614" s="813"/>
      <c r="V614" s="641">
        <f t="shared" si="228"/>
        <v>0</v>
      </c>
      <c r="W614" s="715">
        <f t="shared" si="229"/>
        <v>0</v>
      </c>
      <c r="X614" s="1016"/>
      <c r="Y614" s="675">
        <f t="shared" si="230"/>
        <v>0</v>
      </c>
      <c r="Z614" s="670"/>
      <c r="AA614" s="675">
        <f t="shared" si="231"/>
        <v>0</v>
      </c>
      <c r="AB614" s="670"/>
      <c r="AC614" s="675">
        <f t="shared" si="232"/>
        <v>0</v>
      </c>
      <c r="AD614" s="670"/>
      <c r="AE614" s="675">
        <f t="shared" si="233"/>
        <v>0</v>
      </c>
      <c r="AF614" s="670"/>
      <c r="AL614" s="489"/>
      <c r="AM614" s="489"/>
      <c r="AN614" s="489"/>
      <c r="AO614" s="489"/>
      <c r="AP614" s="489"/>
      <c r="AQ614" s="489"/>
      <c r="AR614" s="489"/>
      <c r="AS614" s="489"/>
    </row>
    <row r="615" spans="1:45" s="484" customFormat="1">
      <c r="A615" s="695" t="s">
        <v>1279</v>
      </c>
      <c r="B615" s="638">
        <v>12712848871</v>
      </c>
      <c r="C615" s="639"/>
      <c r="D615" s="639"/>
      <c r="E615" s="639">
        <v>40425996126.332809</v>
      </c>
      <c r="F615" s="703"/>
      <c r="G615" s="639">
        <v>33494043566.77626</v>
      </c>
      <c r="H615" s="639">
        <v>33494043566.77626</v>
      </c>
      <c r="I615" s="639">
        <v>33494043566.77626</v>
      </c>
      <c r="J615" s="639">
        <v>33494043566.77626</v>
      </c>
      <c r="K615" s="639">
        <v>33494043566.77626</v>
      </c>
      <c r="L615" s="639">
        <v>33494043566.77626</v>
      </c>
      <c r="M615" s="639">
        <v>33494043566.77626</v>
      </c>
      <c r="N615" s="639">
        <v>33494043566.77626</v>
      </c>
      <c r="O615" s="639">
        <v>33494043566.77626</v>
      </c>
      <c r="P615" s="639">
        <v>33494043566.77626</v>
      </c>
      <c r="Q615" s="639">
        <v>33494043566.77626</v>
      </c>
      <c r="R615" s="639">
        <v>33494043566.77626</v>
      </c>
      <c r="S615" s="639">
        <v>33494043566.77626</v>
      </c>
      <c r="T615" s="813"/>
      <c r="V615" s="641">
        <f t="shared" si="228"/>
        <v>33494043566.77626</v>
      </c>
      <c r="W615" s="715">
        <f t="shared" si="229"/>
        <v>5.3814701000595476E-3</v>
      </c>
      <c r="X615" s="1015"/>
      <c r="Y615" s="675">
        <f t="shared" si="230"/>
        <v>40192852280.131508</v>
      </c>
      <c r="Z615" s="675"/>
      <c r="AA615" s="675">
        <f t="shared" si="231"/>
        <v>56269993192.184105</v>
      </c>
      <c r="AB615" s="675"/>
      <c r="AC615" s="675">
        <f t="shared" si="232"/>
        <v>84404989788.276154</v>
      </c>
      <c r="AD615" s="675"/>
      <c r="AE615" s="675">
        <f t="shared" si="233"/>
        <v>105506237235.34518</v>
      </c>
      <c r="AF615" s="675"/>
      <c r="AL615" s="489"/>
      <c r="AM615" s="489"/>
      <c r="AN615" s="489"/>
      <c r="AO615" s="489"/>
      <c r="AP615" s="489"/>
      <c r="AQ615" s="489"/>
      <c r="AR615" s="489"/>
      <c r="AS615" s="489"/>
    </row>
    <row r="616" spans="1:45" s="484" customFormat="1" ht="14.5">
      <c r="A616" s="695" t="s">
        <v>1280</v>
      </c>
      <c r="B616" s="647"/>
      <c r="C616" s="644"/>
      <c r="D616" s="644"/>
      <c r="E616" s="639">
        <v>211013271.69609934</v>
      </c>
      <c r="F616" s="705"/>
      <c r="G616" s="639">
        <v>234540481.85496485</v>
      </c>
      <c r="H616" s="639">
        <v>234540481.85496485</v>
      </c>
      <c r="I616" s="639">
        <v>234540481.85496485</v>
      </c>
      <c r="J616" s="639">
        <v>234540481.85496485</v>
      </c>
      <c r="K616" s="639">
        <v>234540481.85496485</v>
      </c>
      <c r="L616" s="639">
        <v>234540481.85496485</v>
      </c>
      <c r="M616" s="639">
        <v>234540481.85496485</v>
      </c>
      <c r="N616" s="639">
        <v>234540481.85496485</v>
      </c>
      <c r="O616" s="639">
        <v>234540481.85496485</v>
      </c>
      <c r="P616" s="639">
        <v>234540481.85496485</v>
      </c>
      <c r="Q616" s="639">
        <v>234540481.85496485</v>
      </c>
      <c r="R616" s="639">
        <v>234540481.85496485</v>
      </c>
      <c r="S616" s="639">
        <v>234540481.85496485</v>
      </c>
      <c r="T616" s="813"/>
      <c r="V616" s="641">
        <f t="shared" si="228"/>
        <v>234540481.85496485</v>
      </c>
      <c r="W616" s="715">
        <f t="shared" si="229"/>
        <v>3.768349401706872E-5</v>
      </c>
      <c r="X616" s="1016"/>
      <c r="Y616" s="675">
        <f t="shared" si="230"/>
        <v>281448578.22595781</v>
      </c>
      <c r="Z616" s="670"/>
      <c r="AA616" s="675">
        <f t="shared" si="231"/>
        <v>394028009.51634091</v>
      </c>
      <c r="AB616" s="670"/>
      <c r="AC616" s="675">
        <f t="shared" si="232"/>
        <v>591042014.27451134</v>
      </c>
      <c r="AD616" s="670"/>
      <c r="AE616" s="675">
        <f t="shared" si="233"/>
        <v>738802517.84313917</v>
      </c>
      <c r="AF616" s="670"/>
      <c r="AL616" s="489"/>
      <c r="AM616" s="489"/>
      <c r="AN616" s="489"/>
      <c r="AO616" s="489"/>
      <c r="AP616" s="489"/>
      <c r="AQ616" s="489"/>
      <c r="AR616" s="489"/>
      <c r="AS616" s="489"/>
    </row>
    <row r="617" spans="1:45" s="484" customFormat="1">
      <c r="A617" s="695" t="s">
        <v>1281</v>
      </c>
      <c r="B617" s="638">
        <v>5637570085</v>
      </c>
      <c r="C617" s="639"/>
      <c r="D617" s="639"/>
      <c r="E617" s="639">
        <v>2404237441.8410497</v>
      </c>
      <c r="F617" s="703"/>
      <c r="G617" s="639">
        <v>2189863208.5318313</v>
      </c>
      <c r="H617" s="639">
        <v>2189863208.5318313</v>
      </c>
      <c r="I617" s="639">
        <v>2189863208.5318313</v>
      </c>
      <c r="J617" s="639">
        <v>2189863208.5318313</v>
      </c>
      <c r="K617" s="639">
        <v>2189863208.5318313</v>
      </c>
      <c r="L617" s="639">
        <v>2189863208.5318313</v>
      </c>
      <c r="M617" s="639">
        <v>2189863208.5318313</v>
      </c>
      <c r="N617" s="639">
        <v>2189863208.5318313</v>
      </c>
      <c r="O617" s="639">
        <v>2189863208.5318313</v>
      </c>
      <c r="P617" s="639">
        <v>2189863208.5318313</v>
      </c>
      <c r="Q617" s="639">
        <v>2189863208.5318313</v>
      </c>
      <c r="R617" s="639">
        <v>2189863208.5318313</v>
      </c>
      <c r="S617" s="639">
        <v>2189863208.5318313</v>
      </c>
      <c r="T617" s="813"/>
      <c r="V617" s="641">
        <f t="shared" si="228"/>
        <v>2189863208.5318313</v>
      </c>
      <c r="W617" s="715">
        <f t="shared" si="229"/>
        <v>3.5184415272045849E-4</v>
      </c>
      <c r="X617" s="1015"/>
      <c r="Y617" s="675">
        <f t="shared" si="230"/>
        <v>2627835850.2381973</v>
      </c>
      <c r="Z617" s="675"/>
      <c r="AA617" s="675">
        <f t="shared" si="231"/>
        <v>3678970190.3334761</v>
      </c>
      <c r="AB617" s="675"/>
      <c r="AC617" s="675">
        <f t="shared" si="232"/>
        <v>5518455285.5002136</v>
      </c>
      <c r="AD617" s="675"/>
      <c r="AE617" s="675">
        <f t="shared" si="233"/>
        <v>6898069106.875267</v>
      </c>
      <c r="AF617" s="675"/>
      <c r="AL617" s="489"/>
      <c r="AM617" s="489"/>
      <c r="AN617" s="489"/>
      <c r="AO617" s="489"/>
      <c r="AP617" s="489"/>
      <c r="AQ617" s="489"/>
      <c r="AR617" s="489"/>
      <c r="AS617" s="489"/>
    </row>
    <row r="618" spans="1:45" s="484" customFormat="1" ht="14.5">
      <c r="A618" s="695" t="s">
        <v>1282</v>
      </c>
      <c r="B618" s="647"/>
      <c r="C618" s="644"/>
      <c r="D618" s="644"/>
      <c r="E618" s="639">
        <v>0</v>
      </c>
      <c r="F618" s="705"/>
      <c r="G618" s="639">
        <v>0</v>
      </c>
      <c r="H618" s="639">
        <v>0</v>
      </c>
      <c r="I618" s="639">
        <v>0</v>
      </c>
      <c r="J618" s="639">
        <v>0</v>
      </c>
      <c r="K618" s="639">
        <v>0</v>
      </c>
      <c r="L618" s="639">
        <v>0</v>
      </c>
      <c r="M618" s="639">
        <v>0</v>
      </c>
      <c r="N618" s="639">
        <v>0</v>
      </c>
      <c r="O618" s="639">
        <v>0</v>
      </c>
      <c r="P618" s="639">
        <v>0</v>
      </c>
      <c r="Q618" s="639">
        <v>0</v>
      </c>
      <c r="R618" s="639">
        <v>0</v>
      </c>
      <c r="S618" s="639">
        <v>0</v>
      </c>
      <c r="T618" s="813"/>
      <c r="V618" s="641">
        <f t="shared" si="228"/>
        <v>0</v>
      </c>
      <c r="W618" s="715">
        <f t="shared" si="229"/>
        <v>0</v>
      </c>
      <c r="X618" s="1016"/>
      <c r="Y618" s="675">
        <f t="shared" si="230"/>
        <v>0</v>
      </c>
      <c r="Z618" s="670"/>
      <c r="AA618" s="675">
        <f t="shared" si="231"/>
        <v>0</v>
      </c>
      <c r="AB618" s="670"/>
      <c r="AC618" s="675">
        <f t="shared" si="232"/>
        <v>0</v>
      </c>
      <c r="AD618" s="670"/>
      <c r="AE618" s="675">
        <f t="shared" si="233"/>
        <v>0</v>
      </c>
      <c r="AF618" s="670"/>
      <c r="AL618" s="489"/>
      <c r="AM618" s="489"/>
      <c r="AN618" s="489"/>
      <c r="AO618" s="489"/>
      <c r="AP618" s="489"/>
      <c r="AQ618" s="489"/>
      <c r="AR618" s="489"/>
      <c r="AS618" s="489"/>
    </row>
    <row r="619" spans="1:45" s="484" customFormat="1">
      <c r="A619" s="695" t="s">
        <v>1283</v>
      </c>
      <c r="B619" s="638">
        <v>12566671540</v>
      </c>
      <c r="C619" s="639"/>
      <c r="D619" s="639"/>
      <c r="E619" s="639">
        <v>0</v>
      </c>
      <c r="F619" s="703"/>
      <c r="G619" s="639">
        <v>0</v>
      </c>
      <c r="H619" s="639">
        <v>0</v>
      </c>
      <c r="I619" s="639">
        <v>0</v>
      </c>
      <c r="J619" s="639">
        <v>0</v>
      </c>
      <c r="K619" s="639">
        <v>0</v>
      </c>
      <c r="L619" s="639">
        <v>0</v>
      </c>
      <c r="M619" s="639">
        <v>0</v>
      </c>
      <c r="N619" s="639">
        <v>0</v>
      </c>
      <c r="O619" s="639">
        <v>0</v>
      </c>
      <c r="P619" s="639">
        <v>0</v>
      </c>
      <c r="Q619" s="639">
        <v>0</v>
      </c>
      <c r="R619" s="639">
        <v>0</v>
      </c>
      <c r="S619" s="639">
        <v>0</v>
      </c>
      <c r="T619" s="813"/>
      <c r="V619" s="641">
        <f t="shared" si="228"/>
        <v>0</v>
      </c>
      <c r="W619" s="715">
        <f t="shared" si="229"/>
        <v>0</v>
      </c>
      <c r="X619" s="1015"/>
      <c r="Y619" s="675">
        <f t="shared" si="230"/>
        <v>0</v>
      </c>
      <c r="Z619" s="675"/>
      <c r="AA619" s="675">
        <f t="shared" si="231"/>
        <v>0</v>
      </c>
      <c r="AB619" s="675"/>
      <c r="AC619" s="675">
        <f t="shared" si="232"/>
        <v>0</v>
      </c>
      <c r="AD619" s="675"/>
      <c r="AE619" s="675">
        <f t="shared" si="233"/>
        <v>0</v>
      </c>
      <c r="AF619" s="675"/>
      <c r="AL619" s="489"/>
      <c r="AM619" s="489"/>
      <c r="AN619" s="489"/>
      <c r="AO619" s="489"/>
      <c r="AP619" s="489"/>
      <c r="AQ619" s="489"/>
      <c r="AR619" s="489"/>
      <c r="AS619" s="489"/>
    </row>
    <row r="620" spans="1:45" s="484" customFormat="1" ht="14.5">
      <c r="A620" s="695" t="s">
        <v>1284</v>
      </c>
      <c r="B620" s="647"/>
      <c r="C620" s="644"/>
      <c r="D620" s="644"/>
      <c r="E620" s="639">
        <v>3568501171.1355019</v>
      </c>
      <c r="F620" s="705"/>
      <c r="G620" s="639">
        <v>3855522258.1177025</v>
      </c>
      <c r="H620" s="639">
        <v>3855522258.1177025</v>
      </c>
      <c r="I620" s="639">
        <v>3855522258.1177025</v>
      </c>
      <c r="J620" s="639">
        <v>3855522258.1177025</v>
      </c>
      <c r="K620" s="639">
        <v>3855522258.1177025</v>
      </c>
      <c r="L620" s="639">
        <v>3855522258.1177025</v>
      </c>
      <c r="M620" s="639">
        <v>3855522258.1177025</v>
      </c>
      <c r="N620" s="639">
        <v>3855522258.1177025</v>
      </c>
      <c r="O620" s="639">
        <v>3855522258.1177025</v>
      </c>
      <c r="P620" s="639">
        <v>3855522258.1177025</v>
      </c>
      <c r="Q620" s="639">
        <v>3855522258.1177025</v>
      </c>
      <c r="R620" s="639">
        <v>3855522258.1177025</v>
      </c>
      <c r="S620" s="639">
        <v>3855522258.1177025</v>
      </c>
      <c r="T620" s="813"/>
      <c r="V620" s="641">
        <f t="shared" si="228"/>
        <v>3855522258.1177025</v>
      </c>
      <c r="W620" s="715">
        <f t="shared" si="229"/>
        <v>6.1946470305411017E-4</v>
      </c>
      <c r="X620" s="1016"/>
      <c r="Y620" s="675">
        <f t="shared" si="230"/>
        <v>4626626709.7412424</v>
      </c>
      <c r="Z620" s="670"/>
      <c r="AA620" s="675">
        <f t="shared" si="231"/>
        <v>6477277393.6377392</v>
      </c>
      <c r="AB620" s="670"/>
      <c r="AC620" s="675">
        <f t="shared" si="232"/>
        <v>9715916090.4566078</v>
      </c>
      <c r="AD620" s="670"/>
      <c r="AE620" s="675">
        <f t="shared" si="233"/>
        <v>12144895113.070759</v>
      </c>
      <c r="AF620" s="670"/>
      <c r="AL620" s="489"/>
      <c r="AM620" s="489"/>
      <c r="AN620" s="489"/>
      <c r="AO620" s="489"/>
      <c r="AP620" s="489"/>
      <c r="AQ620" s="489"/>
      <c r="AR620" s="489"/>
      <c r="AS620" s="489"/>
    </row>
    <row r="621" spans="1:45" s="484" customFormat="1">
      <c r="A621" s="695" t="s">
        <v>1285</v>
      </c>
      <c r="B621" s="638">
        <v>3756181378.5600004</v>
      </c>
      <c r="C621" s="639"/>
      <c r="D621" s="639"/>
      <c r="E621" s="639">
        <v>10747122950.580009</v>
      </c>
      <c r="F621" s="703"/>
      <c r="G621" s="639">
        <v>6596806418.9247055</v>
      </c>
      <c r="H621" s="639">
        <v>6596806418.9247055</v>
      </c>
      <c r="I621" s="639">
        <v>6596806418.9247055</v>
      </c>
      <c r="J621" s="639">
        <v>6596806418.9247055</v>
      </c>
      <c r="K621" s="639">
        <v>6596806418.9247055</v>
      </c>
      <c r="L621" s="639">
        <v>6596806418.9247055</v>
      </c>
      <c r="M621" s="639">
        <v>6596806418.9247055</v>
      </c>
      <c r="N621" s="639">
        <v>6596806418.9247055</v>
      </c>
      <c r="O621" s="639">
        <v>6596806418.9247055</v>
      </c>
      <c r="P621" s="639">
        <v>6596806418.9247055</v>
      </c>
      <c r="Q621" s="639">
        <v>6596806418.9247055</v>
      </c>
      <c r="R621" s="639">
        <v>6596806418.9247055</v>
      </c>
      <c r="S621" s="639">
        <v>6596806418.9247055</v>
      </c>
      <c r="T621" s="813"/>
      <c r="V621" s="641">
        <f t="shared" si="228"/>
        <v>6596806418.9247055</v>
      </c>
      <c r="W621" s="715">
        <f t="shared" si="229"/>
        <v>1.0599053658166917E-3</v>
      </c>
      <c r="X621" s="1015"/>
      <c r="Y621" s="675">
        <f t="shared" si="230"/>
        <v>7916167702.7096462</v>
      </c>
      <c r="Z621" s="675"/>
      <c r="AA621" s="675">
        <f t="shared" si="231"/>
        <v>11082634783.793505</v>
      </c>
      <c r="AB621" s="675"/>
      <c r="AC621" s="675">
        <f t="shared" si="232"/>
        <v>16623952175.690258</v>
      </c>
      <c r="AD621" s="675"/>
      <c r="AE621" s="675">
        <f t="shared" si="233"/>
        <v>20779940219.612823</v>
      </c>
      <c r="AF621" s="675"/>
      <c r="AL621" s="489"/>
      <c r="AM621" s="489"/>
      <c r="AN621" s="489"/>
      <c r="AO621" s="489"/>
      <c r="AP621" s="489"/>
      <c r="AQ621" s="489"/>
      <c r="AR621" s="489"/>
      <c r="AS621" s="489"/>
    </row>
    <row r="622" spans="1:45" s="484" customFormat="1" ht="14.5">
      <c r="A622" s="695" t="s">
        <v>1286</v>
      </c>
      <c r="B622" s="647"/>
      <c r="C622" s="644"/>
      <c r="D622" s="644"/>
      <c r="E622" s="639">
        <v>2817128.8990001678</v>
      </c>
      <c r="F622" s="705"/>
      <c r="G622" s="639">
        <v>0</v>
      </c>
      <c r="H622" s="639">
        <v>0</v>
      </c>
      <c r="I622" s="639">
        <v>0</v>
      </c>
      <c r="J622" s="639">
        <v>0</v>
      </c>
      <c r="K622" s="639">
        <v>0</v>
      </c>
      <c r="L622" s="639">
        <v>0</v>
      </c>
      <c r="M622" s="639">
        <v>0</v>
      </c>
      <c r="N622" s="639">
        <v>0</v>
      </c>
      <c r="O622" s="639">
        <v>0</v>
      </c>
      <c r="P622" s="639">
        <v>0</v>
      </c>
      <c r="Q622" s="639">
        <v>0</v>
      </c>
      <c r="R622" s="639">
        <v>0</v>
      </c>
      <c r="S622" s="639">
        <v>0</v>
      </c>
      <c r="T622" s="813"/>
      <c r="V622" s="641">
        <f t="shared" si="228"/>
        <v>0</v>
      </c>
      <c r="W622" s="715">
        <f t="shared" si="229"/>
        <v>0</v>
      </c>
      <c r="X622" s="1016"/>
      <c r="Y622" s="675">
        <f t="shared" si="230"/>
        <v>0</v>
      </c>
      <c r="Z622" s="670"/>
      <c r="AA622" s="675">
        <f t="shared" si="231"/>
        <v>0</v>
      </c>
      <c r="AB622" s="670"/>
      <c r="AC622" s="675">
        <f t="shared" si="232"/>
        <v>0</v>
      </c>
      <c r="AD622" s="670"/>
      <c r="AE622" s="675">
        <f t="shared" si="233"/>
        <v>0</v>
      </c>
      <c r="AF622" s="670"/>
      <c r="AL622" s="489"/>
      <c r="AM622" s="489"/>
      <c r="AN622" s="489"/>
      <c r="AO622" s="489"/>
      <c r="AP622" s="489"/>
      <c r="AQ622" s="489"/>
      <c r="AR622" s="489"/>
      <c r="AS622" s="489"/>
    </row>
    <row r="623" spans="1:45" s="484" customFormat="1">
      <c r="A623" s="695" t="s">
        <v>1287</v>
      </c>
      <c r="B623" s="638">
        <v>0</v>
      </c>
      <c r="C623" s="639"/>
      <c r="D623" s="639"/>
      <c r="E623" s="639">
        <v>0</v>
      </c>
      <c r="F623" s="703"/>
      <c r="G623" s="639">
        <v>0</v>
      </c>
      <c r="H623" s="639">
        <v>0</v>
      </c>
      <c r="I623" s="639">
        <v>0</v>
      </c>
      <c r="J623" s="639">
        <v>0</v>
      </c>
      <c r="K623" s="639">
        <v>0</v>
      </c>
      <c r="L623" s="639">
        <v>0</v>
      </c>
      <c r="M623" s="639">
        <v>0</v>
      </c>
      <c r="N623" s="639">
        <v>0</v>
      </c>
      <c r="O623" s="639">
        <v>0</v>
      </c>
      <c r="P623" s="639">
        <v>0</v>
      </c>
      <c r="Q623" s="639">
        <v>0</v>
      </c>
      <c r="R623" s="639">
        <v>0</v>
      </c>
      <c r="S623" s="639">
        <v>0</v>
      </c>
      <c r="T623" s="813"/>
      <c r="V623" s="641">
        <f t="shared" si="228"/>
        <v>0</v>
      </c>
      <c r="W623" s="715">
        <f t="shared" si="229"/>
        <v>0</v>
      </c>
      <c r="X623" s="1015"/>
      <c r="Y623" s="675">
        <f t="shared" si="230"/>
        <v>0</v>
      </c>
      <c r="Z623" s="675"/>
      <c r="AA623" s="675">
        <f t="shared" si="231"/>
        <v>0</v>
      </c>
      <c r="AB623" s="675"/>
      <c r="AC623" s="675">
        <f t="shared" si="232"/>
        <v>0</v>
      </c>
      <c r="AD623" s="675"/>
      <c r="AE623" s="675">
        <f t="shared" si="233"/>
        <v>0</v>
      </c>
      <c r="AF623" s="675"/>
      <c r="AL623" s="489"/>
      <c r="AM623" s="489"/>
      <c r="AN623" s="489"/>
      <c r="AO623" s="489"/>
      <c r="AP623" s="489"/>
      <c r="AQ623" s="489"/>
      <c r="AR623" s="489"/>
      <c r="AS623" s="489"/>
    </row>
    <row r="624" spans="1:45" s="484" customFormat="1" ht="14.5">
      <c r="A624" s="695" t="s">
        <v>1288</v>
      </c>
      <c r="B624" s="647"/>
      <c r="C624" s="644"/>
      <c r="D624" s="644"/>
      <c r="E624" s="639">
        <v>-3.96728515625E-3</v>
      </c>
      <c r="F624" s="705"/>
      <c r="G624" s="639">
        <v>0</v>
      </c>
      <c r="H624" s="639">
        <v>0</v>
      </c>
      <c r="I624" s="639">
        <v>0</v>
      </c>
      <c r="J624" s="639">
        <v>0</v>
      </c>
      <c r="K624" s="639">
        <v>0</v>
      </c>
      <c r="L624" s="639">
        <v>0</v>
      </c>
      <c r="M624" s="639">
        <v>0</v>
      </c>
      <c r="N624" s="639">
        <v>0</v>
      </c>
      <c r="O624" s="639">
        <v>0</v>
      </c>
      <c r="P624" s="639">
        <v>0</v>
      </c>
      <c r="Q624" s="639">
        <v>0</v>
      </c>
      <c r="R624" s="639">
        <v>0</v>
      </c>
      <c r="S624" s="639">
        <v>0</v>
      </c>
      <c r="T624" s="813"/>
      <c r="V624" s="641">
        <f t="shared" si="228"/>
        <v>0</v>
      </c>
      <c r="W624" s="715">
        <f t="shared" si="229"/>
        <v>0</v>
      </c>
      <c r="X624" s="1016"/>
      <c r="Y624" s="675">
        <f t="shared" si="230"/>
        <v>0</v>
      </c>
      <c r="Z624" s="670"/>
      <c r="AA624" s="675">
        <f t="shared" si="231"/>
        <v>0</v>
      </c>
      <c r="AB624" s="670"/>
      <c r="AC624" s="675">
        <f t="shared" si="232"/>
        <v>0</v>
      </c>
      <c r="AD624" s="670"/>
      <c r="AE624" s="675">
        <f t="shared" si="233"/>
        <v>0</v>
      </c>
      <c r="AF624" s="670"/>
      <c r="AL624" s="489"/>
      <c r="AM624" s="489"/>
      <c r="AN624" s="489"/>
      <c r="AO624" s="489"/>
      <c r="AP624" s="489"/>
      <c r="AQ624" s="489"/>
      <c r="AR624" s="489"/>
      <c r="AS624" s="489"/>
    </row>
    <row r="625" spans="1:45" s="484" customFormat="1">
      <c r="A625" s="695" t="s">
        <v>1289</v>
      </c>
      <c r="B625" s="647">
        <v>111809990517</v>
      </c>
      <c r="C625" s="648"/>
      <c r="D625" s="648"/>
      <c r="E625" s="639">
        <v>-4182.3248977661133</v>
      </c>
      <c r="F625" s="706"/>
      <c r="G625" s="639">
        <v>0.62613677978515625</v>
      </c>
      <c r="H625" s="639">
        <v>0.62613677978515625</v>
      </c>
      <c r="I625" s="639">
        <v>0.62613677978515625</v>
      </c>
      <c r="J625" s="639">
        <v>0.62613677978515625</v>
      </c>
      <c r="K625" s="639">
        <v>0.62613677978515625</v>
      </c>
      <c r="L625" s="639">
        <v>0.62613677978515625</v>
      </c>
      <c r="M625" s="639">
        <v>0.62613677978515625</v>
      </c>
      <c r="N625" s="639">
        <v>0.62613677978515625</v>
      </c>
      <c r="O625" s="639">
        <v>0.62613677978515625</v>
      </c>
      <c r="P625" s="639">
        <v>0.62613677978515625</v>
      </c>
      <c r="Q625" s="639">
        <v>0.62613677978515625</v>
      </c>
      <c r="R625" s="639">
        <v>0.62613677978515625</v>
      </c>
      <c r="S625" s="639">
        <v>0.62613677978515625</v>
      </c>
      <c r="T625" s="813"/>
      <c r="V625" s="641">
        <f t="shared" si="228"/>
        <v>0.62613677978515625</v>
      </c>
      <c r="W625" s="715">
        <f t="shared" si="229"/>
        <v>1.0060106216329555E-13</v>
      </c>
      <c r="X625" s="1015"/>
      <c r="Y625" s="675">
        <f t="shared" si="230"/>
        <v>0.75136413574218752</v>
      </c>
      <c r="Z625" s="675"/>
      <c r="AA625" s="675">
        <f t="shared" si="231"/>
        <v>1.0519097900390624</v>
      </c>
      <c r="AB625" s="675"/>
      <c r="AC625" s="675">
        <f t="shared" si="232"/>
        <v>1.5778646850585936</v>
      </c>
      <c r="AD625" s="675"/>
      <c r="AE625" s="675">
        <f t="shared" si="233"/>
        <v>1.972330856323242</v>
      </c>
      <c r="AF625" s="675"/>
      <c r="AL625" s="489"/>
      <c r="AM625" s="489"/>
      <c r="AN625" s="489"/>
      <c r="AO625" s="489"/>
      <c r="AP625" s="489"/>
      <c r="AQ625" s="489"/>
      <c r="AR625" s="489"/>
      <c r="AS625" s="489"/>
    </row>
    <row r="626" spans="1:45" s="484" customFormat="1" ht="14.5">
      <c r="A626" s="695" t="s">
        <v>1290</v>
      </c>
      <c r="B626" s="647"/>
      <c r="C626" s="644"/>
      <c r="D626" s="644"/>
      <c r="E626" s="639">
        <v>7.01904296875E-4</v>
      </c>
      <c r="F626" s="705"/>
      <c r="G626" s="639">
        <v>0</v>
      </c>
      <c r="H626" s="639">
        <v>0</v>
      </c>
      <c r="I626" s="639">
        <v>0</v>
      </c>
      <c r="J626" s="639">
        <v>0</v>
      </c>
      <c r="K626" s="639">
        <v>0</v>
      </c>
      <c r="L626" s="639">
        <v>0</v>
      </c>
      <c r="M626" s="639">
        <v>0</v>
      </c>
      <c r="N626" s="639">
        <v>0</v>
      </c>
      <c r="O626" s="639">
        <v>0</v>
      </c>
      <c r="P626" s="639">
        <v>0</v>
      </c>
      <c r="Q626" s="639">
        <v>0</v>
      </c>
      <c r="R626" s="639">
        <v>0</v>
      </c>
      <c r="S626" s="639">
        <v>0</v>
      </c>
      <c r="T626" s="813"/>
      <c r="V626" s="641">
        <f t="shared" si="228"/>
        <v>0</v>
      </c>
      <c r="W626" s="715">
        <f t="shared" si="229"/>
        <v>0</v>
      </c>
      <c r="X626" s="1016"/>
      <c r="Y626" s="675">
        <f t="shared" si="230"/>
        <v>0</v>
      </c>
      <c r="AA626" s="675">
        <f t="shared" si="231"/>
        <v>0</v>
      </c>
      <c r="AC626" s="675">
        <f t="shared" si="232"/>
        <v>0</v>
      </c>
      <c r="AE626" s="675">
        <f t="shared" si="233"/>
        <v>0</v>
      </c>
      <c r="AF626" s="528"/>
      <c r="AL626" s="489"/>
      <c r="AM626" s="489"/>
      <c r="AN626" s="489"/>
      <c r="AO626" s="489"/>
      <c r="AP626" s="489"/>
      <c r="AQ626" s="489"/>
      <c r="AR626" s="489"/>
      <c r="AS626" s="489"/>
    </row>
    <row r="627" spans="1:45" s="484" customFormat="1" ht="14.5">
      <c r="A627" s="695" t="s">
        <v>1291</v>
      </c>
      <c r="B627" s="647"/>
      <c r="C627" s="644"/>
      <c r="D627" s="644"/>
      <c r="E627" s="639">
        <v>47144656773.544701</v>
      </c>
      <c r="F627" s="705"/>
      <c r="G627" s="639">
        <v>47853491873.360001</v>
      </c>
      <c r="H627" s="639">
        <v>47853491873.360001</v>
      </c>
      <c r="I627" s="639">
        <v>47853491873.360001</v>
      </c>
      <c r="J627" s="639">
        <v>47853491873.360001</v>
      </c>
      <c r="K627" s="639">
        <v>47853491873.360001</v>
      </c>
      <c r="L627" s="639">
        <v>47853491873.360001</v>
      </c>
      <c r="M627" s="639">
        <v>47853491873.360001</v>
      </c>
      <c r="N627" s="639">
        <v>47853491873.360001</v>
      </c>
      <c r="O627" s="639">
        <v>47853491873.360001</v>
      </c>
      <c r="P627" s="639">
        <v>47853491873.360001</v>
      </c>
      <c r="Q627" s="639">
        <v>47853491873.360001</v>
      </c>
      <c r="R627" s="639">
        <v>47853491873.360001</v>
      </c>
      <c r="S627" s="639">
        <v>47853491873.360001</v>
      </c>
      <c r="T627" s="813"/>
      <c r="V627" s="641">
        <f t="shared" si="228"/>
        <v>47853491873.360001</v>
      </c>
      <c r="W627" s="715">
        <f t="shared" si="229"/>
        <v>7.6885949941073485E-3</v>
      </c>
      <c r="X627" s="1016"/>
      <c r="Y627" s="675">
        <f t="shared" si="230"/>
        <v>57424190248.031998</v>
      </c>
      <c r="Z627" s="675"/>
      <c r="AA627" s="675">
        <f t="shared" si="231"/>
        <v>80393866347.244797</v>
      </c>
      <c r="AB627" s="675"/>
      <c r="AC627" s="675">
        <f t="shared" si="232"/>
        <v>120590799520.86719</v>
      </c>
      <c r="AD627" s="675"/>
      <c r="AE627" s="675">
        <f t="shared" si="233"/>
        <v>150738499401.08398</v>
      </c>
      <c r="AL627" s="489"/>
      <c r="AM627" s="489"/>
      <c r="AN627" s="489"/>
      <c r="AO627" s="489"/>
      <c r="AP627" s="489"/>
      <c r="AQ627" s="489"/>
      <c r="AR627" s="489"/>
      <c r="AS627" s="489"/>
    </row>
    <row r="628" spans="1:45" s="484" customFormat="1" ht="14.5">
      <c r="A628" s="695" t="s">
        <v>1292</v>
      </c>
      <c r="B628" s="647"/>
      <c r="C628" s="644"/>
      <c r="D628" s="644"/>
      <c r="E628" s="639">
        <v>11365389511.4128</v>
      </c>
      <c r="F628" s="705"/>
      <c r="G628" s="639">
        <v>11418027962.01</v>
      </c>
      <c r="H628" s="639">
        <v>11418027962.01</v>
      </c>
      <c r="I628" s="639">
        <v>11418027962.01</v>
      </c>
      <c r="J628" s="639">
        <v>11418027962.01</v>
      </c>
      <c r="K628" s="639">
        <v>11418027962.01</v>
      </c>
      <c r="L628" s="639">
        <v>11418027962.01</v>
      </c>
      <c r="M628" s="639">
        <v>11418027962.01</v>
      </c>
      <c r="N628" s="639">
        <v>11418027962.01</v>
      </c>
      <c r="O628" s="639">
        <v>11418027962.01</v>
      </c>
      <c r="P628" s="639">
        <v>11418027962.01</v>
      </c>
      <c r="Q628" s="639">
        <v>11418027962.01</v>
      </c>
      <c r="R628" s="639">
        <v>11418027962.01</v>
      </c>
      <c r="S628" s="639">
        <v>11418027962.01</v>
      </c>
      <c r="T628" s="813"/>
      <c r="V628" s="641">
        <f t="shared" si="228"/>
        <v>11418027962.01</v>
      </c>
      <c r="W628" s="715">
        <f t="shared" si="229"/>
        <v>1.8345284574762591E-3</v>
      </c>
      <c r="X628" s="1016"/>
      <c r="Y628" s="675">
        <f t="shared" si="230"/>
        <v>13701633554.412001</v>
      </c>
      <c r="AA628" s="675">
        <f t="shared" si="231"/>
        <v>19182286976.1768</v>
      </c>
      <c r="AC628" s="675">
        <f t="shared" si="232"/>
        <v>28773430464.265198</v>
      </c>
      <c r="AE628" s="675">
        <f t="shared" si="233"/>
        <v>35966788080.331497</v>
      </c>
      <c r="AL628" s="489"/>
      <c r="AM628" s="489"/>
      <c r="AN628" s="489"/>
      <c r="AO628" s="489"/>
      <c r="AP628" s="489"/>
      <c r="AQ628" s="489"/>
      <c r="AR628" s="489"/>
      <c r="AS628" s="489"/>
    </row>
    <row r="629" spans="1:45" s="484" customFormat="1" ht="14.5">
      <c r="A629" s="695" t="s">
        <v>1293</v>
      </c>
      <c r="B629" s="647"/>
      <c r="C629" s="644"/>
      <c r="D629" s="644"/>
      <c r="E629" s="639">
        <v>10694182211.7153</v>
      </c>
      <c r="F629" s="705"/>
      <c r="G629" s="639">
        <v>10591302240.93</v>
      </c>
      <c r="H629" s="639">
        <v>10591302240.93</v>
      </c>
      <c r="I629" s="639">
        <v>10591302240.93</v>
      </c>
      <c r="J629" s="639">
        <v>10591302240.93</v>
      </c>
      <c r="K629" s="639">
        <v>10591302240.93</v>
      </c>
      <c r="L629" s="639">
        <v>10591302240.93</v>
      </c>
      <c r="M629" s="639">
        <v>10591302240.93</v>
      </c>
      <c r="N629" s="639">
        <v>10591302240.93</v>
      </c>
      <c r="O629" s="639">
        <v>10591302240.93</v>
      </c>
      <c r="P629" s="639">
        <v>10591302240.93</v>
      </c>
      <c r="Q629" s="639">
        <v>10591302240.93</v>
      </c>
      <c r="R629" s="639">
        <v>10591302240.93</v>
      </c>
      <c r="S629" s="639">
        <v>10591302240.93</v>
      </c>
      <c r="T629" s="813"/>
      <c r="V629" s="641">
        <f t="shared" si="228"/>
        <v>10591302240.93</v>
      </c>
      <c r="W629" s="715">
        <f t="shared" si="229"/>
        <v>1.7016988771936536E-3</v>
      </c>
      <c r="X629" s="1016"/>
      <c r="Y629" s="675"/>
      <c r="AA629" s="675"/>
      <c r="AC629" s="675"/>
      <c r="AE629" s="675"/>
      <c r="AL629" s="489"/>
      <c r="AM629" s="489"/>
      <c r="AN629" s="489"/>
      <c r="AO629" s="489"/>
      <c r="AP629" s="489"/>
      <c r="AQ629" s="489"/>
      <c r="AR629" s="489"/>
      <c r="AS629" s="489"/>
    </row>
    <row r="630" spans="1:45" s="484" customFormat="1" ht="14.5">
      <c r="A630" s="695" t="s">
        <v>1294</v>
      </c>
      <c r="B630" s="647"/>
      <c r="C630" s="644"/>
      <c r="D630" s="644"/>
      <c r="E630" s="639">
        <v>1096753754.1290131</v>
      </c>
      <c r="F630" s="705"/>
      <c r="G630" s="639">
        <v>1570142147.3032837</v>
      </c>
      <c r="H630" s="639">
        <v>1570142147.3032837</v>
      </c>
      <c r="I630" s="639">
        <v>1570142147.3032837</v>
      </c>
      <c r="J630" s="639">
        <v>1570142147.3032837</v>
      </c>
      <c r="K630" s="639">
        <v>1570142147.3032837</v>
      </c>
      <c r="L630" s="639">
        <v>1570142147.3032837</v>
      </c>
      <c r="M630" s="639">
        <v>1570142147.3032837</v>
      </c>
      <c r="N630" s="639">
        <v>1570142147.3032837</v>
      </c>
      <c r="O630" s="639">
        <v>1570142147.3032837</v>
      </c>
      <c r="P630" s="639">
        <v>1570142147.3032837</v>
      </c>
      <c r="Q630" s="639">
        <v>1570142147.3032837</v>
      </c>
      <c r="R630" s="639">
        <v>1570142147.3032837</v>
      </c>
      <c r="S630" s="639">
        <v>1570142147.3032837</v>
      </c>
      <c r="T630" s="813"/>
      <c r="V630" s="641">
        <f t="shared" si="228"/>
        <v>1570142147.3032837</v>
      </c>
      <c r="W630" s="715">
        <f t="shared" si="229"/>
        <v>2.5227390063280977E-4</v>
      </c>
      <c r="X630" s="1016"/>
      <c r="Y630" s="675"/>
      <c r="AA630" s="675"/>
      <c r="AC630" s="675"/>
      <c r="AE630" s="675"/>
      <c r="AL630" s="489"/>
      <c r="AM630" s="489"/>
      <c r="AN630" s="489"/>
      <c r="AO630" s="489"/>
      <c r="AP630" s="489"/>
      <c r="AQ630" s="489"/>
      <c r="AR630" s="489"/>
      <c r="AS630" s="489"/>
    </row>
    <row r="631" spans="1:45" s="484" customFormat="1" ht="14.5">
      <c r="A631" s="695" t="s">
        <v>1295</v>
      </c>
      <c r="B631" s="647"/>
      <c r="C631" s="644"/>
      <c r="D631" s="644"/>
      <c r="E631" s="639">
        <v>2115267.3116989136</v>
      </c>
      <c r="F631" s="705"/>
      <c r="G631" s="639">
        <v>0</v>
      </c>
      <c r="H631" s="639">
        <v>0</v>
      </c>
      <c r="I631" s="639">
        <v>0</v>
      </c>
      <c r="J631" s="639">
        <v>0</v>
      </c>
      <c r="K631" s="639">
        <v>0</v>
      </c>
      <c r="L631" s="639">
        <v>0</v>
      </c>
      <c r="M631" s="639">
        <v>0</v>
      </c>
      <c r="N631" s="639">
        <v>0</v>
      </c>
      <c r="O631" s="639">
        <v>0</v>
      </c>
      <c r="P631" s="639">
        <v>0</v>
      </c>
      <c r="Q631" s="639">
        <v>0</v>
      </c>
      <c r="R631" s="639">
        <v>0</v>
      </c>
      <c r="S631" s="639">
        <v>0</v>
      </c>
      <c r="T631" s="813"/>
      <c r="V631" s="641">
        <f t="shared" si="228"/>
        <v>0</v>
      </c>
      <c r="W631" s="715">
        <f t="shared" si="229"/>
        <v>0</v>
      </c>
      <c r="X631" s="1016"/>
      <c r="Y631" s="675"/>
      <c r="AA631" s="675"/>
      <c r="AC631" s="675"/>
      <c r="AE631" s="675"/>
      <c r="AL631" s="489"/>
      <c r="AM631" s="489"/>
      <c r="AN631" s="489"/>
      <c r="AO631" s="489"/>
      <c r="AP631" s="489"/>
      <c r="AQ631" s="489"/>
      <c r="AR631" s="489"/>
      <c r="AS631" s="489"/>
    </row>
    <row r="632" spans="1:45" s="484" customFormat="1" ht="14.5">
      <c r="A632" s="695" t="s">
        <v>1296</v>
      </c>
      <c r="B632" s="647"/>
      <c r="C632" s="644"/>
      <c r="D632" s="644"/>
      <c r="E632" s="639">
        <v>1.1999015808105469</v>
      </c>
      <c r="F632" s="705"/>
      <c r="G632" s="639">
        <v>5.1814994812011719</v>
      </c>
      <c r="H632" s="639">
        <v>5.1814994812011719</v>
      </c>
      <c r="I632" s="639">
        <v>5.1814994812011719</v>
      </c>
      <c r="J632" s="639">
        <v>5.1814994812011719</v>
      </c>
      <c r="K632" s="639">
        <v>5.1814994812011719</v>
      </c>
      <c r="L632" s="639">
        <v>5.1814994812011719</v>
      </c>
      <c r="M632" s="639">
        <v>5.1814994812011719</v>
      </c>
      <c r="N632" s="639">
        <v>5.1814994812011719</v>
      </c>
      <c r="O632" s="639">
        <v>5.1814994812011719</v>
      </c>
      <c r="P632" s="639">
        <v>5.1814994812011719</v>
      </c>
      <c r="Q632" s="639">
        <v>5.1814994812011719</v>
      </c>
      <c r="R632" s="639">
        <v>5.1814994812011719</v>
      </c>
      <c r="S632" s="639">
        <v>5.1814994812011719</v>
      </c>
      <c r="T632" s="813"/>
      <c r="V632" s="641">
        <f t="shared" si="228"/>
        <v>5.1814994812011719</v>
      </c>
      <c r="W632" s="715">
        <f t="shared" si="229"/>
        <v>8.3250875565281765E-13</v>
      </c>
      <c r="X632" s="1016"/>
      <c r="Y632" s="675"/>
      <c r="AA632" s="675"/>
      <c r="AC632" s="675"/>
      <c r="AE632" s="675"/>
      <c r="AL632" s="489"/>
      <c r="AM632" s="489"/>
      <c r="AN632" s="489"/>
      <c r="AO632" s="489"/>
      <c r="AP632" s="489"/>
      <c r="AQ632" s="489"/>
      <c r="AR632" s="489"/>
      <c r="AS632" s="489"/>
    </row>
    <row r="633" spans="1:45" s="484" customFormat="1" ht="14.5">
      <c r="A633" s="695" t="s">
        <v>1297</v>
      </c>
      <c r="B633" s="647"/>
      <c r="C633" s="644"/>
      <c r="D633" s="644"/>
      <c r="E633" s="639">
        <v>-3.0059814453125E-3</v>
      </c>
      <c r="F633" s="705"/>
      <c r="G633" s="639">
        <v>-2.716064453125E-3</v>
      </c>
      <c r="H633" s="639">
        <v>-2.716064453125E-3</v>
      </c>
      <c r="I633" s="639">
        <v>-2.716064453125E-3</v>
      </c>
      <c r="J633" s="639">
        <v>-2.716064453125E-3</v>
      </c>
      <c r="K633" s="639">
        <v>-2.716064453125E-3</v>
      </c>
      <c r="L633" s="639">
        <v>-2.716064453125E-3</v>
      </c>
      <c r="M633" s="639">
        <v>-2.716064453125E-3</v>
      </c>
      <c r="N633" s="639">
        <v>-2.716064453125E-3</v>
      </c>
      <c r="O633" s="639">
        <v>-2.716064453125E-3</v>
      </c>
      <c r="P633" s="639">
        <v>-2.716064453125E-3</v>
      </c>
      <c r="Q633" s="639">
        <v>-2.716064453125E-3</v>
      </c>
      <c r="R633" s="639">
        <v>-2.716064453125E-3</v>
      </c>
      <c r="S633" s="639">
        <v>-2.716064453125E-3</v>
      </c>
      <c r="T633" s="813"/>
      <c r="V633" s="641">
        <f t="shared" si="228"/>
        <v>-2.716064453125E-3</v>
      </c>
      <c r="W633" s="715">
        <f t="shared" si="229"/>
        <v>-4.3638862579211656E-16</v>
      </c>
      <c r="X633" s="1016"/>
      <c r="Y633" s="675"/>
      <c r="AA633" s="675"/>
      <c r="AC633" s="675"/>
      <c r="AE633" s="675"/>
      <c r="AL633" s="489"/>
      <c r="AM633" s="489"/>
      <c r="AN633" s="489"/>
      <c r="AO633" s="489"/>
      <c r="AP633" s="489"/>
      <c r="AQ633" s="489"/>
      <c r="AR633" s="489"/>
      <c r="AS633" s="489"/>
    </row>
    <row r="634" spans="1:45" s="484" customFormat="1" ht="14.5">
      <c r="A634" s="695" t="s">
        <v>1298</v>
      </c>
      <c r="B634" s="647"/>
      <c r="C634" s="644"/>
      <c r="D634" s="644"/>
      <c r="E634" s="639">
        <v>239931864896</v>
      </c>
      <c r="F634" s="705"/>
      <c r="G634" s="639">
        <v>227141049941.98001</v>
      </c>
      <c r="H634" s="639">
        <v>227141049941.98001</v>
      </c>
      <c r="I634" s="639">
        <v>227141049941.98001</v>
      </c>
      <c r="J634" s="639">
        <v>227141049941.98001</v>
      </c>
      <c r="K634" s="639">
        <v>227141049941.98001</v>
      </c>
      <c r="L634" s="639">
        <v>227141049941.98001</v>
      </c>
      <c r="M634" s="639">
        <v>227141049941.98001</v>
      </c>
      <c r="N634" s="639">
        <v>227141049941.98001</v>
      </c>
      <c r="O634" s="639">
        <v>227141049941.98001</v>
      </c>
      <c r="P634" s="639">
        <v>227141049941.98001</v>
      </c>
      <c r="Q634" s="639">
        <v>227141049941.98001</v>
      </c>
      <c r="R634" s="639">
        <v>227141049941.98001</v>
      </c>
      <c r="S634" s="639">
        <v>227141049941.98001</v>
      </c>
      <c r="T634" s="813"/>
      <c r="V634" s="641">
        <f t="shared" si="228"/>
        <v>227141049941.98001</v>
      </c>
      <c r="W634" s="715">
        <f t="shared" si="229"/>
        <v>3.6494631241579506E-2</v>
      </c>
      <c r="X634" s="1016"/>
      <c r="Y634" s="675"/>
      <c r="AA634" s="675"/>
      <c r="AC634" s="675"/>
      <c r="AE634" s="675"/>
      <c r="AL634" s="489"/>
      <c r="AM634" s="489"/>
      <c r="AN634" s="489"/>
      <c r="AO634" s="489"/>
      <c r="AP634" s="489"/>
      <c r="AQ634" s="489"/>
      <c r="AR634" s="489"/>
      <c r="AS634" s="489"/>
    </row>
    <row r="635" spans="1:45" s="484" customFormat="1" ht="14.5">
      <c r="A635" s="695" t="s">
        <v>1299</v>
      </c>
      <c r="B635" s="647"/>
      <c r="C635" s="644"/>
      <c r="D635" s="644"/>
      <c r="E635" s="639">
        <v>0.3551025390625</v>
      </c>
      <c r="F635" s="705"/>
      <c r="G635" s="639">
        <v>0</v>
      </c>
      <c r="H635" s="639">
        <v>0</v>
      </c>
      <c r="I635" s="639">
        <v>0</v>
      </c>
      <c r="J635" s="639">
        <v>0</v>
      </c>
      <c r="K635" s="639">
        <v>0</v>
      </c>
      <c r="L635" s="639">
        <v>0</v>
      </c>
      <c r="M635" s="639">
        <v>0</v>
      </c>
      <c r="N635" s="639">
        <v>0</v>
      </c>
      <c r="O635" s="639">
        <v>0</v>
      </c>
      <c r="P635" s="639">
        <v>0</v>
      </c>
      <c r="Q635" s="639">
        <v>0</v>
      </c>
      <c r="R635" s="639">
        <v>0</v>
      </c>
      <c r="S635" s="639">
        <v>0</v>
      </c>
      <c r="T635" s="813"/>
      <c r="V635" s="641">
        <f t="shared" si="228"/>
        <v>0</v>
      </c>
      <c r="W635" s="715">
        <f t="shared" si="229"/>
        <v>0</v>
      </c>
      <c r="X635" s="1016"/>
      <c r="Y635" s="675"/>
      <c r="AA635" s="675"/>
      <c r="AC635" s="675"/>
      <c r="AE635" s="675"/>
      <c r="AL635" s="489"/>
      <c r="AM635" s="489"/>
      <c r="AN635" s="489"/>
      <c r="AO635" s="489"/>
      <c r="AP635" s="489"/>
      <c r="AQ635" s="489"/>
      <c r="AR635" s="489"/>
      <c r="AS635" s="489"/>
    </row>
    <row r="636" spans="1:45" s="484" customFormat="1" ht="14.5">
      <c r="A636" s="695" t="s">
        <v>1300</v>
      </c>
      <c r="B636" s="647"/>
      <c r="C636" s="644"/>
      <c r="D636" s="644"/>
      <c r="E636" s="639">
        <v>104999714040</v>
      </c>
      <c r="F636" s="705"/>
      <c r="G636" s="639">
        <v>105476849985</v>
      </c>
      <c r="H636" s="639">
        <v>105476849985</v>
      </c>
      <c r="I636" s="639">
        <v>105476849985</v>
      </c>
      <c r="J636" s="639">
        <v>105476849985</v>
      </c>
      <c r="K636" s="639">
        <v>105476849985</v>
      </c>
      <c r="L636" s="639">
        <v>105476849985</v>
      </c>
      <c r="M636" s="639">
        <v>105476849985</v>
      </c>
      <c r="N636" s="639">
        <v>105476849985</v>
      </c>
      <c r="O636" s="639">
        <v>105476849985</v>
      </c>
      <c r="P636" s="639">
        <v>105476849985</v>
      </c>
      <c r="Q636" s="639">
        <v>105476849985</v>
      </c>
      <c r="R636" s="639">
        <v>105476849985</v>
      </c>
      <c r="S636" s="639">
        <v>105476849985</v>
      </c>
      <c r="T636" s="813"/>
      <c r="V636" s="641">
        <f t="shared" si="228"/>
        <v>105476849985</v>
      </c>
      <c r="W636" s="715">
        <f t="shared" si="229"/>
        <v>1.6946909181362133E-2</v>
      </c>
      <c r="X636" s="1016"/>
      <c r="Y636" s="675"/>
      <c r="AA636" s="675"/>
      <c r="AC636" s="675"/>
      <c r="AE636" s="675"/>
      <c r="AL636" s="489"/>
      <c r="AM636" s="489"/>
      <c r="AN636" s="489"/>
      <c r="AO636" s="489"/>
      <c r="AP636" s="489"/>
      <c r="AQ636" s="489"/>
      <c r="AR636" s="489"/>
      <c r="AS636" s="489"/>
    </row>
    <row r="637" spans="1:45" s="484" customFormat="1" ht="14.5">
      <c r="A637" s="695" t="s">
        <v>1301</v>
      </c>
      <c r="B637" s="647"/>
      <c r="C637" s="644"/>
      <c r="D637" s="644"/>
      <c r="E637" s="639">
        <v>0</v>
      </c>
      <c r="F637" s="705"/>
      <c r="G637" s="639">
        <v>0</v>
      </c>
      <c r="H637" s="639">
        <v>0</v>
      </c>
      <c r="I637" s="639">
        <v>0</v>
      </c>
      <c r="J637" s="639">
        <v>0</v>
      </c>
      <c r="K637" s="639">
        <v>0</v>
      </c>
      <c r="L637" s="639">
        <v>0</v>
      </c>
      <c r="M637" s="639">
        <v>0</v>
      </c>
      <c r="N637" s="639">
        <v>0</v>
      </c>
      <c r="O637" s="639">
        <v>0</v>
      </c>
      <c r="P637" s="639">
        <v>0</v>
      </c>
      <c r="Q637" s="639">
        <v>0</v>
      </c>
      <c r="R637" s="639">
        <v>0</v>
      </c>
      <c r="S637" s="639">
        <v>0</v>
      </c>
      <c r="T637" s="813"/>
      <c r="V637" s="641">
        <f t="shared" si="228"/>
        <v>0</v>
      </c>
      <c r="W637" s="715">
        <f t="shared" si="229"/>
        <v>0</v>
      </c>
      <c r="X637" s="1016"/>
      <c r="Y637" s="675"/>
      <c r="AA637" s="675"/>
      <c r="AC637" s="675"/>
      <c r="AE637" s="675"/>
      <c r="AL637" s="489"/>
      <c r="AM637" s="489"/>
      <c r="AN637" s="489"/>
      <c r="AO637" s="489"/>
      <c r="AP637" s="489"/>
      <c r="AQ637" s="489"/>
      <c r="AR637" s="489"/>
      <c r="AS637" s="489"/>
    </row>
    <row r="638" spans="1:45" s="484" customFormat="1" ht="14.5">
      <c r="A638" s="695" t="s">
        <v>1302</v>
      </c>
      <c r="B638" s="647"/>
      <c r="C638" s="644"/>
      <c r="D638" s="644"/>
      <c r="E638" s="639">
        <v>0</v>
      </c>
      <c r="F638" s="705"/>
      <c r="G638" s="639">
        <v>0</v>
      </c>
      <c r="H638" s="639">
        <v>0</v>
      </c>
      <c r="I638" s="639">
        <v>0</v>
      </c>
      <c r="J638" s="639">
        <v>0</v>
      </c>
      <c r="K638" s="639">
        <v>0</v>
      </c>
      <c r="L638" s="639">
        <v>0</v>
      </c>
      <c r="M638" s="639">
        <v>0</v>
      </c>
      <c r="N638" s="639">
        <v>0</v>
      </c>
      <c r="O638" s="639">
        <v>0</v>
      </c>
      <c r="P638" s="639">
        <v>0</v>
      </c>
      <c r="Q638" s="639">
        <v>0</v>
      </c>
      <c r="R638" s="639">
        <v>0</v>
      </c>
      <c r="S638" s="639">
        <v>0</v>
      </c>
      <c r="T638" s="813"/>
      <c r="V638" s="641">
        <f t="shared" si="228"/>
        <v>0</v>
      </c>
      <c r="W638" s="715">
        <f t="shared" si="229"/>
        <v>0</v>
      </c>
      <c r="X638" s="1016"/>
      <c r="Y638" s="675"/>
      <c r="AA638" s="675"/>
      <c r="AC638" s="675"/>
      <c r="AE638" s="675"/>
      <c r="AL638" s="489"/>
      <c r="AM638" s="489"/>
      <c r="AN638" s="489"/>
      <c r="AO638" s="489"/>
      <c r="AP638" s="489"/>
      <c r="AQ638" s="489"/>
      <c r="AR638" s="489"/>
      <c r="AS638" s="489"/>
    </row>
    <row r="639" spans="1:45" s="484" customFormat="1" ht="14.5">
      <c r="A639" s="695" t="s">
        <v>1303</v>
      </c>
      <c r="B639" s="647"/>
      <c r="C639" s="644"/>
      <c r="D639" s="644"/>
      <c r="E639" s="639">
        <v>0</v>
      </c>
      <c r="F639" s="705"/>
      <c r="G639" s="639">
        <v>0</v>
      </c>
      <c r="H639" s="639">
        <v>0</v>
      </c>
      <c r="I639" s="639">
        <v>0</v>
      </c>
      <c r="J639" s="639">
        <v>0</v>
      </c>
      <c r="K639" s="639">
        <v>0</v>
      </c>
      <c r="L639" s="639">
        <v>0</v>
      </c>
      <c r="M639" s="639">
        <v>0</v>
      </c>
      <c r="N639" s="639">
        <v>0</v>
      </c>
      <c r="O639" s="639">
        <v>0</v>
      </c>
      <c r="P639" s="639">
        <v>0</v>
      </c>
      <c r="Q639" s="639">
        <v>0</v>
      </c>
      <c r="R639" s="639">
        <v>0</v>
      </c>
      <c r="S639" s="639">
        <v>0</v>
      </c>
      <c r="T639" s="813"/>
      <c r="V639" s="641">
        <f t="shared" si="228"/>
        <v>0</v>
      </c>
      <c r="W639" s="715">
        <f t="shared" si="229"/>
        <v>0</v>
      </c>
      <c r="X639" s="1016"/>
      <c r="Y639" s="675"/>
      <c r="AA639" s="675"/>
      <c r="AC639" s="675"/>
      <c r="AE639" s="675"/>
      <c r="AL639" s="489"/>
      <c r="AM639" s="489"/>
      <c r="AN639" s="489"/>
      <c r="AO639" s="489"/>
      <c r="AP639" s="489"/>
      <c r="AQ639" s="489"/>
      <c r="AR639" s="489"/>
      <c r="AS639" s="489"/>
    </row>
    <row r="640" spans="1:45" s="484" customFormat="1" ht="14.5">
      <c r="A640" s="695" t="s">
        <v>1304</v>
      </c>
      <c r="B640" s="647"/>
      <c r="C640" s="644"/>
      <c r="D640" s="644"/>
      <c r="E640" s="639">
        <v>18365</v>
      </c>
      <c r="F640" s="705"/>
      <c r="G640" s="639">
        <v>0</v>
      </c>
      <c r="H640" s="639">
        <v>0</v>
      </c>
      <c r="I640" s="639">
        <v>0</v>
      </c>
      <c r="J640" s="639">
        <v>0</v>
      </c>
      <c r="K640" s="639">
        <v>0</v>
      </c>
      <c r="L640" s="639">
        <v>0</v>
      </c>
      <c r="M640" s="639">
        <v>0</v>
      </c>
      <c r="N640" s="639">
        <v>0</v>
      </c>
      <c r="O640" s="639">
        <v>0</v>
      </c>
      <c r="P640" s="639">
        <v>0</v>
      </c>
      <c r="Q640" s="639">
        <v>0</v>
      </c>
      <c r="R640" s="639">
        <v>0</v>
      </c>
      <c r="S640" s="639">
        <v>0</v>
      </c>
      <c r="T640" s="813"/>
      <c r="V640" s="641">
        <f t="shared" si="228"/>
        <v>0</v>
      </c>
      <c r="W640" s="715">
        <f t="shared" si="229"/>
        <v>0</v>
      </c>
      <c r="X640" s="1016"/>
      <c r="Y640" s="675"/>
      <c r="AA640" s="675"/>
      <c r="AC640" s="675"/>
      <c r="AE640" s="675"/>
      <c r="AL640" s="489"/>
      <c r="AM640" s="489"/>
      <c r="AN640" s="489"/>
      <c r="AO640" s="489"/>
      <c r="AP640" s="489"/>
      <c r="AQ640" s="489"/>
      <c r="AR640" s="489"/>
      <c r="AS640" s="489"/>
    </row>
    <row r="641" spans="1:45" s="484" customFormat="1" ht="14.5">
      <c r="A641" s="695" t="s">
        <v>1305</v>
      </c>
      <c r="B641" s="647"/>
      <c r="C641" s="644"/>
      <c r="D641" s="644"/>
      <c r="E641" s="639">
        <v>0</v>
      </c>
      <c r="F641" s="705"/>
      <c r="G641" s="639">
        <v>9450</v>
      </c>
      <c r="H641" s="639">
        <v>9450</v>
      </c>
      <c r="I641" s="639">
        <v>9450</v>
      </c>
      <c r="J641" s="639">
        <v>9450</v>
      </c>
      <c r="K641" s="639">
        <v>9450</v>
      </c>
      <c r="L641" s="639">
        <v>9450</v>
      </c>
      <c r="M641" s="639">
        <v>9450</v>
      </c>
      <c r="N641" s="639">
        <v>9450</v>
      </c>
      <c r="O641" s="639">
        <v>9450</v>
      </c>
      <c r="P641" s="639">
        <v>9450</v>
      </c>
      <c r="Q641" s="639">
        <v>9450</v>
      </c>
      <c r="R641" s="639">
        <v>9450</v>
      </c>
      <c r="S641" s="639">
        <v>9450</v>
      </c>
      <c r="T641" s="813"/>
      <c r="V641" s="641">
        <f t="shared" si="228"/>
        <v>9450</v>
      </c>
      <c r="W641" s="715">
        <f t="shared" si="229"/>
        <v>1.5183264553942127E-9</v>
      </c>
      <c r="X641" s="1016"/>
      <c r="Y641" s="675"/>
      <c r="AA641" s="675"/>
      <c r="AC641" s="675"/>
      <c r="AE641" s="675"/>
      <c r="AL641" s="489"/>
      <c r="AM641" s="489"/>
      <c r="AN641" s="489"/>
      <c r="AO641" s="489"/>
      <c r="AP641" s="489"/>
      <c r="AQ641" s="489"/>
      <c r="AR641" s="489"/>
      <c r="AS641" s="489"/>
    </row>
    <row r="642" spans="1:45" s="484" customFormat="1" ht="14.5">
      <c r="A642" s="695" t="s">
        <v>1306</v>
      </c>
      <c r="B642" s="647"/>
      <c r="C642" s="644"/>
      <c r="D642" s="644"/>
      <c r="E642" s="639">
        <v>0</v>
      </c>
      <c r="F642" s="705"/>
      <c r="G642" s="639">
        <v>0</v>
      </c>
      <c r="H642" s="639">
        <v>0</v>
      </c>
      <c r="I642" s="639">
        <v>0</v>
      </c>
      <c r="J642" s="639">
        <v>0</v>
      </c>
      <c r="K642" s="639">
        <v>0</v>
      </c>
      <c r="L642" s="639">
        <v>0</v>
      </c>
      <c r="M642" s="639">
        <v>0</v>
      </c>
      <c r="N642" s="639">
        <v>0</v>
      </c>
      <c r="O642" s="639">
        <v>0</v>
      </c>
      <c r="P642" s="639">
        <v>0</v>
      </c>
      <c r="Q642" s="639">
        <v>0</v>
      </c>
      <c r="R642" s="639">
        <v>0</v>
      </c>
      <c r="S642" s="639">
        <v>0</v>
      </c>
      <c r="T642" s="813"/>
      <c r="V642" s="641">
        <f t="shared" si="228"/>
        <v>0</v>
      </c>
      <c r="W642" s="715">
        <f t="shared" si="229"/>
        <v>0</v>
      </c>
      <c r="X642" s="1016"/>
      <c r="Y642" s="675"/>
      <c r="AA642" s="675"/>
      <c r="AC642" s="675"/>
      <c r="AE642" s="675"/>
      <c r="AL642" s="489"/>
      <c r="AM642" s="489"/>
      <c r="AN642" s="489"/>
      <c r="AO642" s="489"/>
      <c r="AP642" s="489"/>
      <c r="AQ642" s="489"/>
      <c r="AR642" s="489"/>
      <c r="AS642" s="489"/>
    </row>
    <row r="643" spans="1:45" s="484" customFormat="1" ht="14.5">
      <c r="A643" s="695" t="s">
        <v>1307</v>
      </c>
      <c r="B643" s="647"/>
      <c r="C643" s="644"/>
      <c r="D643" s="644"/>
      <c r="E643" s="639">
        <v>0</v>
      </c>
      <c r="F643" s="705"/>
      <c r="G643" s="639">
        <v>0</v>
      </c>
      <c r="H643" s="639">
        <v>0</v>
      </c>
      <c r="I643" s="639">
        <v>0</v>
      </c>
      <c r="J643" s="639">
        <v>0</v>
      </c>
      <c r="K643" s="639">
        <v>0</v>
      </c>
      <c r="L643" s="639">
        <v>0</v>
      </c>
      <c r="M643" s="639">
        <v>0</v>
      </c>
      <c r="N643" s="639">
        <v>0</v>
      </c>
      <c r="O643" s="639">
        <v>0</v>
      </c>
      <c r="P643" s="639">
        <v>0</v>
      </c>
      <c r="Q643" s="639">
        <v>0</v>
      </c>
      <c r="R643" s="639">
        <v>0</v>
      </c>
      <c r="S643" s="639">
        <v>0</v>
      </c>
      <c r="T643" s="813"/>
      <c r="V643" s="641">
        <f t="shared" si="228"/>
        <v>0</v>
      </c>
      <c r="W643" s="715">
        <f t="shared" si="229"/>
        <v>0</v>
      </c>
      <c r="X643" s="1016"/>
      <c r="Y643" s="675"/>
      <c r="AA643" s="675"/>
      <c r="AC643" s="675"/>
      <c r="AE643" s="675"/>
      <c r="AL643" s="489"/>
      <c r="AM643" s="489"/>
      <c r="AN643" s="489"/>
      <c r="AO643" s="489"/>
      <c r="AP643" s="489"/>
      <c r="AQ643" s="489"/>
      <c r="AR643" s="489"/>
      <c r="AS643" s="489"/>
    </row>
    <row r="644" spans="1:45" s="484" customFormat="1" ht="14.5">
      <c r="A644" s="695" t="s">
        <v>1308</v>
      </c>
      <c r="B644" s="647"/>
      <c r="C644" s="644"/>
      <c r="D644" s="644"/>
      <c r="E644" s="639">
        <v>0</v>
      </c>
      <c r="F644" s="705"/>
      <c r="G644" s="639">
        <v>0</v>
      </c>
      <c r="H644" s="639">
        <v>0</v>
      </c>
      <c r="I644" s="639">
        <v>0</v>
      </c>
      <c r="J644" s="639">
        <v>0</v>
      </c>
      <c r="K644" s="639">
        <v>0</v>
      </c>
      <c r="L644" s="639">
        <v>0</v>
      </c>
      <c r="M644" s="639">
        <v>0</v>
      </c>
      <c r="N644" s="639">
        <v>0</v>
      </c>
      <c r="O644" s="639">
        <v>0</v>
      </c>
      <c r="P644" s="639">
        <v>0</v>
      </c>
      <c r="Q644" s="639">
        <v>0</v>
      </c>
      <c r="R644" s="639">
        <v>0</v>
      </c>
      <c r="S644" s="639">
        <v>0</v>
      </c>
      <c r="T644" s="813"/>
      <c r="V644" s="641">
        <f t="shared" si="228"/>
        <v>0</v>
      </c>
      <c r="W644" s="715">
        <f t="shared" si="229"/>
        <v>0</v>
      </c>
      <c r="X644" s="1016"/>
      <c r="Y644" s="675"/>
      <c r="AA644" s="675"/>
      <c r="AC644" s="675"/>
      <c r="AE644" s="675"/>
      <c r="AL644" s="489"/>
      <c r="AM644" s="489"/>
      <c r="AN644" s="489"/>
      <c r="AO644" s="489"/>
      <c r="AP644" s="489"/>
      <c r="AQ644" s="489"/>
      <c r="AR644" s="489"/>
      <c r="AS644" s="489"/>
    </row>
    <row r="645" spans="1:45" s="484" customFormat="1" ht="14.5">
      <c r="A645" s="695" t="s">
        <v>1309</v>
      </c>
      <c r="B645" s="647"/>
      <c r="C645" s="644"/>
      <c r="D645" s="644"/>
      <c r="E645" s="639"/>
      <c r="F645" s="705"/>
      <c r="G645" s="639"/>
      <c r="H645" s="639"/>
      <c r="I645" s="639"/>
      <c r="J645" s="639"/>
      <c r="K645" s="639"/>
      <c r="L645" s="639"/>
      <c r="M645" s="639"/>
      <c r="N645" s="639"/>
      <c r="O645" s="639"/>
      <c r="P645" s="639"/>
      <c r="Q645" s="639"/>
      <c r="R645" s="639"/>
      <c r="S645" s="639"/>
      <c r="T645" s="813"/>
      <c r="V645" s="641">
        <f t="shared" si="228"/>
        <v>0</v>
      </c>
      <c r="W645" s="715">
        <f t="shared" si="229"/>
        <v>0</v>
      </c>
      <c r="X645" s="1016"/>
      <c r="Y645" s="675"/>
      <c r="AA645" s="675"/>
      <c r="AC645" s="675"/>
      <c r="AE645" s="675"/>
      <c r="AL645" s="489"/>
      <c r="AM645" s="489"/>
      <c r="AN645" s="489"/>
      <c r="AO645" s="489"/>
      <c r="AP645" s="489"/>
      <c r="AQ645" s="489"/>
      <c r="AR645" s="489"/>
      <c r="AS645" s="489"/>
    </row>
    <row r="646" spans="1:45" s="484" customFormat="1" ht="14.5">
      <c r="A646" s="695"/>
      <c r="B646" s="647"/>
      <c r="C646" s="644"/>
      <c r="D646" s="644"/>
      <c r="E646" s="644"/>
      <c r="F646" s="705"/>
      <c r="G646" s="639"/>
      <c r="H646" s="493"/>
      <c r="I646" s="493"/>
      <c r="J646" s="493"/>
      <c r="K646" s="493"/>
      <c r="L646" s="493"/>
      <c r="M646" s="493"/>
      <c r="N646" s="493"/>
      <c r="O646" s="493"/>
      <c r="P646" s="493"/>
      <c r="Q646" s="493"/>
      <c r="R646" s="493"/>
      <c r="S646" s="493"/>
      <c r="T646" s="794"/>
      <c r="V646" s="641">
        <f t="shared" si="228"/>
        <v>0</v>
      </c>
      <c r="W646" s="715">
        <f>+V646/$V$256</f>
        <v>0</v>
      </c>
      <c r="X646" s="1016"/>
      <c r="Y646" s="675"/>
      <c r="AA646" s="675"/>
      <c r="AC646" s="675"/>
      <c r="AE646" s="675"/>
      <c r="AL646" s="489"/>
      <c r="AM646" s="489"/>
      <c r="AN646" s="489"/>
      <c r="AO646" s="489"/>
      <c r="AP646" s="489"/>
      <c r="AQ646" s="489"/>
      <c r="AR646" s="489"/>
      <c r="AS646" s="489"/>
    </row>
    <row r="647" spans="1:45" s="484" customFormat="1">
      <c r="A647" s="714" t="s">
        <v>1324</v>
      </c>
      <c r="B647" s="727">
        <v>191512506424.56</v>
      </c>
      <c r="C647" s="728"/>
      <c r="D647" s="728">
        <f>SUM(D611:D625)</f>
        <v>0</v>
      </c>
      <c r="E647" s="728">
        <f>SUM(E611:E646)</f>
        <v>472921815218.97504</v>
      </c>
      <c r="F647" s="721">
        <f t="shared" ref="F647:V647" si="234">SUM(F611:F646)</f>
        <v>0</v>
      </c>
      <c r="G647" s="728">
        <f t="shared" si="234"/>
        <v>450940399126.15637</v>
      </c>
      <c r="H647" s="728">
        <f t="shared" si="234"/>
        <v>450940399126.15637</v>
      </c>
      <c r="I647" s="728">
        <f t="shared" si="234"/>
        <v>450940399126.15637</v>
      </c>
      <c r="J647" s="728">
        <f t="shared" si="234"/>
        <v>450940399126.15637</v>
      </c>
      <c r="K647" s="728">
        <f t="shared" si="234"/>
        <v>450940399126.15637</v>
      </c>
      <c r="L647" s="728">
        <f t="shared" si="234"/>
        <v>450940399126.15637</v>
      </c>
      <c r="M647" s="728">
        <f t="shared" si="234"/>
        <v>450940399126.15637</v>
      </c>
      <c r="N647" s="728">
        <f t="shared" si="234"/>
        <v>450940399126.15637</v>
      </c>
      <c r="O647" s="728">
        <f t="shared" si="234"/>
        <v>450940399126.15637</v>
      </c>
      <c r="P647" s="728">
        <f t="shared" si="234"/>
        <v>450940399126.15637</v>
      </c>
      <c r="Q647" s="728">
        <f t="shared" si="234"/>
        <v>450940399126.15637</v>
      </c>
      <c r="R647" s="728">
        <f>SUM(R611:R646)</f>
        <v>450940399126.15637</v>
      </c>
      <c r="S647" s="728">
        <f>SUM(S611:S646)</f>
        <v>450940399126.15637</v>
      </c>
      <c r="T647" s="826"/>
      <c r="V647" s="728">
        <f t="shared" si="234"/>
        <v>450940399126.15637</v>
      </c>
      <c r="W647" s="715">
        <f>+V647/$V$256</f>
        <v>7.2452353206271802E-2</v>
      </c>
      <c r="X647" s="1025"/>
      <c r="Y647" s="729">
        <f>SUM(Y611:Y628)-Y620</f>
        <v>122766627717.17589</v>
      </c>
      <c r="Z647" s="730">
        <f>Y647/V647-1</f>
        <v>-0.72775420442462879</v>
      </c>
      <c r="AA647" s="729">
        <f>SUM(AA611:AA628)-AA620</f>
        <v>171873278804.04623</v>
      </c>
      <c r="AB647" s="730">
        <f>+AA647/Y647-1</f>
        <v>0.39999999999999991</v>
      </c>
      <c r="AC647" s="729">
        <f>SUM(AC611:AC628)-AC620</f>
        <v>257809918206.06934</v>
      </c>
      <c r="AD647" s="730">
        <f>+AC647/AA647-1</f>
        <v>0.5</v>
      </c>
      <c r="AE647" s="729">
        <f>SUM(AE611:AE628)-AE620</f>
        <v>322262397757.58667</v>
      </c>
      <c r="AF647" s="730">
        <f>+AE647/AC647-1</f>
        <v>0.25</v>
      </c>
      <c r="AL647" s="489"/>
      <c r="AM647" s="489"/>
      <c r="AN647" s="489"/>
      <c r="AO647" s="489"/>
      <c r="AP647" s="489"/>
      <c r="AQ647" s="489"/>
      <c r="AR647" s="489"/>
      <c r="AS647" s="489"/>
    </row>
    <row r="648" spans="1:45" s="725" customFormat="1">
      <c r="A648" s="719"/>
      <c r="B648" s="720"/>
      <c r="C648" s="720"/>
      <c r="D648" s="720"/>
      <c r="E648" s="720"/>
      <c r="F648" s="721"/>
      <c r="G648" s="722"/>
      <c r="H648" s="722"/>
      <c r="I648" s="722"/>
      <c r="J648" s="722"/>
      <c r="K648" s="722"/>
      <c r="L648" s="722"/>
      <c r="M648" s="722"/>
      <c r="N648" s="722"/>
      <c r="O648" s="722"/>
      <c r="P648" s="722"/>
      <c r="Q648" s="722"/>
      <c r="R648" s="722"/>
      <c r="S648" s="722"/>
      <c r="T648" s="825"/>
      <c r="V648" s="722">
        <f>+V647-V14</f>
        <v>381077577049.85638</v>
      </c>
      <c r="W648" s="723">
        <f>+V648/$V$256</f>
        <v>6.1227530877494538E-2</v>
      </c>
      <c r="X648" s="1024"/>
      <c r="Y648" s="747"/>
      <c r="Z648" s="484"/>
      <c r="AA648" s="747"/>
      <c r="AB648" s="484"/>
      <c r="AC648" s="747"/>
      <c r="AD648" s="484"/>
      <c r="AE648" s="747"/>
      <c r="AF648" s="724"/>
    </row>
    <row r="649" spans="1:45" s="725" customFormat="1">
      <c r="A649" s="719" t="s">
        <v>1325</v>
      </c>
      <c r="B649" s="751">
        <v>0</v>
      </c>
      <c r="C649" s="751"/>
      <c r="D649" s="751"/>
      <c r="E649" s="751"/>
      <c r="F649" s="733"/>
      <c r="G649" s="752">
        <v>0</v>
      </c>
      <c r="H649" s="752">
        <v>0</v>
      </c>
      <c r="I649" s="752">
        <v>0</v>
      </c>
      <c r="J649" s="752">
        <v>0</v>
      </c>
      <c r="K649" s="752">
        <v>0</v>
      </c>
      <c r="L649" s="752">
        <v>0</v>
      </c>
      <c r="M649" s="752">
        <v>0</v>
      </c>
      <c r="N649" s="752">
        <v>0</v>
      </c>
      <c r="O649" s="752">
        <v>0</v>
      </c>
      <c r="P649" s="752">
        <v>0</v>
      </c>
      <c r="Q649" s="753">
        <v>0</v>
      </c>
      <c r="R649" s="753">
        <v>0</v>
      </c>
      <c r="S649" s="753">
        <v>0</v>
      </c>
      <c r="T649" s="828"/>
      <c r="V649" s="753">
        <v>0</v>
      </c>
      <c r="W649" s="754"/>
      <c r="X649" s="1028"/>
      <c r="Y649" s="748"/>
      <c r="Z649" s="748"/>
      <c r="AA649" s="748"/>
      <c r="AB649" s="748"/>
      <c r="AC649" s="748"/>
      <c r="AD649" s="748"/>
      <c r="AE649" s="748"/>
      <c r="AF649" s="748"/>
    </row>
    <row r="650" spans="1:45" s="725" customFormat="1">
      <c r="A650" s="719" t="s">
        <v>1326</v>
      </c>
      <c r="B650" s="751">
        <v>33689999999.999996</v>
      </c>
      <c r="C650" s="751"/>
      <c r="D650" s="751"/>
      <c r="E650" s="751"/>
      <c r="F650" s="733"/>
      <c r="G650" s="752">
        <v>52609705045.929993</v>
      </c>
      <c r="H650" s="752">
        <v>54892229625.435829</v>
      </c>
      <c r="I650" s="752">
        <v>57174754204.941666</v>
      </c>
      <c r="J650" s="752">
        <v>59457278784.447502</v>
      </c>
      <c r="K650" s="752">
        <v>61739803363.953339</v>
      </c>
      <c r="L650" s="752">
        <v>64022327943.459175</v>
      </c>
      <c r="M650" s="752">
        <v>66304852522.965012</v>
      </c>
      <c r="N650" s="752">
        <v>68587377102.470848</v>
      </c>
      <c r="O650" s="752">
        <v>70869901681.976685</v>
      </c>
      <c r="P650" s="752">
        <v>73152426261.482513</v>
      </c>
      <c r="Q650" s="752">
        <v>75434950840.988342</v>
      </c>
      <c r="R650" s="752">
        <v>77717475420.494171</v>
      </c>
      <c r="S650" s="752">
        <v>80000000000</v>
      </c>
      <c r="T650" s="828"/>
      <c r="V650" s="753">
        <f>S650</f>
        <v>80000000000</v>
      </c>
      <c r="W650" s="754"/>
      <c r="X650" s="1028"/>
      <c r="Y650" s="748"/>
      <c r="Z650" s="748"/>
      <c r="AA650" s="748"/>
      <c r="AB650" s="748"/>
      <c r="AC650" s="748"/>
      <c r="AD650" s="748"/>
      <c r="AE650" s="748"/>
      <c r="AF650" s="748"/>
    </row>
    <row r="651" spans="1:45" s="725" customFormat="1">
      <c r="A651" s="719" t="s">
        <v>1327</v>
      </c>
      <c r="B651" s="751">
        <v>285080000000</v>
      </c>
      <c r="C651" s="751"/>
      <c r="D651" s="751">
        <v>282288000000</v>
      </c>
      <c r="E651" s="751"/>
      <c r="F651" s="733"/>
      <c r="G651" s="752">
        <v>341400000000</v>
      </c>
      <c r="H651" s="752">
        <v>341400000000</v>
      </c>
      <c r="I651" s="752">
        <v>341400000000</v>
      </c>
      <c r="J651" s="752">
        <v>341400000000</v>
      </c>
      <c r="K651" s="752">
        <v>341400000000</v>
      </c>
      <c r="L651" s="752">
        <v>341400000000</v>
      </c>
      <c r="M651" s="752">
        <v>341400000000</v>
      </c>
      <c r="N651" s="752">
        <v>341400000000</v>
      </c>
      <c r="O651" s="752">
        <v>341400000000</v>
      </c>
      <c r="P651" s="752">
        <v>341400000000</v>
      </c>
      <c r="Q651" s="752">
        <v>341400000000</v>
      </c>
      <c r="R651" s="752">
        <v>341400000000</v>
      </c>
      <c r="S651" s="752">
        <v>341400000000</v>
      </c>
      <c r="T651" s="828"/>
      <c r="V651" s="753">
        <f>S651</f>
        <v>341400000000</v>
      </c>
      <c r="W651" s="754"/>
      <c r="X651" s="1028"/>
      <c r="Y651" s="748"/>
      <c r="Z651" s="748"/>
      <c r="AA651" s="748"/>
      <c r="AB651" s="748"/>
      <c r="AC651" s="748"/>
      <c r="AD651" s="748"/>
      <c r="AE651" s="748"/>
      <c r="AF651" s="748"/>
    </row>
    <row r="652" spans="1:45" s="725" customFormat="1">
      <c r="A652" s="719"/>
      <c r="B652" s="751">
        <v>318770000000</v>
      </c>
      <c r="C652" s="751"/>
      <c r="D652" s="751">
        <f>SUM(D649:D651)</f>
        <v>282288000000</v>
      </c>
      <c r="E652" s="751"/>
      <c r="F652" s="733"/>
      <c r="G652" s="751">
        <f>SUM(G649:G651)</f>
        <v>394009705045.92999</v>
      </c>
      <c r="H652" s="751">
        <f t="shared" ref="H652:V652" si="235">SUM(H649:H651)</f>
        <v>396292229625.43585</v>
      </c>
      <c r="I652" s="751">
        <f t="shared" si="235"/>
        <v>398574754204.94165</v>
      </c>
      <c r="J652" s="751">
        <f t="shared" si="235"/>
        <v>400857278784.44751</v>
      </c>
      <c r="K652" s="751">
        <f t="shared" si="235"/>
        <v>403139803363.95337</v>
      </c>
      <c r="L652" s="751">
        <f t="shared" si="235"/>
        <v>405422327943.45917</v>
      </c>
      <c r="M652" s="751">
        <f t="shared" si="235"/>
        <v>407704852522.96503</v>
      </c>
      <c r="N652" s="751">
        <f t="shared" si="235"/>
        <v>409987377102.47083</v>
      </c>
      <c r="O652" s="751">
        <f t="shared" si="235"/>
        <v>412269901681.97668</v>
      </c>
      <c r="P652" s="751">
        <f t="shared" si="235"/>
        <v>414552426261.48254</v>
      </c>
      <c r="Q652" s="755">
        <f t="shared" si="235"/>
        <v>416834950840.98834</v>
      </c>
      <c r="R652" s="755">
        <f>SUM(R649:R651)</f>
        <v>419117475420.49414</v>
      </c>
      <c r="S652" s="755">
        <f>SUM(S649:S651)</f>
        <v>421400000000</v>
      </c>
      <c r="T652" s="829"/>
      <c r="V652" s="755">
        <f t="shared" si="235"/>
        <v>421400000000</v>
      </c>
      <c r="W652" s="754"/>
      <c r="X652" s="1028"/>
      <c r="Y652" s="748"/>
      <c r="Z652" s="748"/>
      <c r="AA652" s="748"/>
      <c r="AB652" s="748"/>
      <c r="AC652" s="748"/>
      <c r="AD652" s="748"/>
      <c r="AE652" s="748"/>
      <c r="AF652" s="748"/>
    </row>
    <row r="653" spans="1:45" s="725" customFormat="1">
      <c r="A653" s="719"/>
      <c r="B653" s="751"/>
      <c r="C653" s="751"/>
      <c r="D653" s="751"/>
      <c r="E653" s="751"/>
      <c r="F653" s="733"/>
      <c r="G653" s="752"/>
      <c r="H653" s="752"/>
      <c r="I653" s="752"/>
      <c r="J653" s="752"/>
      <c r="K653" s="752"/>
      <c r="L653" s="752"/>
      <c r="M653" s="752"/>
      <c r="N653" s="752"/>
      <c r="O653" s="752"/>
      <c r="P653" s="752"/>
      <c r="Q653" s="753"/>
      <c r="R653" s="753"/>
      <c r="S653" s="755"/>
      <c r="T653" s="828"/>
      <c r="V653" s="755"/>
      <c r="W653" s="754"/>
      <c r="X653" s="1028"/>
      <c r="Y653" s="748"/>
      <c r="Z653" s="748"/>
      <c r="AA653" s="748"/>
      <c r="AB653" s="748"/>
      <c r="AC653" s="748"/>
      <c r="AD653" s="748"/>
      <c r="AE653" s="748"/>
      <c r="AF653" s="748"/>
    </row>
    <row r="654" spans="1:45" s="725" customFormat="1">
      <c r="A654" s="756" t="s">
        <v>1270</v>
      </c>
      <c r="B654" s="756"/>
      <c r="C654" s="757"/>
      <c r="D654" s="757"/>
      <c r="E654" s="757"/>
      <c r="F654" s="758"/>
      <c r="G654" s="757"/>
      <c r="H654" s="757"/>
      <c r="I654" s="757"/>
      <c r="J654" s="757"/>
      <c r="K654" s="757"/>
      <c r="L654" s="757"/>
      <c r="M654" s="757"/>
      <c r="N654" s="757"/>
      <c r="O654" s="757"/>
      <c r="P654" s="757"/>
      <c r="Q654" s="759"/>
      <c r="R654" s="759"/>
      <c r="S654" s="759"/>
      <c r="T654" s="830"/>
      <c r="V654" s="759"/>
      <c r="W654" s="760"/>
      <c r="X654" s="1029"/>
      <c r="Y654" s="761"/>
      <c r="Z654" s="761"/>
      <c r="AA654" s="762"/>
      <c r="AB654" s="762"/>
      <c r="AC654" s="762"/>
      <c r="AD654" s="762"/>
      <c r="AE654" s="762"/>
      <c r="AF654" s="762"/>
    </row>
    <row r="655" spans="1:45" s="484" customFormat="1">
      <c r="A655" s="490" t="s">
        <v>1328</v>
      </c>
      <c r="B655" s="633"/>
      <c r="C655" s="634"/>
      <c r="D655" s="689"/>
      <c r="E655" s="689"/>
      <c r="F655" s="691"/>
      <c r="G655" s="690">
        <v>42735</v>
      </c>
      <c r="H655" s="690">
        <v>42736</v>
      </c>
      <c r="I655" s="690">
        <v>42768</v>
      </c>
      <c r="J655" s="690">
        <v>42800</v>
      </c>
      <c r="K655" s="690">
        <v>42832</v>
      </c>
      <c r="L655" s="690">
        <v>42864</v>
      </c>
      <c r="M655" s="690">
        <v>42896</v>
      </c>
      <c r="N655" s="690">
        <v>42928</v>
      </c>
      <c r="O655" s="690">
        <v>42960</v>
      </c>
      <c r="P655" s="690">
        <v>42992</v>
      </c>
      <c r="Q655" s="690">
        <v>43024</v>
      </c>
      <c r="R655" s="690">
        <v>43056</v>
      </c>
      <c r="S655" s="690">
        <v>43088</v>
      </c>
      <c r="T655" s="822"/>
      <c r="V655" s="690" t="s">
        <v>1159</v>
      </c>
      <c r="W655" s="692"/>
      <c r="X655" s="1022"/>
      <c r="Y655" s="693"/>
      <c r="Z655" s="693"/>
      <c r="AA655" s="694"/>
      <c r="AB655" s="694"/>
      <c r="AC655" s="694"/>
      <c r="AD655" s="694"/>
      <c r="AE655" s="694"/>
      <c r="AF655" s="694"/>
      <c r="AL655" s="489"/>
      <c r="AM655" s="489"/>
      <c r="AN655" s="489"/>
      <c r="AO655" s="489"/>
      <c r="AP655" s="489"/>
      <c r="AQ655" s="489"/>
      <c r="AR655" s="489"/>
      <c r="AS655" s="489"/>
    </row>
    <row r="656" spans="1:45" s="484" customFormat="1">
      <c r="A656" s="695" t="s">
        <v>1275</v>
      </c>
      <c r="B656" s="638"/>
      <c r="C656" s="639"/>
      <c r="D656" s="639"/>
      <c r="E656" s="493">
        <f>E703+E743+E782+E821+E860+E899+E938+E977+E1016+E1055</f>
        <v>8148667.6807608986</v>
      </c>
      <c r="F656" s="763">
        <v>0.02</v>
      </c>
      <c r="G656" s="493">
        <f t="shared" ref="G656:Q671" si="236">G703+G743+G782+G821+G860+G899+G938+G977+G1016+G1055</f>
        <v>230929751.60443684</v>
      </c>
      <c r="H656" s="493">
        <f t="shared" si="236"/>
        <v>230361132.05509892</v>
      </c>
      <c r="I656" s="493">
        <f t="shared" si="236"/>
        <v>445562167.84735179</v>
      </c>
      <c r="J656" s="493">
        <f t="shared" si="236"/>
        <v>445562167.84735179</v>
      </c>
      <c r="K656" s="493">
        <f t="shared" si="236"/>
        <v>445562167.84735179</v>
      </c>
      <c r="L656" s="493">
        <f t="shared" si="236"/>
        <v>445562167.84735179</v>
      </c>
      <c r="M656" s="493">
        <f t="shared" si="236"/>
        <v>445562167.84735179</v>
      </c>
      <c r="N656" s="493">
        <f t="shared" si="236"/>
        <v>445562167.84735179</v>
      </c>
      <c r="O656" s="493">
        <f t="shared" si="236"/>
        <v>445562167.84735179</v>
      </c>
      <c r="P656" s="493">
        <f t="shared" si="236"/>
        <v>445562167.84735179</v>
      </c>
      <c r="Q656" s="493">
        <f t="shared" si="236"/>
        <v>445562167.84735179</v>
      </c>
      <c r="R656" s="493">
        <f t="shared" ref="R656:R690" si="237">R703+R743+R782+R821+R860+R899+R938+R977+R1016+R1055</f>
        <v>445562167.84735179</v>
      </c>
      <c r="S656" s="493">
        <f t="shared" ref="S656:S690" si="238">S703+S743+S782+S821+S860+S899+S938+S977+S1016+S1055</f>
        <v>445562167.84735179</v>
      </c>
      <c r="T656" s="794"/>
      <c r="V656" s="641">
        <f t="shared" ref="V656:V691" si="239">SUM(H656:U656)</f>
        <v>5131544978.3759699</v>
      </c>
      <c r="W656" s="704"/>
      <c r="X656" s="1015"/>
      <c r="Y656" s="664" t="e">
        <f t="shared" ref="Y656:Y675" si="240">(Y236+V236)/2*Z656</f>
        <v>#REF!</v>
      </c>
      <c r="Z656" s="764">
        <v>0.02</v>
      </c>
      <c r="AA656" s="664" t="e">
        <f t="shared" ref="AA656:AA675" si="241">(AA236+Y236)/2*AB656</f>
        <v>#REF!</v>
      </c>
      <c r="AB656" s="764">
        <v>0.02</v>
      </c>
      <c r="AC656" s="664" t="e">
        <f t="shared" ref="AC656:AC675" si="242">(AC236+AA236)/2*AD656</f>
        <v>#REF!</v>
      </c>
      <c r="AD656" s="764">
        <v>0.02</v>
      </c>
      <c r="AE656" s="664" t="e">
        <f t="shared" ref="AE656:AE675" si="243">(AE236+AC236)/2*AF656</f>
        <v>#REF!</v>
      </c>
      <c r="AF656" s="764">
        <v>0.02</v>
      </c>
      <c r="AL656" s="489"/>
      <c r="AM656" s="489"/>
      <c r="AN656" s="489"/>
      <c r="AO656" s="489"/>
      <c r="AP656" s="489"/>
      <c r="AQ656" s="489"/>
      <c r="AR656" s="489"/>
      <c r="AS656" s="489"/>
    </row>
    <row r="657" spans="1:45" s="484" customFormat="1" ht="14.5">
      <c r="A657" s="695" t="s">
        <v>1276</v>
      </c>
      <c r="B657" s="647"/>
      <c r="C657" s="644"/>
      <c r="D657" s="644"/>
      <c r="E657" s="493">
        <f t="shared" ref="E657:E690" si="244">E704+E744+E783+E822+E861+E900+E939+E978+E1017+E1056</f>
        <v>196197334.64958379</v>
      </c>
      <c r="F657" s="763">
        <v>1.2500000000000001E-2</v>
      </c>
      <c r="G657" s="493">
        <f t="shared" si="236"/>
        <v>243860426.99973452</v>
      </c>
      <c r="H657" s="493">
        <f t="shared" si="236"/>
        <v>70068299.642087057</v>
      </c>
      <c r="I657" s="493">
        <f t="shared" si="236"/>
        <v>75714132.975420401</v>
      </c>
      <c r="J657" s="493">
        <f t="shared" si="236"/>
        <v>81984966.308753729</v>
      </c>
      <c r="K657" s="493">
        <f t="shared" si="236"/>
        <v>87908577.419864848</v>
      </c>
      <c r="L657" s="493">
        <f t="shared" si="236"/>
        <v>93693299.642087072</v>
      </c>
      <c r="M657" s="493">
        <f t="shared" si="236"/>
        <v>99686355.197642639</v>
      </c>
      <c r="N657" s="493">
        <f t="shared" si="236"/>
        <v>105113212.8365315</v>
      </c>
      <c r="O657" s="493">
        <f t="shared" si="236"/>
        <v>110007101.7254204</v>
      </c>
      <c r="P657" s="493">
        <f t="shared" si="236"/>
        <v>114900990.61430931</v>
      </c>
      <c r="Q657" s="493">
        <f t="shared" si="236"/>
        <v>118801372.55875374</v>
      </c>
      <c r="R657" s="493">
        <f t="shared" si="237"/>
        <v>121741476.7254204</v>
      </c>
      <c r="S657" s="493">
        <f t="shared" si="238"/>
        <v>124681580.89208709</v>
      </c>
      <c r="T657" s="794"/>
      <c r="V657" s="641">
        <f t="shared" si="239"/>
        <v>1204301366.538378</v>
      </c>
      <c r="W657" s="765"/>
      <c r="X657" s="1016"/>
      <c r="Y657" s="675" t="e">
        <f t="shared" si="240"/>
        <v>#REF!</v>
      </c>
      <c r="Z657" s="766">
        <v>0.02</v>
      </c>
      <c r="AA657" s="675" t="e">
        <f t="shared" si="241"/>
        <v>#REF!</v>
      </c>
      <c r="AB657" s="766">
        <v>0.02</v>
      </c>
      <c r="AC657" s="675" t="e">
        <f t="shared" si="242"/>
        <v>#REF!</v>
      </c>
      <c r="AD657" s="766">
        <v>0.02</v>
      </c>
      <c r="AE657" s="675" t="e">
        <f t="shared" si="243"/>
        <v>#REF!</v>
      </c>
      <c r="AF657" s="766">
        <v>0.02</v>
      </c>
      <c r="AL657" s="489"/>
      <c r="AM657" s="489"/>
      <c r="AN657" s="489"/>
      <c r="AO657" s="489"/>
      <c r="AP657" s="489"/>
      <c r="AQ657" s="489"/>
      <c r="AR657" s="489"/>
      <c r="AS657" s="489"/>
    </row>
    <row r="658" spans="1:45" s="484" customFormat="1">
      <c r="A658" s="695" t="s">
        <v>1277</v>
      </c>
      <c r="B658" s="638"/>
      <c r="C658" s="639"/>
      <c r="D658" s="639"/>
      <c r="E658" s="493">
        <f t="shared" si="244"/>
        <v>11277392.499112792</v>
      </c>
      <c r="F658" s="763">
        <v>1.2500000000000001E-2</v>
      </c>
      <c r="G658" s="493">
        <f t="shared" si="236"/>
        <v>3654655.3625756172</v>
      </c>
      <c r="H658" s="493">
        <f t="shared" si="236"/>
        <v>4555044.2483390225</v>
      </c>
      <c r="I658" s="493">
        <f t="shared" si="236"/>
        <v>4555044.2483390225</v>
      </c>
      <c r="J658" s="493">
        <f t="shared" si="236"/>
        <v>4555044.2483390225</v>
      </c>
      <c r="K658" s="493">
        <f t="shared" si="236"/>
        <v>4555044.2483390225</v>
      </c>
      <c r="L658" s="493">
        <f t="shared" si="236"/>
        <v>4555044.2483390225</v>
      </c>
      <c r="M658" s="493">
        <f t="shared" si="236"/>
        <v>4555044.2483390225</v>
      </c>
      <c r="N658" s="493">
        <f t="shared" si="236"/>
        <v>4555044.2483390225</v>
      </c>
      <c r="O658" s="493">
        <f t="shared" si="236"/>
        <v>4555044.2483390225</v>
      </c>
      <c r="P658" s="493">
        <f t="shared" si="236"/>
        <v>4555044.2483390225</v>
      </c>
      <c r="Q658" s="493">
        <f t="shared" si="236"/>
        <v>4555044.2483390225</v>
      </c>
      <c r="R658" s="493">
        <f t="shared" si="237"/>
        <v>4555044.2483390225</v>
      </c>
      <c r="S658" s="493">
        <f t="shared" si="238"/>
        <v>4555044.2483390225</v>
      </c>
      <c r="T658" s="794"/>
      <c r="V658" s="641">
        <f t="shared" si="239"/>
        <v>54660530.980068259</v>
      </c>
      <c r="W658" s="713"/>
      <c r="X658" s="1015"/>
      <c r="Y658" s="675" t="e">
        <f t="shared" si="240"/>
        <v>#REF!</v>
      </c>
      <c r="Z658" s="766">
        <v>1.2500000000000001E-2</v>
      </c>
      <c r="AA658" s="675" t="e">
        <f t="shared" si="241"/>
        <v>#REF!</v>
      </c>
      <c r="AB658" s="766">
        <v>1.2500000000000001E-2</v>
      </c>
      <c r="AC658" s="675" t="e">
        <f t="shared" si="242"/>
        <v>#REF!</v>
      </c>
      <c r="AD658" s="766">
        <v>1.2500000000000001E-2</v>
      </c>
      <c r="AE658" s="675" t="e">
        <f t="shared" si="243"/>
        <v>#REF!</v>
      </c>
      <c r="AF658" s="766">
        <v>1.2500000000000001E-2</v>
      </c>
      <c r="AL658" s="489"/>
      <c r="AM658" s="489"/>
      <c r="AN658" s="489"/>
      <c r="AO658" s="489"/>
      <c r="AP658" s="489"/>
      <c r="AQ658" s="489"/>
      <c r="AR658" s="489"/>
      <c r="AS658" s="489"/>
    </row>
    <row r="659" spans="1:45" s="484" customFormat="1" ht="14.5">
      <c r="A659" s="695" t="s">
        <v>1278</v>
      </c>
      <c r="B659" s="647"/>
      <c r="C659" s="644"/>
      <c r="D659" s="644"/>
      <c r="E659" s="493">
        <f t="shared" si="244"/>
        <v>5629815.4113907348</v>
      </c>
      <c r="F659" s="763">
        <v>1.2500000000000001E-2</v>
      </c>
      <c r="G659" s="493">
        <f t="shared" si="236"/>
        <v>11392258.6966899</v>
      </c>
      <c r="H659" s="493">
        <f t="shared" si="236"/>
        <v>11549486.153685257</v>
      </c>
      <c r="I659" s="493">
        <f t="shared" si="236"/>
        <v>11549486.153685257</v>
      </c>
      <c r="J659" s="493">
        <f t="shared" si="236"/>
        <v>11549486.153685257</v>
      </c>
      <c r="K659" s="493">
        <f t="shared" si="236"/>
        <v>11549486.153685257</v>
      </c>
      <c r="L659" s="493">
        <f t="shared" si="236"/>
        <v>11549486.153685257</v>
      </c>
      <c r="M659" s="493">
        <f t="shared" si="236"/>
        <v>11549486.153685257</v>
      </c>
      <c r="N659" s="493">
        <f t="shared" si="236"/>
        <v>11549486.153685257</v>
      </c>
      <c r="O659" s="493">
        <f t="shared" si="236"/>
        <v>11549486.153685257</v>
      </c>
      <c r="P659" s="493">
        <f t="shared" si="236"/>
        <v>11549486.153685257</v>
      </c>
      <c r="Q659" s="493">
        <f t="shared" si="236"/>
        <v>11549486.153685257</v>
      </c>
      <c r="R659" s="493">
        <f t="shared" si="237"/>
        <v>11549486.153685257</v>
      </c>
      <c r="S659" s="493">
        <f t="shared" si="238"/>
        <v>11549486.153685257</v>
      </c>
      <c r="T659" s="794"/>
      <c r="V659" s="641">
        <f t="shared" si="239"/>
        <v>138593833.84422308</v>
      </c>
      <c r="W659" s="765"/>
      <c r="X659" s="1016"/>
      <c r="Y659" s="675" t="e">
        <f t="shared" si="240"/>
        <v>#REF!</v>
      </c>
      <c r="Z659" s="766">
        <v>1.2500000000000001E-2</v>
      </c>
      <c r="AA659" s="675" t="e">
        <f t="shared" si="241"/>
        <v>#REF!</v>
      </c>
      <c r="AB659" s="766">
        <v>1.2500000000000001E-2</v>
      </c>
      <c r="AC659" s="675" t="e">
        <f t="shared" si="242"/>
        <v>#REF!</v>
      </c>
      <c r="AD659" s="766">
        <v>1.2500000000000001E-2</v>
      </c>
      <c r="AE659" s="675" t="e">
        <f t="shared" si="243"/>
        <v>#REF!</v>
      </c>
      <c r="AF659" s="766">
        <v>1.2500000000000001E-2</v>
      </c>
      <c r="AL659" s="489"/>
      <c r="AM659" s="489"/>
      <c r="AN659" s="489"/>
      <c r="AO659" s="489"/>
      <c r="AP659" s="489"/>
      <c r="AQ659" s="489"/>
      <c r="AR659" s="489"/>
      <c r="AS659" s="489"/>
    </row>
    <row r="660" spans="1:45" s="484" customFormat="1">
      <c r="A660" s="695" t="s">
        <v>1279</v>
      </c>
      <c r="B660" s="638"/>
      <c r="C660" s="639"/>
      <c r="D660" s="639"/>
      <c r="E660" s="493">
        <f t="shared" si="244"/>
        <v>96768635.771000594</v>
      </c>
      <c r="F660" s="763">
        <v>0.03</v>
      </c>
      <c r="G660" s="493">
        <f t="shared" si="236"/>
        <v>305015187.86285722</v>
      </c>
      <c r="H660" s="493">
        <f t="shared" si="236"/>
        <v>429269593.06414956</v>
      </c>
      <c r="I660" s="493">
        <f t="shared" si="236"/>
        <v>545832093.06414962</v>
      </c>
      <c r="J660" s="493">
        <f t="shared" si="236"/>
        <v>672394593.06414962</v>
      </c>
      <c r="K660" s="493">
        <f t="shared" si="236"/>
        <v>798540426.39748287</v>
      </c>
      <c r="L660" s="493">
        <f t="shared" si="236"/>
        <v>926894593.0641495</v>
      </c>
      <c r="M660" s="493">
        <f t="shared" si="236"/>
        <v>1060373759.7308162</v>
      </c>
      <c r="N660" s="493">
        <f t="shared" si="236"/>
        <v>1184719801.3974829</v>
      </c>
      <c r="O660" s="493">
        <f t="shared" si="236"/>
        <v>1299878968.0641496</v>
      </c>
      <c r="P660" s="493">
        <f t="shared" si="236"/>
        <v>1415038134.7308161</v>
      </c>
      <c r="Q660" s="493">
        <f t="shared" si="236"/>
        <v>1511097718.0641494</v>
      </c>
      <c r="R660" s="493">
        <f t="shared" si="237"/>
        <v>1589253968.0641494</v>
      </c>
      <c r="S660" s="493">
        <f t="shared" si="238"/>
        <v>1667410218.0641494</v>
      </c>
      <c r="T660" s="794"/>
      <c r="V660" s="641">
        <f t="shared" si="239"/>
        <v>13100703866.769794</v>
      </c>
      <c r="W660" s="713"/>
      <c r="X660" s="1015"/>
      <c r="Y660" s="675" t="e">
        <f t="shared" si="240"/>
        <v>#REF!</v>
      </c>
      <c r="Z660" s="766">
        <f>1%/1.1</f>
        <v>9.0909090909090905E-3</v>
      </c>
      <c r="AA660" s="675" t="e">
        <f t="shared" si="241"/>
        <v>#REF!</v>
      </c>
      <c r="AB660" s="766">
        <f>1%/1.1</f>
        <v>9.0909090909090905E-3</v>
      </c>
      <c r="AC660" s="675" t="e">
        <f t="shared" si="242"/>
        <v>#REF!</v>
      </c>
      <c r="AD660" s="766">
        <f>1%/1.1</f>
        <v>9.0909090909090905E-3</v>
      </c>
      <c r="AE660" s="675" t="e">
        <f t="shared" si="243"/>
        <v>#REF!</v>
      </c>
      <c r="AF660" s="766">
        <f>1%/1.1</f>
        <v>9.0909090909090905E-3</v>
      </c>
      <c r="AL660" s="489"/>
      <c r="AM660" s="489"/>
      <c r="AN660" s="489"/>
      <c r="AO660" s="489"/>
      <c r="AP660" s="489"/>
      <c r="AQ660" s="489"/>
      <c r="AR660" s="489"/>
      <c r="AS660" s="489"/>
    </row>
    <row r="661" spans="1:45" s="484" customFormat="1" ht="14.5">
      <c r="A661" s="695" t="s">
        <v>1280</v>
      </c>
      <c r="B661" s="647"/>
      <c r="C661" s="644"/>
      <c r="D661" s="644"/>
      <c r="E661" s="493">
        <f t="shared" si="244"/>
        <v>4877106.5565813025</v>
      </c>
      <c r="F661" s="763">
        <v>1.2500000000000001E-2</v>
      </c>
      <c r="G661" s="493">
        <f t="shared" si="236"/>
        <v>21315793.601356406</v>
      </c>
      <c r="H661" s="493">
        <f t="shared" si="236"/>
        <v>40518430.876434147</v>
      </c>
      <c r="I661" s="493">
        <f t="shared" si="236"/>
        <v>65101764.209767483</v>
      </c>
      <c r="J661" s="493">
        <f t="shared" si="236"/>
        <v>90935097.543100819</v>
      </c>
      <c r="K661" s="493">
        <f t="shared" si="236"/>
        <v>116073986.43198971</v>
      </c>
      <c r="L661" s="493">
        <f t="shared" si="236"/>
        <v>140935097.5431008</v>
      </c>
      <c r="M661" s="493">
        <f t="shared" si="236"/>
        <v>166212875.3208786</v>
      </c>
      <c r="N661" s="493">
        <f t="shared" si="236"/>
        <v>189162007.26532301</v>
      </c>
      <c r="O661" s="493">
        <f t="shared" si="236"/>
        <v>210218951.70976746</v>
      </c>
      <c r="P661" s="493">
        <f t="shared" si="236"/>
        <v>231380062.82087865</v>
      </c>
      <c r="Q661" s="493">
        <f t="shared" si="236"/>
        <v>248161660.04310083</v>
      </c>
      <c r="R661" s="493">
        <f t="shared" si="237"/>
        <v>260896035.0431008</v>
      </c>
      <c r="S661" s="493">
        <f t="shared" si="238"/>
        <v>273630410.04310083</v>
      </c>
      <c r="T661" s="794"/>
      <c r="V661" s="641">
        <f t="shared" si="239"/>
        <v>2033226378.8505433</v>
      </c>
      <c r="W661" s="765"/>
      <c r="X661" s="1016"/>
      <c r="Y661" s="675" t="e">
        <f t="shared" si="240"/>
        <v>#REF!</v>
      </c>
      <c r="Z661" s="766">
        <v>1.2500000000000001E-2</v>
      </c>
      <c r="AA661" s="675" t="e">
        <f t="shared" si="241"/>
        <v>#REF!</v>
      </c>
      <c r="AB661" s="766">
        <v>1.2500000000000001E-2</v>
      </c>
      <c r="AC661" s="675" t="e">
        <f t="shared" si="242"/>
        <v>#REF!</v>
      </c>
      <c r="AD661" s="766">
        <v>1.2500000000000001E-2</v>
      </c>
      <c r="AE661" s="675" t="e">
        <f t="shared" si="243"/>
        <v>#REF!</v>
      </c>
      <c r="AF661" s="766">
        <v>1.2500000000000001E-2</v>
      </c>
      <c r="AL661" s="489"/>
      <c r="AM661" s="489"/>
      <c r="AN661" s="489"/>
      <c r="AO661" s="489"/>
      <c r="AP661" s="489"/>
      <c r="AQ661" s="489"/>
      <c r="AR661" s="489"/>
      <c r="AS661" s="489"/>
    </row>
    <row r="662" spans="1:45" s="484" customFormat="1">
      <c r="A662" s="695" t="s">
        <v>1281</v>
      </c>
      <c r="B662" s="638"/>
      <c r="C662" s="639"/>
      <c r="D662" s="639"/>
      <c r="E662" s="493">
        <f t="shared" si="244"/>
        <v>1237921.8508604434</v>
      </c>
      <c r="F662" s="763">
        <v>8.9999999999999993E-3</v>
      </c>
      <c r="G662" s="493">
        <f t="shared" si="236"/>
        <v>6889398.9931410421</v>
      </c>
      <c r="H662" s="493">
        <f t="shared" si="236"/>
        <v>10250848.315807942</v>
      </c>
      <c r="I662" s="493">
        <f t="shared" si="236"/>
        <v>14304598.315807942</v>
      </c>
      <c r="J662" s="493">
        <f t="shared" si="236"/>
        <v>18808348.315807942</v>
      </c>
      <c r="K662" s="493">
        <f t="shared" si="236"/>
        <v>23062098.315807939</v>
      </c>
      <c r="L662" s="493">
        <f t="shared" si="236"/>
        <v>27215848.315807942</v>
      </c>
      <c r="M662" s="493">
        <f t="shared" si="236"/>
        <v>31519598.315807939</v>
      </c>
      <c r="N662" s="493">
        <f t="shared" si="236"/>
        <v>35415685.815807931</v>
      </c>
      <c r="O662" s="493">
        <f t="shared" si="236"/>
        <v>38928035.815807924</v>
      </c>
      <c r="P662" s="493">
        <f t="shared" si="236"/>
        <v>42440385.815807939</v>
      </c>
      <c r="Q662" s="493">
        <f t="shared" si="236"/>
        <v>45237410.815807939</v>
      </c>
      <c r="R662" s="493">
        <f t="shared" si="237"/>
        <v>47343035.815807939</v>
      </c>
      <c r="S662" s="493">
        <f t="shared" si="238"/>
        <v>49448660.815807939</v>
      </c>
      <c r="T662" s="794"/>
      <c r="V662" s="641">
        <f t="shared" si="239"/>
        <v>383974554.78969526</v>
      </c>
      <c r="W662" s="713"/>
      <c r="X662" s="1015"/>
      <c r="Y662" s="675" t="e">
        <f t="shared" si="240"/>
        <v>#REF!</v>
      </c>
      <c r="Z662" s="766">
        <v>1.2500000000000001E-2</v>
      </c>
      <c r="AA662" s="675" t="e">
        <f t="shared" si="241"/>
        <v>#REF!</v>
      </c>
      <c r="AB662" s="766">
        <v>1.2500000000000001E-2</v>
      </c>
      <c r="AC662" s="675" t="e">
        <f t="shared" si="242"/>
        <v>#REF!</v>
      </c>
      <c r="AD662" s="766">
        <v>1.2500000000000001E-2</v>
      </c>
      <c r="AE662" s="675" t="e">
        <f t="shared" si="243"/>
        <v>#REF!</v>
      </c>
      <c r="AF662" s="766">
        <v>1.2500000000000001E-2</v>
      </c>
      <c r="AL662" s="489"/>
      <c r="AM662" s="489"/>
      <c r="AN662" s="489"/>
      <c r="AO662" s="489"/>
      <c r="AP662" s="489"/>
      <c r="AQ662" s="489"/>
      <c r="AR662" s="489"/>
      <c r="AS662" s="489"/>
    </row>
    <row r="663" spans="1:45" s="484" customFormat="1" ht="14.5">
      <c r="A663" s="695" t="s">
        <v>1282</v>
      </c>
      <c r="B663" s="647"/>
      <c r="C663" s="644"/>
      <c r="D663" s="644"/>
      <c r="E663" s="493">
        <f t="shared" si="244"/>
        <v>0</v>
      </c>
      <c r="F663" s="763"/>
      <c r="G663" s="493">
        <f t="shared" si="236"/>
        <v>0</v>
      </c>
      <c r="H663" s="493">
        <f t="shared" si="236"/>
        <v>0</v>
      </c>
      <c r="I663" s="493">
        <f t="shared" si="236"/>
        <v>0</v>
      </c>
      <c r="J663" s="493">
        <f t="shared" si="236"/>
        <v>0</v>
      </c>
      <c r="K663" s="493">
        <f t="shared" si="236"/>
        <v>0</v>
      </c>
      <c r="L663" s="493">
        <f t="shared" si="236"/>
        <v>0</v>
      </c>
      <c r="M663" s="493">
        <f t="shared" si="236"/>
        <v>0</v>
      </c>
      <c r="N663" s="493">
        <f t="shared" si="236"/>
        <v>0</v>
      </c>
      <c r="O663" s="493">
        <f t="shared" si="236"/>
        <v>0</v>
      </c>
      <c r="P663" s="493">
        <f t="shared" si="236"/>
        <v>0</v>
      </c>
      <c r="Q663" s="493">
        <f t="shared" si="236"/>
        <v>0</v>
      </c>
      <c r="R663" s="493">
        <f t="shared" si="237"/>
        <v>0</v>
      </c>
      <c r="S663" s="493">
        <f t="shared" si="238"/>
        <v>0</v>
      </c>
      <c r="T663" s="794"/>
      <c r="V663" s="641">
        <f t="shared" si="239"/>
        <v>0</v>
      </c>
      <c r="W663" s="765"/>
      <c r="X663" s="1016"/>
      <c r="Y663" s="675" t="e">
        <f t="shared" si="240"/>
        <v>#REF!</v>
      </c>
      <c r="Z663" s="766">
        <v>1.2500000000000001E-2</v>
      </c>
      <c r="AA663" s="675" t="e">
        <f t="shared" si="241"/>
        <v>#REF!</v>
      </c>
      <c r="AB663" s="766">
        <v>1.2500000000000001E-2</v>
      </c>
      <c r="AC663" s="675" t="e">
        <f t="shared" si="242"/>
        <v>#REF!</v>
      </c>
      <c r="AD663" s="766">
        <v>1.2500000000000001E-2</v>
      </c>
      <c r="AE663" s="675" t="e">
        <f t="shared" si="243"/>
        <v>#REF!</v>
      </c>
      <c r="AF663" s="766">
        <v>1.2500000000000001E-2</v>
      </c>
      <c r="AL663" s="489"/>
      <c r="AM663" s="489"/>
      <c r="AN663" s="489"/>
      <c r="AO663" s="489"/>
      <c r="AP663" s="489"/>
      <c r="AQ663" s="489"/>
      <c r="AR663" s="489"/>
      <c r="AS663" s="489"/>
    </row>
    <row r="664" spans="1:45" s="484" customFormat="1">
      <c r="A664" s="695" t="s">
        <v>1283</v>
      </c>
      <c r="B664" s="638"/>
      <c r="C664" s="639"/>
      <c r="D664" s="639"/>
      <c r="E664" s="493">
        <f t="shared" si="244"/>
        <v>0</v>
      </c>
      <c r="F664" s="763"/>
      <c r="G664" s="493">
        <f t="shared" si="236"/>
        <v>0</v>
      </c>
      <c r="H664" s="493">
        <f t="shared" si="236"/>
        <v>0</v>
      </c>
      <c r="I664" s="493">
        <f t="shared" si="236"/>
        <v>0</v>
      </c>
      <c r="J664" s="493">
        <f t="shared" si="236"/>
        <v>0</v>
      </c>
      <c r="K664" s="493">
        <f t="shared" si="236"/>
        <v>0</v>
      </c>
      <c r="L664" s="493">
        <f t="shared" si="236"/>
        <v>0</v>
      </c>
      <c r="M664" s="493">
        <f t="shared" si="236"/>
        <v>0</v>
      </c>
      <c r="N664" s="493">
        <f t="shared" si="236"/>
        <v>0</v>
      </c>
      <c r="O664" s="493">
        <f t="shared" si="236"/>
        <v>0</v>
      </c>
      <c r="P664" s="493">
        <f t="shared" si="236"/>
        <v>0</v>
      </c>
      <c r="Q664" s="493">
        <f t="shared" si="236"/>
        <v>0</v>
      </c>
      <c r="R664" s="493">
        <f t="shared" si="237"/>
        <v>0</v>
      </c>
      <c r="S664" s="493">
        <f t="shared" si="238"/>
        <v>0</v>
      </c>
      <c r="T664" s="794"/>
      <c r="V664" s="641">
        <f t="shared" si="239"/>
        <v>0</v>
      </c>
      <c r="W664" s="713"/>
      <c r="X664" s="1015"/>
      <c r="Y664" s="675" t="e">
        <f t="shared" si="240"/>
        <v>#REF!</v>
      </c>
      <c r="Z664" s="766">
        <v>1.2500000000000001E-2</v>
      </c>
      <c r="AA664" s="675" t="e">
        <f t="shared" si="241"/>
        <v>#REF!</v>
      </c>
      <c r="AB664" s="766">
        <v>1.2500000000000001E-2</v>
      </c>
      <c r="AC664" s="675" t="e">
        <f t="shared" si="242"/>
        <v>#REF!</v>
      </c>
      <c r="AD664" s="766">
        <v>1.2500000000000001E-2</v>
      </c>
      <c r="AE664" s="675" t="e">
        <f t="shared" si="243"/>
        <v>#REF!</v>
      </c>
      <c r="AF664" s="766">
        <v>1.2500000000000001E-2</v>
      </c>
      <c r="AL664" s="489"/>
      <c r="AM664" s="489"/>
      <c r="AN664" s="489"/>
      <c r="AO664" s="489"/>
      <c r="AP664" s="489"/>
      <c r="AQ664" s="489"/>
      <c r="AR664" s="489"/>
      <c r="AS664" s="489"/>
    </row>
    <row r="665" spans="1:45" s="484" customFormat="1" ht="14.5">
      <c r="A665" s="695" t="s">
        <v>1284</v>
      </c>
      <c r="B665" s="647"/>
      <c r="C665" s="644"/>
      <c r="D665" s="644"/>
      <c r="E665" s="493">
        <f t="shared" si="244"/>
        <v>14653207.525941245</v>
      </c>
      <c r="F665" s="763">
        <v>1.4999999999999999E-2</v>
      </c>
      <c r="G665" s="493">
        <f t="shared" si="236"/>
        <v>96760322.874965429</v>
      </c>
      <c r="H665" s="493">
        <f t="shared" si="236"/>
        <v>146558186.34306061</v>
      </c>
      <c r="I665" s="493">
        <f t="shared" si="236"/>
        <v>183933186.34306058</v>
      </c>
      <c r="J665" s="493">
        <f t="shared" si="236"/>
        <v>223558186.34306058</v>
      </c>
      <c r="K665" s="493">
        <f t="shared" si="236"/>
        <v>261933186.34306058</v>
      </c>
      <c r="L665" s="493">
        <f t="shared" si="236"/>
        <v>299808186.34306061</v>
      </c>
      <c r="M665" s="493">
        <f t="shared" si="236"/>
        <v>338433186.34306061</v>
      </c>
      <c r="N665" s="493">
        <f t="shared" si="236"/>
        <v>373763811.34306061</v>
      </c>
      <c r="O665" s="493">
        <f t="shared" si="236"/>
        <v>406323811.34306061</v>
      </c>
      <c r="P665" s="493">
        <f t="shared" si="236"/>
        <v>439008811.34306061</v>
      </c>
      <c r="Q665" s="493">
        <f t="shared" si="236"/>
        <v>465605061.34306061</v>
      </c>
      <c r="R665" s="493">
        <f t="shared" si="237"/>
        <v>486511311.34306061</v>
      </c>
      <c r="S665" s="493">
        <f t="shared" si="238"/>
        <v>507417561.34306061</v>
      </c>
      <c r="T665" s="794"/>
      <c r="V665" s="641">
        <f t="shared" si="239"/>
        <v>4132854486.1167264</v>
      </c>
      <c r="W665" s="765"/>
      <c r="X665" s="1016"/>
      <c r="Y665" s="675" t="e">
        <f t="shared" si="240"/>
        <v>#REF!</v>
      </c>
      <c r="Z665" s="766">
        <v>1.2500000000000001E-2</v>
      </c>
      <c r="AA665" s="675" t="e">
        <f t="shared" si="241"/>
        <v>#REF!</v>
      </c>
      <c r="AB665" s="766">
        <v>1.2500000000000001E-2</v>
      </c>
      <c r="AC665" s="675" t="e">
        <f t="shared" si="242"/>
        <v>#REF!</v>
      </c>
      <c r="AD665" s="766">
        <v>1.2500000000000001E-2</v>
      </c>
      <c r="AE665" s="675" t="e">
        <f t="shared" si="243"/>
        <v>#REF!</v>
      </c>
      <c r="AF665" s="766">
        <v>1.2500000000000001E-2</v>
      </c>
      <c r="AL665" s="489"/>
      <c r="AM665" s="489"/>
      <c r="AN665" s="489"/>
      <c r="AO665" s="489"/>
      <c r="AP665" s="489"/>
      <c r="AQ665" s="489"/>
      <c r="AR665" s="489"/>
      <c r="AS665" s="489"/>
    </row>
    <row r="666" spans="1:45" s="484" customFormat="1">
      <c r="A666" s="695" t="s">
        <v>1285</v>
      </c>
      <c r="B666" s="638"/>
      <c r="C666" s="639"/>
      <c r="D666" s="639"/>
      <c r="E666" s="493">
        <f t="shared" si="244"/>
        <v>54418922.256730631</v>
      </c>
      <c r="F666" s="763">
        <v>1.4999999999999999E-2</v>
      </c>
      <c r="G666" s="493">
        <f t="shared" si="236"/>
        <v>385697954.2936753</v>
      </c>
      <c r="H666" s="493">
        <f t="shared" si="236"/>
        <v>482860110.73111647</v>
      </c>
      <c r="I666" s="493">
        <f t="shared" si="236"/>
        <v>520547610.73111647</v>
      </c>
      <c r="J666" s="493">
        <f t="shared" si="236"/>
        <v>560485110.73111641</v>
      </c>
      <c r="K666" s="493">
        <f t="shared" si="236"/>
        <v>600422610.73111641</v>
      </c>
      <c r="L666" s="493">
        <f t="shared" si="236"/>
        <v>642172610.73111641</v>
      </c>
      <c r="M666" s="493">
        <f t="shared" si="236"/>
        <v>686360110.73111641</v>
      </c>
      <c r="N666" s="493">
        <f t="shared" si="236"/>
        <v>727878235.73111641</v>
      </c>
      <c r="O666" s="493">
        <f t="shared" si="236"/>
        <v>766500735.73111641</v>
      </c>
      <c r="P666" s="493">
        <f t="shared" si="236"/>
        <v>805123235.73111641</v>
      </c>
      <c r="Q666" s="493">
        <f t="shared" si="236"/>
        <v>837656985.73111641</v>
      </c>
      <c r="R666" s="493">
        <f t="shared" si="237"/>
        <v>864500735.73111641</v>
      </c>
      <c r="S666" s="493">
        <f t="shared" si="238"/>
        <v>891344485.73111641</v>
      </c>
      <c r="T666" s="794"/>
      <c r="V666" s="641">
        <f t="shared" si="239"/>
        <v>8385852578.7733965</v>
      </c>
      <c r="W666" s="713"/>
      <c r="X666" s="1015"/>
      <c r="Y666" s="675" t="e">
        <f t="shared" si="240"/>
        <v>#REF!</v>
      </c>
      <c r="Z666" s="766">
        <v>1.2500000000000001E-2</v>
      </c>
      <c r="AA666" s="675" t="e">
        <f t="shared" si="241"/>
        <v>#REF!</v>
      </c>
      <c r="AB666" s="766">
        <v>1.2500000000000001E-2</v>
      </c>
      <c r="AC666" s="675" t="e">
        <f t="shared" si="242"/>
        <v>#REF!</v>
      </c>
      <c r="AD666" s="766">
        <v>1.2500000000000001E-2</v>
      </c>
      <c r="AE666" s="675" t="e">
        <f t="shared" si="243"/>
        <v>#REF!</v>
      </c>
      <c r="AF666" s="766">
        <v>1.2500000000000001E-2</v>
      </c>
      <c r="AL666" s="489"/>
      <c r="AM666" s="489"/>
      <c r="AN666" s="489"/>
      <c r="AO666" s="489"/>
      <c r="AP666" s="489"/>
      <c r="AQ666" s="489"/>
      <c r="AR666" s="489"/>
      <c r="AS666" s="489"/>
    </row>
    <row r="667" spans="1:45" s="484" customFormat="1" ht="14.5">
      <c r="A667" s="695" t="s">
        <v>1286</v>
      </c>
      <c r="B667" s="647"/>
      <c r="C667" s="644"/>
      <c r="D667" s="644"/>
      <c r="E667" s="493">
        <f t="shared" si="244"/>
        <v>34309309.350723438</v>
      </c>
      <c r="F667" s="763">
        <v>1.2500000000000001E-2</v>
      </c>
      <c r="G667" s="493">
        <f t="shared" si="236"/>
        <v>72403846.87459591</v>
      </c>
      <c r="H667" s="493">
        <f t="shared" si="236"/>
        <v>75852625.450191319</v>
      </c>
      <c r="I667" s="493">
        <f t="shared" si="236"/>
        <v>78040125.450191319</v>
      </c>
      <c r="J667" s="493">
        <f t="shared" si="236"/>
        <v>80540125.450191304</v>
      </c>
      <c r="K667" s="493">
        <f t="shared" si="236"/>
        <v>82970681.005746856</v>
      </c>
      <c r="L667" s="493">
        <f t="shared" si="236"/>
        <v>85540125.450191319</v>
      </c>
      <c r="M667" s="493">
        <f t="shared" si="236"/>
        <v>88317903.227969095</v>
      </c>
      <c r="N667" s="493">
        <f t="shared" si="236"/>
        <v>90887347.672413543</v>
      </c>
      <c r="O667" s="493">
        <f t="shared" si="236"/>
        <v>93248458.783524647</v>
      </c>
      <c r="P667" s="493">
        <f t="shared" si="236"/>
        <v>95609569.894635767</v>
      </c>
      <c r="Q667" s="493">
        <f t="shared" si="236"/>
        <v>97623458.783524647</v>
      </c>
      <c r="R667" s="493">
        <f t="shared" si="237"/>
        <v>99290125.450191319</v>
      </c>
      <c r="S667" s="493">
        <f t="shared" si="238"/>
        <v>100956792.11685799</v>
      </c>
      <c r="T667" s="794"/>
      <c r="V667" s="641">
        <f t="shared" si="239"/>
        <v>1068877338.7356291</v>
      </c>
      <c r="W667" s="765"/>
      <c r="X667" s="1016"/>
      <c r="Y667" s="675" t="e">
        <f t="shared" si="240"/>
        <v>#REF!</v>
      </c>
      <c r="Z667" s="766">
        <f>1%/1.1</f>
        <v>9.0909090909090905E-3</v>
      </c>
      <c r="AA667" s="675" t="e">
        <f t="shared" si="241"/>
        <v>#REF!</v>
      </c>
      <c r="AB667" s="766">
        <f>1%/1.1</f>
        <v>9.0909090909090905E-3</v>
      </c>
      <c r="AC667" s="675" t="e">
        <f t="shared" si="242"/>
        <v>#REF!</v>
      </c>
      <c r="AD667" s="766">
        <f>1%/1.1</f>
        <v>9.0909090909090905E-3</v>
      </c>
      <c r="AE667" s="675" t="e">
        <f t="shared" si="243"/>
        <v>#REF!</v>
      </c>
      <c r="AF667" s="766">
        <f>1%/1.1</f>
        <v>9.0909090909090905E-3</v>
      </c>
      <c r="AL667" s="489"/>
      <c r="AM667" s="489"/>
      <c r="AN667" s="489"/>
      <c r="AO667" s="489"/>
      <c r="AP667" s="489"/>
      <c r="AQ667" s="489"/>
      <c r="AR667" s="489"/>
      <c r="AS667" s="489"/>
    </row>
    <row r="668" spans="1:45" s="484" customFormat="1">
      <c r="A668" s="695" t="s">
        <v>1287</v>
      </c>
      <c r="B668" s="638"/>
      <c r="C668" s="639"/>
      <c r="D668" s="639"/>
      <c r="E668" s="493">
        <f t="shared" si="244"/>
        <v>653.66430480208328</v>
      </c>
      <c r="F668" s="763">
        <v>1.2500000000000001E-2</v>
      </c>
      <c r="G668" s="493">
        <f t="shared" si="236"/>
        <v>0</v>
      </c>
      <c r="H668" s="493">
        <f t="shared" si="236"/>
        <v>0</v>
      </c>
      <c r="I668" s="493">
        <f t="shared" si="236"/>
        <v>0</v>
      </c>
      <c r="J668" s="493">
        <f t="shared" si="236"/>
        <v>0</v>
      </c>
      <c r="K668" s="493">
        <f t="shared" si="236"/>
        <v>0</v>
      </c>
      <c r="L668" s="493">
        <f t="shared" si="236"/>
        <v>0</v>
      </c>
      <c r="M668" s="493">
        <f t="shared" si="236"/>
        <v>0</v>
      </c>
      <c r="N668" s="493">
        <f t="shared" si="236"/>
        <v>0</v>
      </c>
      <c r="O668" s="493">
        <f t="shared" si="236"/>
        <v>0</v>
      </c>
      <c r="P668" s="493">
        <f t="shared" si="236"/>
        <v>0</v>
      </c>
      <c r="Q668" s="493">
        <f t="shared" si="236"/>
        <v>0</v>
      </c>
      <c r="R668" s="493">
        <f t="shared" si="237"/>
        <v>0</v>
      </c>
      <c r="S668" s="493">
        <f t="shared" si="238"/>
        <v>0</v>
      </c>
      <c r="T668" s="794"/>
      <c r="V668" s="641">
        <f t="shared" si="239"/>
        <v>0</v>
      </c>
      <c r="W668" s="713"/>
      <c r="X668" s="1015"/>
      <c r="Y668" s="675">
        <f t="shared" si="240"/>
        <v>107199279.4950825</v>
      </c>
      <c r="Z668" s="766">
        <v>1.5E-3</v>
      </c>
      <c r="AA668" s="675" t="e">
        <f t="shared" si="241"/>
        <v>#REF!</v>
      </c>
      <c r="AB668" s="766">
        <v>1.5E-3</v>
      </c>
      <c r="AC668" s="675" t="e">
        <f t="shared" si="242"/>
        <v>#REF!</v>
      </c>
      <c r="AD668" s="766">
        <v>1.5E-3</v>
      </c>
      <c r="AE668" s="675" t="e">
        <f t="shared" si="243"/>
        <v>#REF!</v>
      </c>
      <c r="AF668" s="766">
        <v>1.5E-3</v>
      </c>
      <c r="AL668" s="489"/>
      <c r="AM668" s="489"/>
      <c r="AN668" s="489"/>
      <c r="AO668" s="489"/>
      <c r="AP668" s="489"/>
      <c r="AQ668" s="489"/>
      <c r="AR668" s="489"/>
      <c r="AS668" s="489"/>
    </row>
    <row r="669" spans="1:45" s="484" customFormat="1" ht="14.5">
      <c r="A669" s="695" t="s">
        <v>1288</v>
      </c>
      <c r="B669" s="647"/>
      <c r="C669" s="644"/>
      <c r="D669" s="644"/>
      <c r="E669" s="493">
        <f t="shared" si="244"/>
        <v>31996130.524219606</v>
      </c>
      <c r="F669" s="763">
        <v>1.75E-3</v>
      </c>
      <c r="G669" s="493">
        <f t="shared" si="236"/>
        <v>40991235.833151482</v>
      </c>
      <c r="H669" s="493">
        <f t="shared" si="236"/>
        <v>17990210.617863756</v>
      </c>
      <c r="I669" s="493">
        <f t="shared" si="236"/>
        <v>17990210.617863756</v>
      </c>
      <c r="J669" s="493">
        <f t="shared" si="236"/>
        <v>17990210.617863756</v>
      </c>
      <c r="K669" s="493">
        <f t="shared" si="236"/>
        <v>17990210.617863756</v>
      </c>
      <c r="L669" s="493">
        <f t="shared" si="236"/>
        <v>17990210.617863756</v>
      </c>
      <c r="M669" s="493">
        <f t="shared" si="236"/>
        <v>17990210.617863756</v>
      </c>
      <c r="N669" s="493">
        <f t="shared" si="236"/>
        <v>17990210.617863756</v>
      </c>
      <c r="O669" s="493">
        <f t="shared" si="236"/>
        <v>17990210.617863756</v>
      </c>
      <c r="P669" s="493">
        <f t="shared" si="236"/>
        <v>17990210.617863756</v>
      </c>
      <c r="Q669" s="493">
        <f t="shared" si="236"/>
        <v>17990210.617863756</v>
      </c>
      <c r="R669" s="493">
        <f t="shared" si="237"/>
        <v>17990210.617863756</v>
      </c>
      <c r="S669" s="493">
        <f t="shared" si="238"/>
        <v>17990210.617863756</v>
      </c>
      <c r="T669" s="794"/>
      <c r="V669" s="641">
        <f t="shared" si="239"/>
        <v>215882527.41436502</v>
      </c>
      <c r="W669" s="765"/>
      <c r="X669" s="1016"/>
      <c r="Y669" s="675" t="e">
        <f t="shared" si="240"/>
        <v>#REF!</v>
      </c>
      <c r="Z669" s="766">
        <v>1.2500000000000001E-2</v>
      </c>
      <c r="AA669" s="675" t="e">
        <f t="shared" si="241"/>
        <v>#REF!</v>
      </c>
      <c r="AB669" s="766">
        <v>1.2500000000000001E-2</v>
      </c>
      <c r="AC669" s="675" t="e">
        <f t="shared" si="242"/>
        <v>#REF!</v>
      </c>
      <c r="AD669" s="766">
        <v>1.2500000000000001E-2</v>
      </c>
      <c r="AE669" s="675" t="e">
        <f t="shared" si="243"/>
        <v>#REF!</v>
      </c>
      <c r="AF669" s="766">
        <v>1.2500000000000001E-2</v>
      </c>
      <c r="AL669" s="489"/>
      <c r="AM669" s="489"/>
      <c r="AN669" s="489"/>
      <c r="AO669" s="489"/>
      <c r="AP669" s="489"/>
      <c r="AQ669" s="489"/>
      <c r="AR669" s="489"/>
      <c r="AS669" s="489"/>
    </row>
    <row r="670" spans="1:45" s="484" customFormat="1">
      <c r="A670" s="695" t="s">
        <v>1289</v>
      </c>
      <c r="B670" s="647"/>
      <c r="C670" s="648"/>
      <c r="D670" s="639"/>
      <c r="E670" s="493">
        <f t="shared" si="244"/>
        <v>12588386.974422703</v>
      </c>
      <c r="F670" s="763">
        <v>1.125E-2</v>
      </c>
      <c r="G670" s="493">
        <f t="shared" si="236"/>
        <v>43492044.611052871</v>
      </c>
      <c r="H670" s="493">
        <f t="shared" si="236"/>
        <v>70032701.177511677</v>
      </c>
      <c r="I670" s="493">
        <f t="shared" si="236"/>
        <v>86767076.177511677</v>
      </c>
      <c r="J670" s="493">
        <f t="shared" si="236"/>
        <v>103782701.17751171</v>
      </c>
      <c r="K670" s="493">
        <f t="shared" si="236"/>
        <v>120642076.17751169</v>
      </c>
      <c r="L670" s="493">
        <f t="shared" si="236"/>
        <v>137438951.17751172</v>
      </c>
      <c r="M670" s="493">
        <f t="shared" si="236"/>
        <v>154329576.17751172</v>
      </c>
      <c r="N670" s="493">
        <f t="shared" si="236"/>
        <v>169686919.92751172</v>
      </c>
      <c r="O670" s="493">
        <f t="shared" si="236"/>
        <v>183810044.92751172</v>
      </c>
      <c r="P670" s="493">
        <f t="shared" si="236"/>
        <v>197933169.92751172</v>
      </c>
      <c r="Q670" s="493">
        <f t="shared" si="236"/>
        <v>209052232.42751172</v>
      </c>
      <c r="R670" s="493">
        <f t="shared" si="237"/>
        <v>217466294.92751172</v>
      </c>
      <c r="S670" s="493">
        <f t="shared" si="238"/>
        <v>225880357.42751172</v>
      </c>
      <c r="T670" s="794"/>
      <c r="V670" s="641">
        <f t="shared" si="239"/>
        <v>1876822101.6301403</v>
      </c>
      <c r="W670" s="713"/>
      <c r="X670" s="1015"/>
      <c r="Y670" s="675" t="e">
        <f t="shared" si="240"/>
        <v>#REF!</v>
      </c>
      <c r="Z670" s="766">
        <v>3.0000000000000001E-3</v>
      </c>
      <c r="AA670" s="675" t="e">
        <f t="shared" si="241"/>
        <v>#REF!</v>
      </c>
      <c r="AB670" s="766">
        <v>3.0000000000000001E-3</v>
      </c>
      <c r="AC670" s="675" t="e">
        <f t="shared" si="242"/>
        <v>#REF!</v>
      </c>
      <c r="AD670" s="766">
        <v>3.0000000000000001E-3</v>
      </c>
      <c r="AE670" s="675" t="e">
        <f t="shared" si="243"/>
        <v>#REF!</v>
      </c>
      <c r="AF670" s="766">
        <v>3.0000000000000001E-3</v>
      </c>
      <c r="AL670" s="489"/>
      <c r="AM670" s="489"/>
      <c r="AN670" s="489"/>
      <c r="AO670" s="489"/>
      <c r="AP670" s="489"/>
      <c r="AQ670" s="489"/>
      <c r="AR670" s="489"/>
      <c r="AS670" s="489"/>
    </row>
    <row r="671" spans="1:45" s="484" customFormat="1" ht="14.5">
      <c r="A671" s="695" t="s">
        <v>1290</v>
      </c>
      <c r="B671" s="647"/>
      <c r="C671" s="644"/>
      <c r="D671" s="644"/>
      <c r="E671" s="493">
        <f t="shared" si="244"/>
        <v>4841925.5759706683</v>
      </c>
      <c r="F671" s="763">
        <v>1.5E-3</v>
      </c>
      <c r="G671" s="493">
        <f t="shared" si="236"/>
        <v>13071235.770781919</v>
      </c>
      <c r="H671" s="493">
        <f t="shared" si="236"/>
        <v>16458620.3896225</v>
      </c>
      <c r="I671" s="493">
        <f t="shared" si="236"/>
        <v>16458620.3896225</v>
      </c>
      <c r="J671" s="493">
        <f t="shared" si="236"/>
        <v>16458620.3896225</v>
      </c>
      <c r="K671" s="493">
        <f t="shared" si="236"/>
        <v>16458620.3896225</v>
      </c>
      <c r="L671" s="493">
        <f t="shared" si="236"/>
        <v>16458620.3896225</v>
      </c>
      <c r="M671" s="493">
        <f t="shared" si="236"/>
        <v>16458620.3896225</v>
      </c>
      <c r="N671" s="493">
        <f t="shared" si="236"/>
        <v>16458620.3896225</v>
      </c>
      <c r="O671" s="493">
        <f t="shared" si="236"/>
        <v>16458620.3896225</v>
      </c>
      <c r="P671" s="493">
        <f t="shared" si="236"/>
        <v>16458620.3896225</v>
      </c>
      <c r="Q671" s="493">
        <f t="shared" si="236"/>
        <v>16458620.3896225</v>
      </c>
      <c r="R671" s="493">
        <f t="shared" si="237"/>
        <v>16458620.3896225</v>
      </c>
      <c r="S671" s="493">
        <f t="shared" si="238"/>
        <v>16458620.3896225</v>
      </c>
      <c r="T671" s="794"/>
      <c r="V671" s="641">
        <f t="shared" si="239"/>
        <v>197503444.67547002</v>
      </c>
      <c r="W671" s="488"/>
      <c r="X671" s="1016"/>
      <c r="Y671" s="675" t="e">
        <f t="shared" si="240"/>
        <v>#REF!</v>
      </c>
      <c r="Z671" s="767">
        <v>6.8000000000000005E-4</v>
      </c>
      <c r="AA671" s="675" t="e">
        <f t="shared" si="241"/>
        <v>#REF!</v>
      </c>
      <c r="AB671" s="767">
        <v>6.8000000000000005E-4</v>
      </c>
      <c r="AC671" s="675" t="e">
        <f t="shared" si="242"/>
        <v>#REF!</v>
      </c>
      <c r="AD671" s="767">
        <v>6.8000000000000005E-4</v>
      </c>
      <c r="AE671" s="675" t="e">
        <f t="shared" si="243"/>
        <v>#REF!</v>
      </c>
      <c r="AF671" s="767">
        <v>6.8000000000000005E-4</v>
      </c>
      <c r="AL671" s="489"/>
      <c r="AM671" s="489"/>
      <c r="AN671" s="489"/>
      <c r="AO671" s="489"/>
      <c r="AP671" s="489"/>
      <c r="AQ671" s="489"/>
      <c r="AR671" s="489"/>
      <c r="AS671" s="489"/>
    </row>
    <row r="672" spans="1:45" s="484" customFormat="1">
      <c r="A672" s="695" t="s">
        <v>1291</v>
      </c>
      <c r="B672" s="647"/>
      <c r="C672" s="648"/>
      <c r="D672" s="639"/>
      <c r="E672" s="493">
        <f t="shared" si="244"/>
        <v>29465410.483465437</v>
      </c>
      <c r="F672" s="763">
        <v>1.4999999999999999E-2</v>
      </c>
      <c r="G672" s="493">
        <f t="shared" ref="G672:Q687" si="245">G719+G759+G798+G837+G876+G915+G954+G993+G1032+G1071</f>
        <v>59373842.904315434</v>
      </c>
      <c r="H672" s="493">
        <f t="shared" si="245"/>
        <v>59816864.841699995</v>
      </c>
      <c r="I672" s="493">
        <f t="shared" si="245"/>
        <v>59816864.841699995</v>
      </c>
      <c r="J672" s="493">
        <f t="shared" si="245"/>
        <v>59816864.841699995</v>
      </c>
      <c r="K672" s="493">
        <f t="shared" si="245"/>
        <v>59816864.841699995</v>
      </c>
      <c r="L672" s="493">
        <f t="shared" si="245"/>
        <v>59816864.841699995</v>
      </c>
      <c r="M672" s="493">
        <f t="shared" si="245"/>
        <v>59816864.841699995</v>
      </c>
      <c r="N672" s="493">
        <f t="shared" si="245"/>
        <v>59816864.841699995</v>
      </c>
      <c r="O672" s="493">
        <f t="shared" si="245"/>
        <v>59816864.841699995</v>
      </c>
      <c r="P672" s="493">
        <f t="shared" si="245"/>
        <v>59816864.841699995</v>
      </c>
      <c r="Q672" s="493">
        <f t="shared" si="245"/>
        <v>59816864.841699995</v>
      </c>
      <c r="R672" s="493">
        <f t="shared" si="237"/>
        <v>59816864.841699995</v>
      </c>
      <c r="S672" s="493">
        <f t="shared" si="238"/>
        <v>59816864.841699995</v>
      </c>
      <c r="T672" s="794"/>
      <c r="V672" s="641">
        <f t="shared" si="239"/>
        <v>717802378.10039985</v>
      </c>
      <c r="W672" s="713"/>
      <c r="X672" s="1015"/>
      <c r="Y672" s="675" t="e">
        <f t="shared" si="240"/>
        <v>#REF!</v>
      </c>
      <c r="Z672" s="767">
        <v>7.5000000000000002E-4</v>
      </c>
      <c r="AA672" s="675" t="e">
        <f t="shared" si="241"/>
        <v>#REF!</v>
      </c>
      <c r="AB672" s="767">
        <v>7.5000000000000002E-4</v>
      </c>
      <c r="AC672" s="675" t="e">
        <f t="shared" si="242"/>
        <v>#REF!</v>
      </c>
      <c r="AD672" s="767">
        <v>7.5000000000000002E-4</v>
      </c>
      <c r="AE672" s="675" t="e">
        <f t="shared" si="243"/>
        <v>#REF!</v>
      </c>
      <c r="AF672" s="767">
        <v>7.5000000000000002E-4</v>
      </c>
      <c r="AL672" s="489"/>
      <c r="AM672" s="489"/>
      <c r="AN672" s="489"/>
      <c r="AO672" s="489"/>
      <c r="AP672" s="489"/>
      <c r="AQ672" s="489"/>
      <c r="AR672" s="489"/>
      <c r="AS672" s="489"/>
    </row>
    <row r="673" spans="1:45" s="484" customFormat="1" ht="14.5">
      <c r="A673" s="695" t="s">
        <v>1292</v>
      </c>
      <c r="B673" s="647"/>
      <c r="C673" s="644"/>
      <c r="D673" s="644"/>
      <c r="E673" s="493">
        <f t="shared" si="244"/>
        <v>85789231.98277083</v>
      </c>
      <c r="F673" s="763">
        <v>1.4999999999999999E-2</v>
      </c>
      <c r="G673" s="493">
        <f t="shared" si="245"/>
        <v>14239635.920889249</v>
      </c>
      <c r="H673" s="493">
        <f t="shared" si="245"/>
        <v>14272534.952512501</v>
      </c>
      <c r="I673" s="493">
        <f t="shared" si="245"/>
        <v>14272534.952512501</v>
      </c>
      <c r="J673" s="493">
        <f t="shared" si="245"/>
        <v>14272534.952512501</v>
      </c>
      <c r="K673" s="493">
        <f t="shared" si="245"/>
        <v>14272534.952512501</v>
      </c>
      <c r="L673" s="493">
        <f t="shared" si="245"/>
        <v>14272534.952512501</v>
      </c>
      <c r="M673" s="493">
        <f t="shared" si="245"/>
        <v>14272534.952512501</v>
      </c>
      <c r="N673" s="493">
        <f t="shared" si="245"/>
        <v>14272534.952512501</v>
      </c>
      <c r="O673" s="493">
        <f t="shared" si="245"/>
        <v>14272534.952512501</v>
      </c>
      <c r="P673" s="493">
        <f t="shared" si="245"/>
        <v>14272534.952512501</v>
      </c>
      <c r="Q673" s="493">
        <f t="shared" si="245"/>
        <v>14272534.952512501</v>
      </c>
      <c r="R673" s="493">
        <f t="shared" si="237"/>
        <v>14272534.952512501</v>
      </c>
      <c r="S673" s="493">
        <f t="shared" si="238"/>
        <v>14272534.952512501</v>
      </c>
      <c r="T673" s="794"/>
      <c r="V673" s="641">
        <f t="shared" si="239"/>
        <v>171270419.43015</v>
      </c>
      <c r="W673" s="488"/>
      <c r="X673" s="1016"/>
      <c r="Y673" s="675" t="e">
        <f t="shared" si="240"/>
        <v>#REF!</v>
      </c>
      <c r="Z673" s="767">
        <f>0.3%/1.1</f>
        <v>2.7272727272727271E-3</v>
      </c>
      <c r="AA673" s="675" t="e">
        <f t="shared" si="241"/>
        <v>#REF!</v>
      </c>
      <c r="AB673" s="767">
        <f>0.3%/1.1</f>
        <v>2.7272727272727271E-3</v>
      </c>
      <c r="AC673" s="675" t="e">
        <f t="shared" si="242"/>
        <v>#REF!</v>
      </c>
      <c r="AD673" s="767">
        <f>0.3%/1.1</f>
        <v>2.7272727272727271E-3</v>
      </c>
      <c r="AE673" s="675" t="e">
        <f t="shared" si="243"/>
        <v>#REF!</v>
      </c>
      <c r="AF673" s="767">
        <f>0.3%/1.1</f>
        <v>2.7272727272727271E-3</v>
      </c>
      <c r="AL673" s="489"/>
      <c r="AM673" s="489"/>
      <c r="AN673" s="489"/>
      <c r="AO673" s="489"/>
      <c r="AP673" s="489"/>
      <c r="AQ673" s="489"/>
      <c r="AR673" s="489"/>
      <c r="AS673" s="489"/>
    </row>
    <row r="674" spans="1:45" s="484" customFormat="1" ht="14.5">
      <c r="A674" s="695" t="s">
        <v>1293</v>
      </c>
      <c r="B674" s="647"/>
      <c r="C674" s="644"/>
      <c r="D674" s="644"/>
      <c r="E674" s="493">
        <f t="shared" si="244"/>
        <v>7222876.9555484448</v>
      </c>
      <c r="F674" s="763">
        <v>1.4999999999999999E-2</v>
      </c>
      <c r="G674" s="493">
        <f t="shared" si="245"/>
        <v>13303427.782903314</v>
      </c>
      <c r="H674" s="493">
        <f t="shared" si="245"/>
        <v>13239127.801162498</v>
      </c>
      <c r="I674" s="493">
        <f t="shared" si="245"/>
        <v>13239127.801162498</v>
      </c>
      <c r="J674" s="493">
        <f t="shared" si="245"/>
        <v>13239127.801162498</v>
      </c>
      <c r="K674" s="493">
        <f t="shared" si="245"/>
        <v>13239127.801162498</v>
      </c>
      <c r="L674" s="493">
        <f t="shared" si="245"/>
        <v>13239127.801162498</v>
      </c>
      <c r="M674" s="493">
        <f t="shared" si="245"/>
        <v>13239127.801162498</v>
      </c>
      <c r="N674" s="493">
        <f t="shared" si="245"/>
        <v>13239127.801162498</v>
      </c>
      <c r="O674" s="493">
        <f t="shared" si="245"/>
        <v>13239127.801162498</v>
      </c>
      <c r="P674" s="493">
        <f t="shared" si="245"/>
        <v>13239127.801162498</v>
      </c>
      <c r="Q674" s="493">
        <f t="shared" si="245"/>
        <v>13239127.801162498</v>
      </c>
      <c r="R674" s="493">
        <f t="shared" si="237"/>
        <v>13239127.801162498</v>
      </c>
      <c r="S674" s="493">
        <f t="shared" si="238"/>
        <v>13239127.801162498</v>
      </c>
      <c r="T674" s="794"/>
      <c r="V674" s="641">
        <f t="shared" si="239"/>
        <v>158869533.61394998</v>
      </c>
      <c r="W674" s="488"/>
      <c r="X674" s="1016"/>
      <c r="Y674" s="675">
        <f t="shared" si="240"/>
        <v>353863636.36363631</v>
      </c>
      <c r="Z674" s="767">
        <f>0.3%/1.1</f>
        <v>2.7272727272727271E-3</v>
      </c>
      <c r="AA674" s="675">
        <f t="shared" si="241"/>
        <v>0</v>
      </c>
      <c r="AB674" s="767">
        <f>0.3%/1.1</f>
        <v>2.7272727272727271E-3</v>
      </c>
      <c r="AC674" s="675">
        <f t="shared" si="242"/>
        <v>0</v>
      </c>
      <c r="AD674" s="767">
        <f>0.3%/1.1</f>
        <v>2.7272727272727271E-3</v>
      </c>
      <c r="AE674" s="675">
        <f t="shared" si="243"/>
        <v>0</v>
      </c>
      <c r="AF674" s="767">
        <f>0.3%/1.1</f>
        <v>2.7272727272727271E-3</v>
      </c>
      <c r="AL674" s="489"/>
      <c r="AM674" s="489"/>
      <c r="AN674" s="489"/>
      <c r="AO674" s="489"/>
      <c r="AP674" s="489"/>
      <c r="AQ674" s="489"/>
      <c r="AR674" s="489"/>
      <c r="AS674" s="489"/>
    </row>
    <row r="675" spans="1:45" s="484" customFormat="1" ht="14.5">
      <c r="A675" s="695" t="s">
        <v>1294</v>
      </c>
      <c r="B675" s="647"/>
      <c r="C675" s="644"/>
      <c r="D675" s="644"/>
      <c r="E675" s="493">
        <f t="shared" si="244"/>
        <v>33530938.440893747</v>
      </c>
      <c r="F675" s="763">
        <v>6.4999999999999997E-3</v>
      </c>
      <c r="G675" s="493">
        <f t="shared" si="245"/>
        <v>155484303.02639362</v>
      </c>
      <c r="H675" s="493">
        <f t="shared" si="245"/>
        <v>187991074.02555028</v>
      </c>
      <c r="I675" s="493">
        <f t="shared" si="245"/>
        <v>209156699.02555028</v>
      </c>
      <c r="J675" s="493">
        <f t="shared" si="245"/>
        <v>231568157.35888362</v>
      </c>
      <c r="K675" s="493">
        <f t="shared" si="245"/>
        <v>253979615.69221693</v>
      </c>
      <c r="L675" s="493">
        <f t="shared" si="245"/>
        <v>276851490.69221687</v>
      </c>
      <c r="M675" s="493">
        <f t="shared" si="245"/>
        <v>300725449.02555019</v>
      </c>
      <c r="N675" s="493">
        <f t="shared" si="245"/>
        <v>323053896.94221687</v>
      </c>
      <c r="O675" s="493">
        <f t="shared" si="245"/>
        <v>343825188.60888344</v>
      </c>
      <c r="P675" s="493">
        <f t="shared" si="245"/>
        <v>364596480.27555013</v>
      </c>
      <c r="Q675" s="493">
        <f t="shared" si="245"/>
        <v>381951751.10888344</v>
      </c>
      <c r="R675" s="493">
        <f t="shared" si="237"/>
        <v>396150188.60888344</v>
      </c>
      <c r="S675" s="493">
        <f t="shared" si="238"/>
        <v>410348626.10888344</v>
      </c>
      <c r="T675" s="794"/>
      <c r="V675" s="641">
        <f t="shared" si="239"/>
        <v>3680198617.4732685</v>
      </c>
      <c r="W675" s="488"/>
      <c r="X675" s="1016"/>
      <c r="Y675" s="675">
        <f t="shared" si="240"/>
        <v>568848202.57385445</v>
      </c>
      <c r="Z675" s="767">
        <f>0.3%/1.1</f>
        <v>2.7272727272727271E-3</v>
      </c>
      <c r="AA675" s="675">
        <f t="shared" si="241"/>
        <v>0</v>
      </c>
      <c r="AB675" s="767">
        <f>0.3%/1.1</f>
        <v>2.7272727272727271E-3</v>
      </c>
      <c r="AC675" s="675">
        <f t="shared" si="242"/>
        <v>0</v>
      </c>
      <c r="AD675" s="767">
        <f>0.3%/1.1</f>
        <v>2.7272727272727271E-3</v>
      </c>
      <c r="AE675" s="675">
        <f t="shared" si="243"/>
        <v>0</v>
      </c>
      <c r="AF675" s="767">
        <f>0.3%/1.1</f>
        <v>2.7272727272727271E-3</v>
      </c>
      <c r="AL675" s="489"/>
      <c r="AM675" s="489"/>
      <c r="AN675" s="489"/>
      <c r="AO675" s="489"/>
      <c r="AP675" s="489"/>
      <c r="AQ675" s="489"/>
      <c r="AR675" s="489"/>
      <c r="AS675" s="489"/>
    </row>
    <row r="676" spans="1:45" s="484" customFormat="1" ht="14.5">
      <c r="A676" s="695" t="s">
        <v>1295</v>
      </c>
      <c r="B676" s="647"/>
      <c r="C676" s="644"/>
      <c r="D676" s="644"/>
      <c r="E676" s="493">
        <f t="shared" si="244"/>
        <v>10248537.103894835</v>
      </c>
      <c r="F676" s="763">
        <v>6.4999999999999997E-3</v>
      </c>
      <c r="G676" s="493">
        <f t="shared" si="245"/>
        <v>26402135.275617965</v>
      </c>
      <c r="H676" s="493">
        <f t="shared" si="245"/>
        <v>34016197.513316728</v>
      </c>
      <c r="I676" s="493">
        <f t="shared" si="245"/>
        <v>38693489.179983392</v>
      </c>
      <c r="J676" s="493">
        <f t="shared" si="245"/>
        <v>43695780.846650064</v>
      </c>
      <c r="K676" s="493">
        <f t="shared" si="245"/>
        <v>48517516.957761168</v>
      </c>
      <c r="L676" s="493">
        <f t="shared" si="245"/>
        <v>53321197.513316728</v>
      </c>
      <c r="M676" s="493">
        <f t="shared" si="245"/>
        <v>58287378.068872288</v>
      </c>
      <c r="N676" s="493">
        <f t="shared" si="245"/>
        <v>62803623.207761176</v>
      </c>
      <c r="O676" s="493">
        <f t="shared" si="245"/>
        <v>66975937.096650064</v>
      </c>
      <c r="P676" s="493">
        <f t="shared" si="245"/>
        <v>71202417.652205616</v>
      </c>
      <c r="Q676" s="493">
        <f t="shared" si="245"/>
        <v>74601249.596650064</v>
      </c>
      <c r="R676" s="493">
        <f t="shared" si="237"/>
        <v>77224270.429983392</v>
      </c>
      <c r="S676" s="493">
        <f t="shared" si="238"/>
        <v>79847291.263316721</v>
      </c>
      <c r="T676" s="794"/>
      <c r="V676" s="641">
        <f t="shared" si="239"/>
        <v>709186349.32646739</v>
      </c>
      <c r="W676" s="488"/>
      <c r="X676" s="1016"/>
      <c r="Y676" s="675"/>
      <c r="Z676" s="767"/>
      <c r="AA676" s="675"/>
      <c r="AB676" s="767"/>
      <c r="AC676" s="675"/>
      <c r="AD676" s="767"/>
      <c r="AE676" s="675"/>
      <c r="AF676" s="767"/>
      <c r="AL676" s="489"/>
      <c r="AM676" s="489"/>
      <c r="AN676" s="489"/>
      <c r="AO676" s="489"/>
      <c r="AP676" s="489"/>
      <c r="AQ676" s="489"/>
      <c r="AR676" s="489"/>
      <c r="AS676" s="489"/>
    </row>
    <row r="677" spans="1:45" s="484" customFormat="1" ht="14.5">
      <c r="A677" s="695" t="s">
        <v>1296</v>
      </c>
      <c r="B677" s="647"/>
      <c r="C677" s="644"/>
      <c r="D677" s="644"/>
      <c r="E677" s="493">
        <f t="shared" si="244"/>
        <v>3009616.7155649876</v>
      </c>
      <c r="F677" s="763">
        <v>3.0000000000000001E-3</v>
      </c>
      <c r="G677" s="493">
        <f t="shared" si="245"/>
        <v>7011597.2416291544</v>
      </c>
      <c r="H677" s="493">
        <f t="shared" si="245"/>
        <v>6996216.0886191623</v>
      </c>
      <c r="I677" s="493">
        <f t="shared" si="245"/>
        <v>6996216.0886191623</v>
      </c>
      <c r="J677" s="493">
        <f t="shared" si="245"/>
        <v>11902466.088619163</v>
      </c>
      <c r="K677" s="493">
        <f t="shared" si="245"/>
        <v>16808716.088619165</v>
      </c>
      <c r="L677" s="493">
        <f t="shared" si="245"/>
        <v>16808716.088619165</v>
      </c>
      <c r="M677" s="493">
        <f t="shared" si="245"/>
        <v>16808716.088619165</v>
      </c>
      <c r="N677" s="493">
        <f t="shared" si="245"/>
        <v>29308716.088619165</v>
      </c>
      <c r="O677" s="493">
        <f t="shared" si="245"/>
        <v>41808716.088619158</v>
      </c>
      <c r="P677" s="493">
        <f t="shared" si="245"/>
        <v>41808716.088619158</v>
      </c>
      <c r="Q677" s="1034">
        <f t="shared" si="245"/>
        <v>54308716.088619158</v>
      </c>
      <c r="R677" s="493">
        <f t="shared" si="237"/>
        <v>66808716.088619158</v>
      </c>
      <c r="S677" s="493">
        <f t="shared" si="238"/>
        <v>66808716.088619158</v>
      </c>
      <c r="T677" s="794">
        <f>SUM(H677:R687)</f>
        <v>1879944801.428616</v>
      </c>
      <c r="V677" s="641">
        <f t="shared" si="239"/>
        <v>2257118144.4920459</v>
      </c>
      <c r="W677" s="488"/>
      <c r="X677" s="1016"/>
      <c r="Y677" s="675"/>
      <c r="Z677" s="767"/>
      <c r="AA677" s="675"/>
      <c r="AB677" s="767"/>
      <c r="AC677" s="675"/>
      <c r="AD677" s="767"/>
      <c r="AE677" s="675"/>
      <c r="AF677" s="767"/>
      <c r="AL677" s="489"/>
      <c r="AM677" s="489"/>
      <c r="AN677" s="489"/>
      <c r="AO677" s="489"/>
      <c r="AP677" s="489"/>
      <c r="AQ677" s="489"/>
      <c r="AR677" s="489"/>
      <c r="AS677" s="489"/>
    </row>
    <row r="678" spans="1:45" s="484" customFormat="1" ht="14.5">
      <c r="A678" s="695" t="s">
        <v>1297</v>
      </c>
      <c r="B678" s="647"/>
      <c r="C678" s="644"/>
      <c r="D678" s="644"/>
      <c r="E678" s="493">
        <f t="shared" si="244"/>
        <v>2955876.5102615757</v>
      </c>
      <c r="F678" s="763">
        <v>6.8000000000000005E-4</v>
      </c>
      <c r="G678" s="493">
        <f t="shared" si="245"/>
        <v>5780123.9513253178</v>
      </c>
      <c r="H678" s="493">
        <f t="shared" si="245"/>
        <v>5804393.3282574741</v>
      </c>
      <c r="I678" s="493">
        <f t="shared" si="245"/>
        <v>5804393.3282574741</v>
      </c>
      <c r="J678" s="493">
        <f t="shared" si="245"/>
        <v>5804393.3282574741</v>
      </c>
      <c r="K678" s="493">
        <f t="shared" si="245"/>
        <v>5804393.3282574741</v>
      </c>
      <c r="L678" s="493">
        <f t="shared" si="245"/>
        <v>5804393.3282574741</v>
      </c>
      <c r="M678" s="493">
        <f t="shared" si="245"/>
        <v>5804393.3282574741</v>
      </c>
      <c r="N678" s="493">
        <f t="shared" si="245"/>
        <v>5804393.3282574741</v>
      </c>
      <c r="O678" s="493">
        <f t="shared" si="245"/>
        <v>5804393.3282574741</v>
      </c>
      <c r="P678" s="493">
        <f t="shared" si="245"/>
        <v>5804393.3282574741</v>
      </c>
      <c r="Q678" s="1034">
        <f t="shared" si="245"/>
        <v>5804393.3282574741</v>
      </c>
      <c r="R678" s="493">
        <f t="shared" si="237"/>
        <v>5804393.3282574741</v>
      </c>
      <c r="S678" s="493">
        <f t="shared" si="238"/>
        <v>5804393.3282574741</v>
      </c>
      <c r="T678" s="794"/>
      <c r="V678" s="641">
        <f t="shared" si="239"/>
        <v>69652719.939089671</v>
      </c>
      <c r="W678" s="488"/>
      <c r="X678" s="1016"/>
      <c r="Y678" s="675"/>
      <c r="Z678" s="767"/>
      <c r="AA678" s="675"/>
      <c r="AB678" s="767"/>
      <c r="AC678" s="675"/>
      <c r="AD678" s="767"/>
      <c r="AE678" s="675"/>
      <c r="AF678" s="767"/>
      <c r="AL678" s="489"/>
      <c r="AM678" s="489"/>
      <c r="AN678" s="489"/>
      <c r="AO678" s="489"/>
      <c r="AP678" s="489"/>
      <c r="AQ678" s="489"/>
      <c r="AR678" s="489"/>
      <c r="AS678" s="489"/>
    </row>
    <row r="679" spans="1:45" s="484" customFormat="1" ht="14.5">
      <c r="A679" s="695" t="s">
        <v>1298</v>
      </c>
      <c r="B679" s="647"/>
      <c r="C679" s="644"/>
      <c r="D679" s="644"/>
      <c r="E679" s="493">
        <f t="shared" si="244"/>
        <v>6798069.5053866664</v>
      </c>
      <c r="F679" s="763">
        <v>6.8000000000000005E-4</v>
      </c>
      <c r="G679" s="493">
        <f t="shared" si="245"/>
        <v>13233732.5870761</v>
      </c>
      <c r="H679" s="493">
        <f t="shared" si="245"/>
        <v>12871326.163378866</v>
      </c>
      <c r="I679" s="493">
        <f t="shared" si="245"/>
        <v>12871326.163378866</v>
      </c>
      <c r="J679" s="493">
        <f t="shared" si="245"/>
        <v>12871326.163378866</v>
      </c>
      <c r="K679" s="493">
        <f t="shared" si="245"/>
        <v>12871326.163378866</v>
      </c>
      <c r="L679" s="493">
        <f t="shared" si="245"/>
        <v>12871326.163378866</v>
      </c>
      <c r="M679" s="493">
        <f t="shared" si="245"/>
        <v>12871326.163378866</v>
      </c>
      <c r="N679" s="493">
        <f t="shared" si="245"/>
        <v>12871326.163378866</v>
      </c>
      <c r="O679" s="493">
        <f t="shared" si="245"/>
        <v>12871326.163378866</v>
      </c>
      <c r="P679" s="493">
        <f t="shared" si="245"/>
        <v>12871326.163378866</v>
      </c>
      <c r="Q679" s="1034">
        <f t="shared" si="245"/>
        <v>12871326.163378866</v>
      </c>
      <c r="R679" s="493">
        <f t="shared" si="237"/>
        <v>12871326.163378866</v>
      </c>
      <c r="S679" s="493">
        <f t="shared" si="238"/>
        <v>12871326.163378866</v>
      </c>
      <c r="T679" s="794"/>
      <c r="V679" s="641">
        <f t="shared" si="239"/>
        <v>154455913.9605464</v>
      </c>
      <c r="W679" s="488"/>
      <c r="X679" s="1016"/>
      <c r="Y679" s="675"/>
      <c r="Z679" s="767"/>
      <c r="AA679" s="675"/>
      <c r="AB679" s="767"/>
      <c r="AC679" s="675"/>
      <c r="AD679" s="767"/>
      <c r="AE679" s="675"/>
      <c r="AF679" s="767"/>
      <c r="AL679" s="489"/>
      <c r="AM679" s="489"/>
      <c r="AN679" s="489"/>
      <c r="AO679" s="489"/>
      <c r="AP679" s="489"/>
      <c r="AQ679" s="489"/>
      <c r="AR679" s="489"/>
      <c r="AS679" s="489"/>
    </row>
    <row r="680" spans="1:45" s="484" customFormat="1" ht="14.5">
      <c r="A680" s="695" t="s">
        <v>1299</v>
      </c>
      <c r="B680" s="647"/>
      <c r="C680" s="644"/>
      <c r="D680" s="644"/>
      <c r="E680" s="493">
        <f t="shared" si="244"/>
        <v>7221729.2153664492</v>
      </c>
      <c r="F680" s="763">
        <v>2.7000000000000001E-3</v>
      </c>
      <c r="G680" s="493">
        <f t="shared" si="245"/>
        <v>15180567.932832342</v>
      </c>
      <c r="H680" s="493">
        <f t="shared" si="245"/>
        <v>15298668.898827415</v>
      </c>
      <c r="I680" s="493">
        <f t="shared" si="245"/>
        <v>15298668.898827415</v>
      </c>
      <c r="J680" s="493">
        <f t="shared" si="245"/>
        <v>15298668.898827415</v>
      </c>
      <c r="K680" s="493">
        <f t="shared" si="245"/>
        <v>15298668.898827415</v>
      </c>
      <c r="L680" s="493">
        <f t="shared" si="245"/>
        <v>15298668.898827415</v>
      </c>
      <c r="M680" s="493">
        <f t="shared" si="245"/>
        <v>15298668.898827415</v>
      </c>
      <c r="N680" s="493">
        <f t="shared" si="245"/>
        <v>15298668.898827415</v>
      </c>
      <c r="O680" s="493">
        <f t="shared" si="245"/>
        <v>15298668.898827415</v>
      </c>
      <c r="P680" s="493">
        <f t="shared" si="245"/>
        <v>15298668.898827415</v>
      </c>
      <c r="Q680" s="1034">
        <f t="shared" si="245"/>
        <v>15298668.898827415</v>
      </c>
      <c r="R680" s="493">
        <f t="shared" si="237"/>
        <v>15298668.898827415</v>
      </c>
      <c r="S680" s="493">
        <f t="shared" si="238"/>
        <v>15298668.898827415</v>
      </c>
      <c r="T680" s="794"/>
      <c r="V680" s="641">
        <f t="shared" si="239"/>
        <v>183584026.78592896</v>
      </c>
      <c r="W680" s="488"/>
      <c r="X680" s="1016"/>
      <c r="Y680" s="675"/>
      <c r="Z680" s="767"/>
      <c r="AA680" s="675"/>
      <c r="AB680" s="767"/>
      <c r="AC680" s="675"/>
      <c r="AD680" s="767"/>
      <c r="AE680" s="675"/>
      <c r="AF680" s="767"/>
      <c r="AL680" s="489"/>
      <c r="AM680" s="489"/>
      <c r="AN680" s="489"/>
      <c r="AO680" s="489"/>
      <c r="AP680" s="489"/>
      <c r="AQ680" s="489"/>
      <c r="AR680" s="489"/>
      <c r="AS680" s="489"/>
    </row>
    <row r="681" spans="1:45" s="484" customFormat="1" ht="14.5">
      <c r="A681" s="695" t="s">
        <v>1300</v>
      </c>
      <c r="B681" s="647"/>
      <c r="C681" s="644"/>
      <c r="D681" s="644"/>
      <c r="E681" s="493">
        <f t="shared" si="244"/>
        <v>3587490.2296999996</v>
      </c>
      <c r="F681" s="763">
        <v>8.1999999999999998E-4</v>
      </c>
      <c r="G681" s="493">
        <f t="shared" si="245"/>
        <v>7191282.6041874997</v>
      </c>
      <c r="H681" s="493">
        <f t="shared" si="245"/>
        <v>7207584.7489750003</v>
      </c>
      <c r="I681" s="493">
        <f t="shared" si="245"/>
        <v>7207584.7489750003</v>
      </c>
      <c r="J681" s="493">
        <f t="shared" si="245"/>
        <v>7207584.7489750003</v>
      </c>
      <c r="K681" s="493">
        <f t="shared" si="245"/>
        <v>7207584.7489750003</v>
      </c>
      <c r="L681" s="493">
        <f t="shared" si="245"/>
        <v>7207584.7489750003</v>
      </c>
      <c r="M681" s="493">
        <f t="shared" si="245"/>
        <v>7207584.7489750003</v>
      </c>
      <c r="N681" s="493">
        <f t="shared" si="245"/>
        <v>7207584.7489750003</v>
      </c>
      <c r="O681" s="493">
        <f t="shared" si="245"/>
        <v>7207584.7489750003</v>
      </c>
      <c r="P681" s="493">
        <f t="shared" si="245"/>
        <v>7207584.7489750003</v>
      </c>
      <c r="Q681" s="1034">
        <f t="shared" si="245"/>
        <v>7207584.7489750003</v>
      </c>
      <c r="R681" s="493">
        <f t="shared" si="237"/>
        <v>7207584.7489750003</v>
      </c>
      <c r="S681" s="493">
        <f t="shared" si="238"/>
        <v>7207584.7489750003</v>
      </c>
      <c r="T681" s="794"/>
      <c r="V681" s="641">
        <f t="shared" si="239"/>
        <v>86491016.987699986</v>
      </c>
      <c r="W681" s="488"/>
      <c r="X681" s="1016"/>
      <c r="Y681" s="675"/>
      <c r="Z681" s="767"/>
      <c r="AA681" s="675"/>
      <c r="AB681" s="767"/>
      <c r="AC681" s="675"/>
      <c r="AD681" s="767"/>
      <c r="AE681" s="675"/>
      <c r="AF681" s="767"/>
      <c r="AL681" s="489"/>
      <c r="AM681" s="489"/>
      <c r="AN681" s="489"/>
      <c r="AO681" s="489"/>
      <c r="AP681" s="489"/>
      <c r="AQ681" s="489"/>
      <c r="AR681" s="489"/>
      <c r="AS681" s="489"/>
    </row>
    <row r="682" spans="1:45" s="484" customFormat="1" ht="14.5">
      <c r="A682" s="695" t="s">
        <v>1301</v>
      </c>
      <c r="B682" s="647"/>
      <c r="C682" s="644"/>
      <c r="D682" s="644"/>
      <c r="E682" s="493">
        <f t="shared" si="244"/>
        <v>0</v>
      </c>
      <c r="F682" s="763">
        <v>6.9300000000000004E-3</v>
      </c>
      <c r="G682" s="493">
        <f t="shared" si="245"/>
        <v>0</v>
      </c>
      <c r="H682" s="493">
        <f t="shared" si="245"/>
        <v>0</v>
      </c>
      <c r="I682" s="493">
        <f t="shared" si="245"/>
        <v>0</v>
      </c>
      <c r="J682" s="493">
        <f t="shared" si="245"/>
        <v>0</v>
      </c>
      <c r="K682" s="493">
        <f t="shared" si="245"/>
        <v>0</v>
      </c>
      <c r="L682" s="493">
        <f t="shared" si="245"/>
        <v>0</v>
      </c>
      <c r="M682" s="493">
        <f t="shared" si="245"/>
        <v>0</v>
      </c>
      <c r="N682" s="493">
        <f t="shared" si="245"/>
        <v>0</v>
      </c>
      <c r="O682" s="493">
        <f t="shared" si="245"/>
        <v>0</v>
      </c>
      <c r="P682" s="493">
        <f t="shared" si="245"/>
        <v>0</v>
      </c>
      <c r="Q682" s="1034">
        <f t="shared" si="245"/>
        <v>0</v>
      </c>
      <c r="R682" s="493">
        <f t="shared" si="237"/>
        <v>0</v>
      </c>
      <c r="S682" s="493">
        <f t="shared" si="238"/>
        <v>0</v>
      </c>
      <c r="T682" s="794"/>
      <c r="V682" s="641">
        <f t="shared" si="239"/>
        <v>0</v>
      </c>
      <c r="W682" s="488"/>
      <c r="X682" s="1016"/>
      <c r="Y682" s="675"/>
      <c r="Z682" s="767"/>
      <c r="AA682" s="675"/>
      <c r="AB682" s="767"/>
      <c r="AC682" s="675"/>
      <c r="AD682" s="767"/>
      <c r="AE682" s="675"/>
      <c r="AF682" s="767"/>
      <c r="AL682" s="489"/>
      <c r="AM682" s="489"/>
      <c r="AN682" s="489"/>
      <c r="AO682" s="489"/>
      <c r="AP682" s="489"/>
      <c r="AQ682" s="489"/>
      <c r="AR682" s="489"/>
      <c r="AS682" s="489"/>
    </row>
    <row r="683" spans="1:45" s="484" customFormat="1" ht="14.5">
      <c r="A683" s="695" t="s">
        <v>1302</v>
      </c>
      <c r="B683" s="647"/>
      <c r="C683" s="644"/>
      <c r="D683" s="644"/>
      <c r="E683" s="493">
        <f t="shared" si="244"/>
        <v>8965438.9542900007</v>
      </c>
      <c r="F683" s="763">
        <v>1.5E-3</v>
      </c>
      <c r="G683" s="493">
        <f t="shared" si="245"/>
        <v>17898712.245546874</v>
      </c>
      <c r="H683" s="493">
        <f t="shared" si="245"/>
        <v>17866546.58251375</v>
      </c>
      <c r="I683" s="493">
        <f t="shared" si="245"/>
        <v>17866546.58251375</v>
      </c>
      <c r="J683" s="493">
        <f t="shared" si="245"/>
        <v>17866546.58251375</v>
      </c>
      <c r="K683" s="493">
        <f t="shared" si="245"/>
        <v>17866546.58251375</v>
      </c>
      <c r="L683" s="493">
        <f t="shared" si="245"/>
        <v>17866546.58251375</v>
      </c>
      <c r="M683" s="493">
        <f t="shared" si="245"/>
        <v>17866546.58251375</v>
      </c>
      <c r="N683" s="493">
        <f t="shared" si="245"/>
        <v>17866546.58251375</v>
      </c>
      <c r="O683" s="493">
        <f t="shared" si="245"/>
        <v>17866546.58251375</v>
      </c>
      <c r="P683" s="493">
        <f t="shared" si="245"/>
        <v>17866546.58251375</v>
      </c>
      <c r="Q683" s="1034">
        <f t="shared" si="245"/>
        <v>17866546.58251375</v>
      </c>
      <c r="R683" s="493">
        <f t="shared" si="237"/>
        <v>17866546.58251375</v>
      </c>
      <c r="S683" s="493">
        <f t="shared" si="238"/>
        <v>17866546.58251375</v>
      </c>
      <c r="T683" s="794"/>
      <c r="V683" s="641">
        <f t="shared" si="239"/>
        <v>214398558.990165</v>
      </c>
      <c r="W683" s="488"/>
      <c r="X683" s="1016"/>
      <c r="Y683" s="675"/>
      <c r="Z683" s="767"/>
      <c r="AA683" s="675"/>
      <c r="AB683" s="767"/>
      <c r="AC683" s="675"/>
      <c r="AD683" s="767"/>
      <c r="AE683" s="675"/>
      <c r="AF683" s="767"/>
      <c r="AL683" s="489"/>
      <c r="AM683" s="489"/>
      <c r="AN683" s="489"/>
      <c r="AO683" s="489"/>
      <c r="AP683" s="489"/>
      <c r="AQ683" s="489"/>
      <c r="AR683" s="489"/>
      <c r="AS683" s="489"/>
    </row>
    <row r="684" spans="1:45" s="484" customFormat="1" ht="14.5">
      <c r="A684" s="695" t="s">
        <v>1303</v>
      </c>
      <c r="B684" s="647"/>
      <c r="C684" s="644"/>
      <c r="D684" s="644"/>
      <c r="E684" s="493">
        <f t="shared" si="244"/>
        <v>15087604.6875</v>
      </c>
      <c r="F684" s="763">
        <v>1.5E-3</v>
      </c>
      <c r="G684" s="493">
        <f t="shared" si="245"/>
        <v>30042355.625</v>
      </c>
      <c r="H684" s="493">
        <f t="shared" si="245"/>
        <v>29909501.875</v>
      </c>
      <c r="I684" s="493">
        <f t="shared" si="245"/>
        <v>29909501.875</v>
      </c>
      <c r="J684" s="493">
        <f t="shared" si="245"/>
        <v>29909501.875</v>
      </c>
      <c r="K684" s="493">
        <f t="shared" si="245"/>
        <v>29909501.875</v>
      </c>
      <c r="L684" s="493">
        <f t="shared" si="245"/>
        <v>29909501.875</v>
      </c>
      <c r="M684" s="493">
        <f t="shared" si="245"/>
        <v>29909501.875</v>
      </c>
      <c r="N684" s="493">
        <f t="shared" si="245"/>
        <v>29909501.875</v>
      </c>
      <c r="O684" s="493">
        <f t="shared" si="245"/>
        <v>29909501.875</v>
      </c>
      <c r="P684" s="493">
        <f t="shared" si="245"/>
        <v>29909501.875</v>
      </c>
      <c r="Q684" s="1034">
        <f t="shared" si="245"/>
        <v>29909501.875</v>
      </c>
      <c r="R684" s="493">
        <f t="shared" si="237"/>
        <v>29909501.875</v>
      </c>
      <c r="S684" s="493">
        <f t="shared" si="238"/>
        <v>29909501.875</v>
      </c>
      <c r="T684" s="794"/>
      <c r="V684" s="641">
        <f t="shared" si="239"/>
        <v>358914022.5</v>
      </c>
      <c r="W684" s="488"/>
      <c r="X684" s="1016"/>
      <c r="Y684" s="675"/>
      <c r="Z684" s="767"/>
      <c r="AA684" s="675"/>
      <c r="AB684" s="767"/>
      <c r="AC684" s="675"/>
      <c r="AD684" s="767"/>
      <c r="AE684" s="675"/>
      <c r="AF684" s="767"/>
      <c r="AL684" s="489"/>
      <c r="AM684" s="489"/>
      <c r="AN684" s="489"/>
      <c r="AO684" s="489"/>
      <c r="AP684" s="489"/>
      <c r="AQ684" s="489"/>
      <c r="AR684" s="489"/>
      <c r="AS684" s="489"/>
    </row>
    <row r="685" spans="1:45" s="484" customFormat="1" ht="14.5">
      <c r="A685" s="695" t="s">
        <v>1304</v>
      </c>
      <c r="B685" s="647"/>
      <c r="C685" s="644"/>
      <c r="D685" s="644"/>
      <c r="E685" s="493">
        <f t="shared" si="244"/>
        <v>9733372.4112500008</v>
      </c>
      <c r="F685" s="763">
        <v>1.5E-3</v>
      </c>
      <c r="G685" s="493">
        <f t="shared" si="245"/>
        <v>14848306.571562501</v>
      </c>
      <c r="H685" s="493">
        <f t="shared" si="245"/>
        <v>14852814.015000001</v>
      </c>
      <c r="I685" s="493">
        <f t="shared" si="245"/>
        <v>14852814.015000001</v>
      </c>
      <c r="J685" s="493">
        <f t="shared" si="245"/>
        <v>14852814.015000001</v>
      </c>
      <c r="K685" s="493">
        <f t="shared" si="245"/>
        <v>14852814.015000001</v>
      </c>
      <c r="L685" s="493">
        <f t="shared" si="245"/>
        <v>14852814.015000001</v>
      </c>
      <c r="M685" s="493">
        <f t="shared" si="245"/>
        <v>14852814.015000001</v>
      </c>
      <c r="N685" s="493">
        <f t="shared" si="245"/>
        <v>14852814.015000001</v>
      </c>
      <c r="O685" s="493">
        <f t="shared" si="245"/>
        <v>14852814.015000001</v>
      </c>
      <c r="P685" s="493">
        <f t="shared" si="245"/>
        <v>14852814.015000001</v>
      </c>
      <c r="Q685" s="1034">
        <f t="shared" si="245"/>
        <v>14852814.015000001</v>
      </c>
      <c r="R685" s="493">
        <f t="shared" si="237"/>
        <v>14852814.015000001</v>
      </c>
      <c r="S685" s="493">
        <f t="shared" si="238"/>
        <v>14852814.015000001</v>
      </c>
      <c r="T685" s="794"/>
      <c r="V685" s="641">
        <f t="shared" si="239"/>
        <v>178233768.18000001</v>
      </c>
      <c r="W685" s="488"/>
      <c r="X685" s="1016"/>
      <c r="Y685" s="675"/>
      <c r="Z685" s="767"/>
      <c r="AA685" s="675"/>
      <c r="AB685" s="767"/>
      <c r="AC685" s="675"/>
      <c r="AD685" s="767"/>
      <c r="AE685" s="675"/>
      <c r="AF685" s="767"/>
      <c r="AL685" s="489"/>
      <c r="AM685" s="489"/>
      <c r="AN685" s="489"/>
      <c r="AO685" s="489"/>
      <c r="AP685" s="489"/>
      <c r="AQ685" s="489"/>
      <c r="AR685" s="489"/>
      <c r="AS685" s="489"/>
    </row>
    <row r="686" spans="1:45" s="484" customFormat="1" ht="14.5">
      <c r="A686" s="695" t="s">
        <v>1305</v>
      </c>
      <c r="B686" s="647"/>
      <c r="C686" s="644"/>
      <c r="D686" s="644"/>
      <c r="E686" s="493">
        <f t="shared" si="244"/>
        <v>0</v>
      </c>
      <c r="F686" s="763">
        <v>1.75E-3</v>
      </c>
      <c r="G686" s="493">
        <f t="shared" si="245"/>
        <v>2300778.0796874999</v>
      </c>
      <c r="H686" s="493">
        <f t="shared" si="245"/>
        <v>4601556.1593749998</v>
      </c>
      <c r="I686" s="493">
        <f t="shared" si="245"/>
        <v>4601556.1593749998</v>
      </c>
      <c r="J686" s="493">
        <f t="shared" si="245"/>
        <v>4601556.1593749998</v>
      </c>
      <c r="K686" s="493">
        <f t="shared" si="245"/>
        <v>4601556.1593749998</v>
      </c>
      <c r="L686" s="493">
        <f t="shared" si="245"/>
        <v>4601556.1593749998</v>
      </c>
      <c r="M686" s="493">
        <f t="shared" si="245"/>
        <v>4601556.1593749998</v>
      </c>
      <c r="N686" s="493">
        <f t="shared" si="245"/>
        <v>4601556.1593749998</v>
      </c>
      <c r="O686" s="493">
        <f t="shared" si="245"/>
        <v>4601556.1593749998</v>
      </c>
      <c r="P686" s="493">
        <f t="shared" si="245"/>
        <v>4601556.1593749998</v>
      </c>
      <c r="Q686" s="1034">
        <f t="shared" si="245"/>
        <v>4601556.1593749998</v>
      </c>
      <c r="R686" s="493">
        <f t="shared" si="237"/>
        <v>4601556.1593749998</v>
      </c>
      <c r="S686" s="493">
        <f t="shared" si="238"/>
        <v>4601556.1593749998</v>
      </c>
      <c r="T686" s="794"/>
      <c r="V686" s="641">
        <f t="shared" si="239"/>
        <v>55218673.912499987</v>
      </c>
      <c r="W686" s="488"/>
      <c r="X686" s="1016"/>
      <c r="Y686" s="675"/>
      <c r="Z686" s="767"/>
      <c r="AA686" s="675"/>
      <c r="AB686" s="767"/>
      <c r="AC686" s="675"/>
      <c r="AD686" s="767"/>
      <c r="AE686" s="675"/>
      <c r="AF686" s="767"/>
      <c r="AL686" s="489"/>
      <c r="AM686" s="489"/>
      <c r="AN686" s="489"/>
      <c r="AO686" s="489"/>
      <c r="AP686" s="489"/>
      <c r="AQ686" s="489"/>
      <c r="AR686" s="489"/>
      <c r="AS686" s="489"/>
    </row>
    <row r="687" spans="1:45" s="484" customFormat="1" ht="14.5">
      <c r="A687" s="695" t="s">
        <v>1306</v>
      </c>
      <c r="B687" s="647"/>
      <c r="C687" s="644"/>
      <c r="D687" s="644"/>
      <c r="E687" s="493">
        <f t="shared" si="244"/>
        <v>3126436.92</v>
      </c>
      <c r="F687" s="763">
        <v>6.8999999999999999E-3</v>
      </c>
      <c r="G687" s="493">
        <f t="shared" si="245"/>
        <v>30897569.515662499</v>
      </c>
      <c r="H687" s="493">
        <f t="shared" si="245"/>
        <v>34276714.997199997</v>
      </c>
      <c r="I687" s="493">
        <f t="shared" si="245"/>
        <v>34276714.997199997</v>
      </c>
      <c r="J687" s="493">
        <f t="shared" si="245"/>
        <v>34276714.997199997</v>
      </c>
      <c r="K687" s="493">
        <f t="shared" si="245"/>
        <v>34276714.997199997</v>
      </c>
      <c r="L687" s="493">
        <f t="shared" si="245"/>
        <v>34276714.997199997</v>
      </c>
      <c r="M687" s="493">
        <f t="shared" si="245"/>
        <v>34276714.997199997</v>
      </c>
      <c r="N687" s="493">
        <f t="shared" si="245"/>
        <v>34276714.997199997</v>
      </c>
      <c r="O687" s="493">
        <f t="shared" si="245"/>
        <v>34276714.997199997</v>
      </c>
      <c r="P687" s="493">
        <f t="shared" si="245"/>
        <v>34276714.997199997</v>
      </c>
      <c r="Q687" s="1034">
        <f t="shared" si="245"/>
        <v>34276714.997199997</v>
      </c>
      <c r="R687" s="493">
        <f t="shared" si="237"/>
        <v>34276714.997199997</v>
      </c>
      <c r="S687" s="493">
        <f t="shared" si="238"/>
        <v>34276714.997199997</v>
      </c>
      <c r="T687" s="794"/>
      <c r="V687" s="641">
        <f t="shared" si="239"/>
        <v>411320579.96640009</v>
      </c>
      <c r="W687" s="488"/>
      <c r="X687" s="1016"/>
      <c r="Y687" s="675"/>
      <c r="Z687" s="767"/>
      <c r="AA687" s="675"/>
      <c r="AB687" s="767"/>
      <c r="AC687" s="675"/>
      <c r="AD687" s="767"/>
      <c r="AE687" s="675"/>
      <c r="AF687" s="767"/>
      <c r="AL687" s="489"/>
      <c r="AM687" s="489"/>
      <c r="AN687" s="489"/>
      <c r="AO687" s="489"/>
      <c r="AP687" s="489"/>
      <c r="AQ687" s="489"/>
      <c r="AR687" s="489"/>
      <c r="AS687" s="489"/>
    </row>
    <row r="688" spans="1:45" s="484" customFormat="1" ht="14.5">
      <c r="A688" s="695" t="s">
        <v>1307</v>
      </c>
      <c r="B688" s="647"/>
      <c r="C688" s="644"/>
      <c r="D688" s="644"/>
      <c r="E688" s="493">
        <f t="shared" si="244"/>
        <v>0</v>
      </c>
      <c r="F688" s="763">
        <v>1.4999999999999999E-2</v>
      </c>
      <c r="G688" s="493">
        <f t="shared" ref="G688:Q690" si="246">G735+G775+G814+G853+G892+G931+G970+G1009+G1048+G1087</f>
        <v>0</v>
      </c>
      <c r="H688" s="493">
        <f t="shared" si="246"/>
        <v>0</v>
      </c>
      <c r="I688" s="493">
        <f t="shared" si="246"/>
        <v>0</v>
      </c>
      <c r="J688" s="493">
        <f t="shared" si="246"/>
        <v>0</v>
      </c>
      <c r="K688" s="493">
        <f t="shared" si="246"/>
        <v>0</v>
      </c>
      <c r="L688" s="493">
        <f t="shared" si="246"/>
        <v>0</v>
      </c>
      <c r="M688" s="493">
        <f t="shared" si="246"/>
        <v>0</v>
      </c>
      <c r="N688" s="493">
        <f t="shared" si="246"/>
        <v>15625000</v>
      </c>
      <c r="O688" s="493">
        <f t="shared" si="246"/>
        <v>31250000</v>
      </c>
      <c r="P688" s="493">
        <f t="shared" si="246"/>
        <v>31250000</v>
      </c>
      <c r="Q688" s="493">
        <f t="shared" si="246"/>
        <v>31250000</v>
      </c>
      <c r="R688" s="493">
        <f t="shared" si="237"/>
        <v>31250000</v>
      </c>
      <c r="S688" s="493">
        <f t="shared" si="238"/>
        <v>31250000</v>
      </c>
      <c r="T688" s="794"/>
      <c r="V688" s="641">
        <f t="shared" si="239"/>
        <v>171875000</v>
      </c>
      <c r="W688" s="488"/>
      <c r="X688" s="1016"/>
      <c r="Y688" s="675"/>
      <c r="Z688" s="767"/>
      <c r="AA688" s="675"/>
      <c r="AB688" s="767"/>
      <c r="AC688" s="675"/>
      <c r="AD688" s="767"/>
      <c r="AE688" s="675"/>
      <c r="AF688" s="767"/>
      <c r="AL688" s="489"/>
      <c r="AM688" s="489"/>
      <c r="AN688" s="489"/>
      <c r="AO688" s="489"/>
      <c r="AP688" s="489"/>
      <c r="AQ688" s="489"/>
      <c r="AR688" s="489"/>
      <c r="AS688" s="489"/>
    </row>
    <row r="689" spans="1:45" s="484" customFormat="1" ht="14.5">
      <c r="A689" s="695" t="s">
        <v>1308</v>
      </c>
      <c r="B689" s="647"/>
      <c r="C689" s="644"/>
      <c r="D689" s="644"/>
      <c r="E689" s="493">
        <f t="shared" si="244"/>
        <v>26725329.663681701</v>
      </c>
      <c r="F689" s="763">
        <v>1.5E-3</v>
      </c>
      <c r="G689" s="493">
        <f t="shared" si="246"/>
        <v>6250000</v>
      </c>
      <c r="H689" s="493">
        <f t="shared" si="246"/>
        <v>17484375</v>
      </c>
      <c r="I689" s="493">
        <f t="shared" si="246"/>
        <v>22468750</v>
      </c>
      <c r="J689" s="493">
        <f t="shared" si="246"/>
        <v>22468750</v>
      </c>
      <c r="K689" s="493">
        <f t="shared" si="246"/>
        <v>22468750</v>
      </c>
      <c r="L689" s="493">
        <f t="shared" si="246"/>
        <v>22468750</v>
      </c>
      <c r="M689" s="493">
        <f t="shared" si="246"/>
        <v>22468750</v>
      </c>
      <c r="N689" s="493">
        <f t="shared" si="246"/>
        <v>27453125</v>
      </c>
      <c r="O689" s="493">
        <f t="shared" si="246"/>
        <v>32437500</v>
      </c>
      <c r="P689" s="493">
        <f t="shared" si="246"/>
        <v>32437500</v>
      </c>
      <c r="Q689" s="493">
        <f t="shared" si="246"/>
        <v>32437500</v>
      </c>
      <c r="R689" s="493">
        <f t="shared" si="237"/>
        <v>32437500</v>
      </c>
      <c r="S689" s="493">
        <f t="shared" si="238"/>
        <v>32437500</v>
      </c>
      <c r="T689" s="794"/>
      <c r="V689" s="641">
        <f t="shared" si="239"/>
        <v>319468750</v>
      </c>
      <c r="W689" s="488"/>
      <c r="X689" s="1016"/>
      <c r="Y689" s="675"/>
      <c r="Z689" s="767"/>
      <c r="AA689" s="675"/>
      <c r="AB689" s="767"/>
      <c r="AC689" s="675"/>
      <c r="AD689" s="767"/>
      <c r="AE689" s="675"/>
      <c r="AF689" s="767"/>
      <c r="AL689" s="489"/>
      <c r="AM689" s="489"/>
      <c r="AN689" s="489"/>
      <c r="AO689" s="489"/>
      <c r="AP689" s="489"/>
      <c r="AQ689" s="489"/>
      <c r="AR689" s="489"/>
      <c r="AS689" s="489"/>
    </row>
    <row r="690" spans="1:45" s="484" customFormat="1" ht="14.5">
      <c r="A690" s="695" t="s">
        <v>1309</v>
      </c>
      <c r="B690" s="647"/>
      <c r="C690" s="644"/>
      <c r="D690" s="644"/>
      <c r="E690" s="493">
        <f t="shared" si="244"/>
        <v>0</v>
      </c>
      <c r="F690" s="763">
        <v>8.1799999999999998E-3</v>
      </c>
      <c r="G690" s="493">
        <f t="shared" si="246"/>
        <v>142180447.96554285</v>
      </c>
      <c r="H690" s="493">
        <f t="shared" si="246"/>
        <v>284360895.93108571</v>
      </c>
      <c r="I690" s="493">
        <f t="shared" si="246"/>
        <v>284360895.93108571</v>
      </c>
      <c r="J690" s="493">
        <f t="shared" si="246"/>
        <v>284360895.93108571</v>
      </c>
      <c r="K690" s="493">
        <f t="shared" si="246"/>
        <v>284360895.93108571</v>
      </c>
      <c r="L690" s="493">
        <f t="shared" si="246"/>
        <v>284360895.93108571</v>
      </c>
      <c r="M690" s="493">
        <f t="shared" si="246"/>
        <v>284360895.93108571</v>
      </c>
      <c r="N690" s="493">
        <f t="shared" si="246"/>
        <v>284360895.93108571</v>
      </c>
      <c r="O690" s="493">
        <f t="shared" si="246"/>
        <v>284360895.93108571</v>
      </c>
      <c r="P690" s="493">
        <f t="shared" si="246"/>
        <v>284360895.93108571</v>
      </c>
      <c r="Q690" s="493">
        <f t="shared" si="246"/>
        <v>284360895.93108571</v>
      </c>
      <c r="R690" s="493">
        <f t="shared" si="237"/>
        <v>284360895.93108571</v>
      </c>
      <c r="S690" s="493">
        <f t="shared" si="238"/>
        <v>284360895.93108571</v>
      </c>
      <c r="T690" s="794"/>
      <c r="V690" s="641">
        <f t="shared" si="239"/>
        <v>3412330751.1730275</v>
      </c>
      <c r="W690" s="488"/>
      <c r="X690" s="1016"/>
      <c r="Y690" s="675"/>
      <c r="Z690" s="767"/>
      <c r="AA690" s="675"/>
      <c r="AB690" s="767"/>
      <c r="AC690" s="675"/>
      <c r="AD690" s="767"/>
      <c r="AE690" s="675"/>
      <c r="AF690" s="767"/>
      <c r="AL690" s="489"/>
      <c r="AM690" s="489"/>
      <c r="AN690" s="489"/>
      <c r="AO690" s="489"/>
      <c r="AP690" s="489"/>
      <c r="AQ690" s="489"/>
      <c r="AR690" s="489"/>
      <c r="AS690" s="489"/>
    </row>
    <row r="691" spans="1:45" s="484" customFormat="1" ht="14.5">
      <c r="A691" s="695"/>
      <c r="B691" s="647"/>
      <c r="C691" s="644"/>
      <c r="D691" s="644"/>
      <c r="E691" s="644"/>
      <c r="F691" s="768"/>
      <c r="G691" s="493"/>
      <c r="H691" s="493"/>
      <c r="I691" s="493"/>
      <c r="J691" s="493"/>
      <c r="K691" s="493"/>
      <c r="L691" s="493"/>
      <c r="M691" s="493"/>
      <c r="N691" s="493"/>
      <c r="O691" s="493"/>
      <c r="P691" s="493"/>
      <c r="Q691" s="493"/>
      <c r="R691" s="493"/>
      <c r="S691" s="493"/>
      <c r="T691" s="794"/>
      <c r="V691" s="641">
        <f t="shared" si="239"/>
        <v>0</v>
      </c>
      <c r="W691" s="488"/>
      <c r="X691" s="1016"/>
      <c r="Y691" s="675"/>
      <c r="Z691" s="767"/>
      <c r="AA691" s="675"/>
      <c r="AB691" s="767"/>
      <c r="AC691" s="675"/>
      <c r="AD691" s="767"/>
      <c r="AE691" s="675"/>
      <c r="AF691" s="767"/>
      <c r="AL691" s="489"/>
      <c r="AM691" s="489"/>
      <c r="AN691" s="489"/>
      <c r="AO691" s="489"/>
      <c r="AP691" s="489"/>
      <c r="AQ691" s="489"/>
      <c r="AR691" s="489"/>
      <c r="AS691" s="489"/>
    </row>
    <row r="692" spans="1:45" s="484" customFormat="1">
      <c r="A692" s="490" t="s">
        <v>1329</v>
      </c>
      <c r="B692" s="653"/>
      <c r="C692" s="654"/>
      <c r="D692" s="654">
        <f>SUM(D656:D671)</f>
        <v>0</v>
      </c>
      <c r="E692" s="654">
        <f>SUM(E656:E691)</f>
        <v>730413370.07117832</v>
      </c>
      <c r="F692" s="707"/>
      <c r="G692" s="654">
        <f>SUM(G656:G691)</f>
        <v>2037092932.6091869</v>
      </c>
      <c r="H692" s="654">
        <f t="shared" ref="H692:Q692" si="247">SUM(H656:H691)</f>
        <v>2367191681.987443</v>
      </c>
      <c r="I692" s="654">
        <f t="shared" si="247"/>
        <v>2858049801.1130295</v>
      </c>
      <c r="J692" s="654">
        <f>SUM(J656:J691)</f>
        <v>3152618342.779696</v>
      </c>
      <c r="K692" s="654">
        <f t="shared" si="247"/>
        <v>3443822301.1130285</v>
      </c>
      <c r="L692" s="654">
        <f t="shared" si="247"/>
        <v>3733642926.113029</v>
      </c>
      <c r="M692" s="654">
        <f t="shared" si="247"/>
        <v>4034017717.7796955</v>
      </c>
      <c r="N692" s="654">
        <f t="shared" si="247"/>
        <v>4345365442.7796955</v>
      </c>
      <c r="O692" s="654">
        <f t="shared" si="247"/>
        <v>4635707509.4463615</v>
      </c>
      <c r="P692" s="654">
        <f t="shared" si="247"/>
        <v>4893223534.4463615</v>
      </c>
      <c r="Q692" s="654">
        <f t="shared" si="247"/>
        <v>5118279176.1130285</v>
      </c>
      <c r="R692" s="654">
        <f>SUM(R656:R691)</f>
        <v>5301367717.7796955</v>
      </c>
      <c r="S692" s="654">
        <f>SUM(S656:S691)</f>
        <v>5471956259.4463634</v>
      </c>
      <c r="T692" s="816">
        <f>SUM(H692:R692)</f>
        <v>43883286151.451065</v>
      </c>
      <c r="V692" s="654">
        <f>SUM(V656:V691)</f>
        <v>51235187212.326042</v>
      </c>
      <c r="W692" s="708"/>
      <c r="X692" s="1017"/>
      <c r="Y692" s="718" t="e">
        <f>SUM(Y656:Y673)</f>
        <v>#REF!</v>
      </c>
      <c r="Z692" s="708" t="e">
        <f>Y692/V692-1</f>
        <v>#REF!</v>
      </c>
      <c r="AA692" s="718" t="e">
        <f>SUM(AA656:AA671)</f>
        <v>#REF!</v>
      </c>
      <c r="AB692" s="708" t="e">
        <f>+AA692/Y692-1</f>
        <v>#REF!</v>
      </c>
      <c r="AC692" s="718" t="e">
        <f>SUM(AC656:AC671)</f>
        <v>#REF!</v>
      </c>
      <c r="AD692" s="708" t="e">
        <f>+AC692/AA692-1</f>
        <v>#REF!</v>
      </c>
      <c r="AE692" s="718" t="e">
        <f>SUM(AE656:AE671)</f>
        <v>#REF!</v>
      </c>
      <c r="AF692" s="708" t="e">
        <f>+AE692/AC692-1</f>
        <v>#REF!</v>
      </c>
      <c r="AL692" s="489"/>
      <c r="AM692" s="489"/>
      <c r="AN692" s="489"/>
      <c r="AO692" s="489"/>
      <c r="AP692" s="489"/>
      <c r="AQ692" s="489"/>
      <c r="AR692" s="489"/>
      <c r="AS692" s="489"/>
    </row>
    <row r="693" spans="1:45" s="484" customFormat="1">
      <c r="A693" s="483" t="s">
        <v>1330</v>
      </c>
      <c r="B693" s="483"/>
      <c r="F693" s="688"/>
      <c r="H693" s="600"/>
      <c r="I693" s="600"/>
      <c r="J693" s="600"/>
      <c r="K693" s="600"/>
      <c r="L693" s="600"/>
      <c r="M693" s="600"/>
      <c r="N693" s="600"/>
      <c r="O693" s="600"/>
      <c r="P693" s="600"/>
      <c r="Q693" s="612"/>
      <c r="R693" s="612"/>
      <c r="S693" s="612"/>
      <c r="T693" s="807"/>
      <c r="V693" s="612"/>
      <c r="W693" s="488"/>
      <c r="X693" s="1003"/>
      <c r="AL693" s="489"/>
      <c r="AM693" s="489"/>
      <c r="AN693" s="489"/>
      <c r="AO693" s="489"/>
      <c r="AP693" s="489"/>
      <c r="AQ693" s="489"/>
      <c r="AR693" s="489"/>
      <c r="AS693" s="489"/>
    </row>
    <row r="694" spans="1:45" s="484" customFormat="1">
      <c r="A694" s="483"/>
      <c r="B694" s="483"/>
      <c r="F694" s="688"/>
      <c r="H694" s="600"/>
      <c r="I694" s="600"/>
      <c r="J694" s="600"/>
      <c r="K694" s="600"/>
      <c r="L694" s="600"/>
      <c r="M694" s="600"/>
      <c r="N694" s="600"/>
      <c r="O694" s="600"/>
      <c r="P694" s="600"/>
      <c r="Q694" s="612"/>
      <c r="R694" s="612"/>
      <c r="S694" s="612"/>
      <c r="T694" s="807"/>
      <c r="V694" s="612"/>
      <c r="W694" s="488"/>
      <c r="X694" s="1003"/>
      <c r="AL694" s="489"/>
      <c r="AM694" s="489"/>
      <c r="AN694" s="489"/>
      <c r="AO694" s="489"/>
      <c r="AP694" s="489"/>
      <c r="AQ694" s="489"/>
      <c r="AR694" s="489"/>
      <c r="AS694" s="489"/>
    </row>
    <row r="695" spans="1:45" s="484" customFormat="1">
      <c r="A695" s="483" t="s">
        <v>1331</v>
      </c>
      <c r="B695" s="483"/>
      <c r="F695" s="688"/>
      <c r="G695" s="492">
        <v>0.13503338193789555</v>
      </c>
      <c r="H695" s="492">
        <v>0</v>
      </c>
      <c r="I695" s="492">
        <v>0</v>
      </c>
      <c r="J695" s="492">
        <v>0</v>
      </c>
      <c r="K695" s="492">
        <v>0</v>
      </c>
      <c r="L695" s="492">
        <v>0</v>
      </c>
      <c r="M695" s="492">
        <v>0</v>
      </c>
      <c r="N695" s="492">
        <v>0</v>
      </c>
      <c r="O695" s="492">
        <v>0</v>
      </c>
      <c r="P695" s="492">
        <v>0</v>
      </c>
      <c r="Q695" s="769">
        <v>0</v>
      </c>
      <c r="R695" s="769">
        <v>0</v>
      </c>
      <c r="S695" s="769">
        <v>0</v>
      </c>
      <c r="T695" s="787"/>
      <c r="V695" s="769">
        <v>0</v>
      </c>
      <c r="W695" s="488"/>
      <c r="X695" s="1003"/>
      <c r="AL695" s="489"/>
      <c r="AM695" s="489"/>
      <c r="AN695" s="489"/>
      <c r="AO695" s="489"/>
      <c r="AP695" s="489"/>
      <c r="AQ695" s="489"/>
      <c r="AR695" s="489"/>
      <c r="AS695" s="489"/>
    </row>
    <row r="696" spans="1:45" s="484" customFormat="1">
      <c r="A696" s="483" t="s">
        <v>1332</v>
      </c>
      <c r="B696" s="483"/>
      <c r="F696" s="688"/>
      <c r="G696" s="492">
        <v>0</v>
      </c>
      <c r="H696" s="492">
        <f t="shared" ref="H696:Q696" si="248">(G14+H14)/2*1.5%/12-37500000</f>
        <v>49828527.595375001</v>
      </c>
      <c r="I696" s="492">
        <f t="shared" si="248"/>
        <v>49828527.595375001</v>
      </c>
      <c r="J696" s="492">
        <f t="shared" si="248"/>
        <v>49828527.595375001</v>
      </c>
      <c r="K696" s="492">
        <f t="shared" si="248"/>
        <v>49828527.595375001</v>
      </c>
      <c r="L696" s="492">
        <f t="shared" si="248"/>
        <v>49828527.595375001</v>
      </c>
      <c r="M696" s="492">
        <f t="shared" si="248"/>
        <v>49828527.595375001</v>
      </c>
      <c r="N696" s="492">
        <f>(M14+N14)/2*1.5%/12-37500000</f>
        <v>49828527.595375001</v>
      </c>
      <c r="O696" s="492">
        <f>(N14+O14)/2*1.5%/12-37500000</f>
        <v>49828527.595375001</v>
      </c>
      <c r="P696" s="492">
        <f>(O14+P14)/2*1.5%/12-37500000</f>
        <v>49828527.595375001</v>
      </c>
      <c r="Q696" s="492">
        <f t="shared" si="248"/>
        <v>49828527.595375001</v>
      </c>
      <c r="R696" s="492">
        <f>(Q14+R14)/2*1.5%/12-37500000</f>
        <v>49828527.595375001</v>
      </c>
      <c r="S696" s="492">
        <f>(R14+S14)/2*1.5%/12-37500000</f>
        <v>49828527.595375001</v>
      </c>
      <c r="T696" s="787"/>
      <c r="V696" s="492">
        <f>SUM(H696:U696)</f>
        <v>597942331.14450002</v>
      </c>
      <c r="W696" s="488"/>
      <c r="X696" s="1003"/>
      <c r="AL696" s="489"/>
      <c r="AM696" s="489"/>
      <c r="AN696" s="489"/>
      <c r="AO696" s="489"/>
      <c r="AP696" s="489"/>
      <c r="AQ696" s="489"/>
      <c r="AR696" s="489"/>
      <c r="AS696" s="489"/>
    </row>
    <row r="697" spans="1:45" s="484" customFormat="1">
      <c r="A697" s="483" t="s">
        <v>1333</v>
      </c>
      <c r="B697" s="491"/>
      <c r="F697" s="688"/>
      <c r="G697" s="492">
        <v>107644023.9034892</v>
      </c>
      <c r="H697" s="492">
        <f t="shared" ref="H697:S697" si="249">30000000000*1.5%/12</f>
        <v>37500000</v>
      </c>
      <c r="I697" s="492">
        <f t="shared" si="249"/>
        <v>37500000</v>
      </c>
      <c r="J697" s="492">
        <f t="shared" si="249"/>
        <v>37500000</v>
      </c>
      <c r="K697" s="492">
        <f t="shared" si="249"/>
        <v>37500000</v>
      </c>
      <c r="L697" s="492">
        <f t="shared" si="249"/>
        <v>37500000</v>
      </c>
      <c r="M697" s="492">
        <f t="shared" si="249"/>
        <v>37500000</v>
      </c>
      <c r="N697" s="492">
        <f t="shared" si="249"/>
        <v>37500000</v>
      </c>
      <c r="O697" s="492">
        <f t="shared" si="249"/>
        <v>37500000</v>
      </c>
      <c r="P697" s="492">
        <f t="shared" si="249"/>
        <v>37500000</v>
      </c>
      <c r="Q697" s="492">
        <f t="shared" si="249"/>
        <v>37500000</v>
      </c>
      <c r="R697" s="492">
        <f t="shared" si="249"/>
        <v>37500000</v>
      </c>
      <c r="S697" s="492">
        <f t="shared" si="249"/>
        <v>37500000</v>
      </c>
      <c r="T697" s="787"/>
      <c r="V697" s="492">
        <f>SUM(H697:U697)</f>
        <v>450000000</v>
      </c>
      <c r="W697" s="488"/>
      <c r="X697" s="1003"/>
      <c r="AL697" s="489"/>
      <c r="AM697" s="489"/>
      <c r="AN697" s="489"/>
      <c r="AO697" s="489"/>
      <c r="AP697" s="489"/>
      <c r="AQ697" s="489"/>
      <c r="AR697" s="489"/>
      <c r="AS697" s="489"/>
    </row>
    <row r="698" spans="1:45" s="484" customFormat="1">
      <c r="A698" s="483" t="s">
        <v>1334</v>
      </c>
      <c r="B698" s="491"/>
      <c r="F698" s="688"/>
      <c r="G698" s="770">
        <f>SUM(G695:G697)</f>
        <v>107644024.03852259</v>
      </c>
      <c r="H698" s="770">
        <f t="shared" ref="H698:V698" si="250">SUM(H695:H697)</f>
        <v>87328527.595375001</v>
      </c>
      <c r="I698" s="770">
        <f t="shared" si="250"/>
        <v>87328527.595375001</v>
      </c>
      <c r="J698" s="770">
        <f t="shared" si="250"/>
        <v>87328527.595375001</v>
      </c>
      <c r="K698" s="770">
        <f t="shared" si="250"/>
        <v>87328527.595375001</v>
      </c>
      <c r="L698" s="770">
        <f t="shared" si="250"/>
        <v>87328527.595375001</v>
      </c>
      <c r="M698" s="770">
        <f t="shared" si="250"/>
        <v>87328527.595375001</v>
      </c>
      <c r="N698" s="770">
        <f t="shared" si="250"/>
        <v>87328527.595375001</v>
      </c>
      <c r="O698" s="770">
        <f t="shared" si="250"/>
        <v>87328527.595375001</v>
      </c>
      <c r="P698" s="576">
        <f t="shared" si="250"/>
        <v>87328527.595375001</v>
      </c>
      <c r="Q698" s="770">
        <f t="shared" si="250"/>
        <v>87328527.595375001</v>
      </c>
      <c r="R698" s="770">
        <f>SUM(R695:R697)</f>
        <v>87328527.595375001</v>
      </c>
      <c r="S698" s="770">
        <f>SUM(S695:S697)</f>
        <v>87328527.595375001</v>
      </c>
      <c r="T698" s="831"/>
      <c r="V698" s="770">
        <f t="shared" si="250"/>
        <v>1047942331.1445</v>
      </c>
      <c r="W698" s="488"/>
      <c r="X698" s="1003"/>
      <c r="AL698" s="489"/>
      <c r="AM698" s="489"/>
      <c r="AN698" s="489"/>
      <c r="AO698" s="489"/>
      <c r="AP698" s="489"/>
      <c r="AQ698" s="489"/>
      <c r="AR698" s="489"/>
      <c r="AS698" s="489"/>
    </row>
    <row r="699" spans="1:45" s="484" customFormat="1">
      <c r="A699" s="483"/>
      <c r="B699" s="483"/>
      <c r="F699" s="688"/>
      <c r="H699" s="600"/>
      <c r="I699" s="600"/>
      <c r="J699" s="600"/>
      <c r="K699" s="600"/>
      <c r="L699" s="600"/>
      <c r="M699" s="600"/>
      <c r="N699" s="600"/>
      <c r="O699" s="600"/>
      <c r="P699" s="600"/>
      <c r="Q699" s="612"/>
      <c r="R699" s="612"/>
      <c r="S699" s="612"/>
      <c r="T699" s="807"/>
      <c r="V699" s="612"/>
      <c r="W699" s="488"/>
      <c r="X699" s="1003"/>
      <c r="AL699" s="489"/>
      <c r="AM699" s="489"/>
      <c r="AN699" s="489"/>
      <c r="AO699" s="489"/>
      <c r="AP699" s="489"/>
      <c r="AQ699" s="489"/>
      <c r="AR699" s="489"/>
      <c r="AS699" s="489"/>
    </row>
    <row r="700" spans="1:45">
      <c r="A700" s="483" t="s">
        <v>1327</v>
      </c>
      <c r="G700" s="492">
        <v>0</v>
      </c>
      <c r="H700" s="771">
        <v>284500000</v>
      </c>
      <c r="I700" s="771">
        <v>284500000</v>
      </c>
      <c r="J700" s="771">
        <v>284500000</v>
      </c>
      <c r="K700" s="771">
        <v>284500000</v>
      </c>
      <c r="L700" s="771">
        <v>284500000</v>
      </c>
      <c r="M700" s="771">
        <v>284500000</v>
      </c>
      <c r="N700" s="771">
        <v>284500000</v>
      </c>
      <c r="O700" s="771">
        <v>284500000</v>
      </c>
      <c r="P700" s="771">
        <v>284500000</v>
      </c>
      <c r="Q700" s="771">
        <v>284500000</v>
      </c>
      <c r="R700" s="771">
        <v>284500000</v>
      </c>
      <c r="S700" s="771">
        <v>284500000</v>
      </c>
      <c r="T700" s="832"/>
      <c r="V700" s="772">
        <f>SUM(H700:U700)</f>
        <v>3414000000</v>
      </c>
      <c r="AE700" s="489"/>
      <c r="AG700" s="489"/>
      <c r="AH700" s="489"/>
      <c r="AI700" s="489"/>
      <c r="AJ700" s="489"/>
      <c r="AK700" s="489"/>
    </row>
    <row r="701" spans="1:45">
      <c r="Q701" s="603"/>
      <c r="R701" s="603"/>
      <c r="S701" s="603"/>
      <c r="V701" s="603"/>
      <c r="AE701" s="489"/>
      <c r="AG701" s="489"/>
      <c r="AH701" s="489"/>
      <c r="AI701" s="489"/>
      <c r="AJ701" s="489"/>
      <c r="AK701" s="489"/>
    </row>
    <row r="702" spans="1:45" s="484" customFormat="1">
      <c r="A702" s="490" t="s">
        <v>1335</v>
      </c>
      <c r="B702" s="633"/>
      <c r="C702" s="634"/>
      <c r="D702" s="689"/>
      <c r="E702" s="689"/>
      <c r="F702" s="691"/>
      <c r="G702" s="690">
        <v>42735</v>
      </c>
      <c r="H702" s="690">
        <v>42736</v>
      </c>
      <c r="I702" s="690">
        <v>42768</v>
      </c>
      <c r="J702" s="690">
        <v>42800</v>
      </c>
      <c r="K702" s="690">
        <v>42832</v>
      </c>
      <c r="L702" s="690">
        <v>42864</v>
      </c>
      <c r="M702" s="690">
        <v>42896</v>
      </c>
      <c r="N702" s="690">
        <v>42928</v>
      </c>
      <c r="O702" s="690">
        <v>42960</v>
      </c>
      <c r="P702" s="690">
        <v>42992</v>
      </c>
      <c r="Q702" s="690">
        <v>43024</v>
      </c>
      <c r="R702" s="690">
        <v>43056</v>
      </c>
      <c r="S702" s="690">
        <v>43088</v>
      </c>
      <c r="T702" s="822"/>
      <c r="V702" s="690" t="s">
        <v>1159</v>
      </c>
      <c r="W702" s="692"/>
      <c r="X702" s="1022"/>
      <c r="Y702" s="693"/>
      <c r="Z702" s="693"/>
      <c r="AA702" s="694"/>
      <c r="AB702" s="694"/>
      <c r="AC702" s="694"/>
      <c r="AD702" s="694"/>
      <c r="AE702" s="694"/>
      <c r="AF702" s="694"/>
      <c r="AL702" s="489"/>
      <c r="AM702" s="489"/>
      <c r="AN702" s="489"/>
      <c r="AO702" s="489"/>
      <c r="AP702" s="489"/>
      <c r="AQ702" s="489"/>
      <c r="AR702" s="489"/>
      <c r="AS702" s="489"/>
    </row>
    <row r="703" spans="1:45" s="484" customFormat="1">
      <c r="A703" s="695" t="s">
        <v>1275</v>
      </c>
      <c r="B703" s="638"/>
      <c r="C703" s="639"/>
      <c r="D703" s="639"/>
      <c r="E703" s="493">
        <f>(0+E260)/2*$F703/12</f>
        <v>759408.03416666668</v>
      </c>
      <c r="F703" s="763">
        <f>F656</f>
        <v>0.02</v>
      </c>
      <c r="G703" s="493">
        <f>(E260+G260)/2*$F703/12</f>
        <v>215960443.82641959</v>
      </c>
      <c r="H703" s="493">
        <f t="shared" ref="H703:I703" si="251">(F260+H260)/2*$F703/12</f>
        <v>215201035.79225293</v>
      </c>
      <c r="I703" s="493">
        <f t="shared" si="251"/>
        <v>430402071.58450586</v>
      </c>
      <c r="J703" s="493">
        <f t="shared" ref="J703:Q703" si="252">(I260+J260)/2*$F703/12</f>
        <v>430402071.58450586</v>
      </c>
      <c r="K703" s="493">
        <f t="shared" si="252"/>
        <v>430402071.58450586</v>
      </c>
      <c r="L703" s="493">
        <f t="shared" si="252"/>
        <v>430402071.58450586</v>
      </c>
      <c r="M703" s="493">
        <f t="shared" si="252"/>
        <v>430402071.58450586</v>
      </c>
      <c r="N703" s="493">
        <f t="shared" ref="N703:P722" si="253">(M260+N260)/2*$F703/12</f>
        <v>430402071.58450586</v>
      </c>
      <c r="O703" s="493">
        <f t="shared" si="253"/>
        <v>430402071.58450586</v>
      </c>
      <c r="P703" s="493">
        <f t="shared" si="253"/>
        <v>430402071.58450586</v>
      </c>
      <c r="Q703" s="493">
        <f t="shared" si="252"/>
        <v>430402071.58450586</v>
      </c>
      <c r="R703" s="493">
        <f t="shared" ref="R703:R737" si="254">(Q260+R260)/2*$F703/12</f>
        <v>430402071.58450586</v>
      </c>
      <c r="S703" s="493">
        <f t="shared" ref="S703:S737" si="255">(R260+S260)/2*$F703/12</f>
        <v>430402071.58450586</v>
      </c>
      <c r="T703" s="794"/>
      <c r="V703" s="641">
        <f t="shared" ref="V703:V738" si="256">SUM(H703:U703)</f>
        <v>4949623823.221818</v>
      </c>
      <c r="W703" s="704"/>
      <c r="X703" s="1015"/>
      <c r="Y703" s="664">
        <f t="shared" ref="Y703:Y722" si="257">(Y283+V283)/2*Z703</f>
        <v>0</v>
      </c>
      <c r="Z703" s="764">
        <v>0.02</v>
      </c>
      <c r="AA703" s="664">
        <f t="shared" ref="AA703:AA722" si="258">(AA283+Y283)/2*AB703</f>
        <v>0</v>
      </c>
      <c r="AB703" s="764">
        <v>0.02</v>
      </c>
      <c r="AC703" s="664">
        <f t="shared" ref="AC703:AC722" si="259">(AC283+AA283)/2*AD703</f>
        <v>0</v>
      </c>
      <c r="AD703" s="764">
        <v>0.02</v>
      </c>
      <c r="AE703" s="664">
        <f t="shared" ref="AE703:AE722" si="260">(AE283+AC283)/2*AF703</f>
        <v>0</v>
      </c>
      <c r="AF703" s="764">
        <v>0.02</v>
      </c>
      <c r="AL703" s="489"/>
      <c r="AM703" s="489"/>
      <c r="AN703" s="489"/>
      <c r="AO703" s="489"/>
      <c r="AP703" s="489"/>
      <c r="AQ703" s="489"/>
      <c r="AR703" s="489"/>
      <c r="AS703" s="489"/>
    </row>
    <row r="704" spans="1:45" s="484" customFormat="1" ht="14.5">
      <c r="A704" s="695" t="s">
        <v>1276</v>
      </c>
      <c r="B704" s="647"/>
      <c r="C704" s="644"/>
      <c r="D704" s="644"/>
      <c r="E704" s="493">
        <f t="shared" ref="E704:E737" si="261">(0+E261)/2*$F704/12</f>
        <v>179756620.25156251</v>
      </c>
      <c r="F704" s="763">
        <f>F657</f>
        <v>1.2500000000000001E-2</v>
      </c>
      <c r="G704" s="493">
        <f t="shared" ref="G704:G737" si="262">(E261+G261)/2*$F704/12</f>
        <v>180229692.63188717</v>
      </c>
      <c r="H704" s="493">
        <f t="shared" ref="H704:Q719" si="263">(G261+H261)/2*$F704/12</f>
        <v>946144.76064931287</v>
      </c>
      <c r="I704" s="493">
        <f t="shared" si="263"/>
        <v>946144.76064931287</v>
      </c>
      <c r="J704" s="493">
        <f t="shared" si="263"/>
        <v>946144.76064931287</v>
      </c>
      <c r="K704" s="493">
        <f t="shared" si="263"/>
        <v>946144.76064931287</v>
      </c>
      <c r="L704" s="493">
        <f t="shared" si="263"/>
        <v>946144.76064931287</v>
      </c>
      <c r="M704" s="493">
        <f t="shared" si="263"/>
        <v>946144.76064931287</v>
      </c>
      <c r="N704" s="493">
        <f t="shared" si="253"/>
        <v>946144.76064931287</v>
      </c>
      <c r="O704" s="493">
        <f t="shared" si="253"/>
        <v>946144.76064931287</v>
      </c>
      <c r="P704" s="493">
        <f t="shared" si="253"/>
        <v>946144.76064931287</v>
      </c>
      <c r="Q704" s="493">
        <f t="shared" si="263"/>
        <v>946144.76064931287</v>
      </c>
      <c r="R704" s="493">
        <f t="shared" si="254"/>
        <v>946144.76064931287</v>
      </c>
      <c r="S704" s="493">
        <f t="shared" si="255"/>
        <v>946144.76064931287</v>
      </c>
      <c r="T704" s="794"/>
      <c r="V704" s="641">
        <f t="shared" si="256"/>
        <v>11353737.127791753</v>
      </c>
      <c r="W704" s="765"/>
      <c r="X704" s="1016"/>
      <c r="Y704" s="675">
        <f t="shared" si="257"/>
        <v>0</v>
      </c>
      <c r="Z704" s="766">
        <v>0.02</v>
      </c>
      <c r="AA704" s="675">
        <f t="shared" si="258"/>
        <v>0</v>
      </c>
      <c r="AB704" s="766">
        <v>0.02</v>
      </c>
      <c r="AC704" s="675">
        <f t="shared" si="259"/>
        <v>0</v>
      </c>
      <c r="AD704" s="766">
        <v>0.02</v>
      </c>
      <c r="AE704" s="675">
        <f t="shared" si="260"/>
        <v>0</v>
      </c>
      <c r="AF704" s="766">
        <v>0.02</v>
      </c>
      <c r="AL704" s="489"/>
      <c r="AM704" s="489"/>
      <c r="AN704" s="489"/>
      <c r="AO704" s="489"/>
      <c r="AP704" s="489"/>
      <c r="AQ704" s="489"/>
      <c r="AR704" s="489"/>
      <c r="AS704" s="489"/>
    </row>
    <row r="705" spans="1:45" s="484" customFormat="1">
      <c r="A705" s="695" t="s">
        <v>1277</v>
      </c>
      <c r="B705" s="638"/>
      <c r="C705" s="639"/>
      <c r="D705" s="639"/>
      <c r="E705" s="493">
        <f t="shared" si="261"/>
        <v>212423.48125000004</v>
      </c>
      <c r="F705" s="763">
        <f t="shared" ref="F705:F737" si="264">F658</f>
        <v>1.2500000000000001E-2</v>
      </c>
      <c r="G705" s="493">
        <f t="shared" si="262"/>
        <v>212423.48125000004</v>
      </c>
      <c r="H705" s="493">
        <f t="shared" si="263"/>
        <v>0</v>
      </c>
      <c r="I705" s="493">
        <f t="shared" si="263"/>
        <v>0</v>
      </c>
      <c r="J705" s="493">
        <f t="shared" si="263"/>
        <v>0</v>
      </c>
      <c r="K705" s="493">
        <f t="shared" si="263"/>
        <v>0</v>
      </c>
      <c r="L705" s="493">
        <f t="shared" si="263"/>
        <v>0</v>
      </c>
      <c r="M705" s="493">
        <f t="shared" si="263"/>
        <v>0</v>
      </c>
      <c r="N705" s="493">
        <f t="shared" si="253"/>
        <v>0</v>
      </c>
      <c r="O705" s="493">
        <f t="shared" si="253"/>
        <v>0</v>
      </c>
      <c r="P705" s="493">
        <f t="shared" si="253"/>
        <v>0</v>
      </c>
      <c r="Q705" s="493">
        <f t="shared" si="263"/>
        <v>0</v>
      </c>
      <c r="R705" s="493">
        <f t="shared" si="254"/>
        <v>0</v>
      </c>
      <c r="S705" s="493">
        <f t="shared" si="255"/>
        <v>0</v>
      </c>
      <c r="T705" s="794"/>
      <c r="V705" s="641">
        <f t="shared" si="256"/>
        <v>0</v>
      </c>
      <c r="W705" s="713"/>
      <c r="X705" s="1015"/>
      <c r="Y705" s="675">
        <f t="shared" si="257"/>
        <v>0</v>
      </c>
      <c r="Z705" s="766">
        <v>1.2500000000000001E-2</v>
      </c>
      <c r="AA705" s="675">
        <f t="shared" si="258"/>
        <v>0</v>
      </c>
      <c r="AB705" s="766">
        <v>1.2500000000000001E-2</v>
      </c>
      <c r="AC705" s="675">
        <f t="shared" si="259"/>
        <v>0</v>
      </c>
      <c r="AD705" s="766">
        <v>1.2500000000000001E-2</v>
      </c>
      <c r="AE705" s="675">
        <f t="shared" si="260"/>
        <v>0</v>
      </c>
      <c r="AF705" s="766">
        <v>1.2500000000000001E-2</v>
      </c>
      <c r="AL705" s="489"/>
      <c r="AM705" s="489"/>
      <c r="AN705" s="489"/>
      <c r="AO705" s="489"/>
      <c r="AP705" s="489"/>
      <c r="AQ705" s="489"/>
      <c r="AR705" s="489"/>
      <c r="AS705" s="489"/>
    </row>
    <row r="706" spans="1:45" s="484" customFormat="1" ht="14.5">
      <c r="A706" s="695" t="s">
        <v>1278</v>
      </c>
      <c r="B706" s="647"/>
      <c r="C706" s="644"/>
      <c r="D706" s="644"/>
      <c r="E706" s="493">
        <f t="shared" si="261"/>
        <v>3602919.0078125</v>
      </c>
      <c r="F706" s="763">
        <f t="shared" si="264"/>
        <v>1.2500000000000001E-2</v>
      </c>
      <c r="G706" s="493">
        <f t="shared" si="262"/>
        <v>7097168.3466155296</v>
      </c>
      <c r="H706" s="493">
        <f t="shared" si="263"/>
        <v>6988498.6776060583</v>
      </c>
      <c r="I706" s="493">
        <f t="shared" si="263"/>
        <v>6988498.6776060583</v>
      </c>
      <c r="J706" s="493">
        <f t="shared" si="263"/>
        <v>6988498.6776060583</v>
      </c>
      <c r="K706" s="493">
        <f t="shared" si="263"/>
        <v>6988498.6776060583</v>
      </c>
      <c r="L706" s="493">
        <f t="shared" si="263"/>
        <v>6988498.6776060583</v>
      </c>
      <c r="M706" s="493">
        <f t="shared" si="263"/>
        <v>6988498.6776060583</v>
      </c>
      <c r="N706" s="493">
        <f t="shared" si="253"/>
        <v>6988498.6776060583</v>
      </c>
      <c r="O706" s="493">
        <f t="shared" si="253"/>
        <v>6988498.6776060583</v>
      </c>
      <c r="P706" s="493">
        <f t="shared" si="253"/>
        <v>6988498.6776060583</v>
      </c>
      <c r="Q706" s="493">
        <f t="shared" si="263"/>
        <v>6988498.6776060583</v>
      </c>
      <c r="R706" s="493">
        <f t="shared" si="254"/>
        <v>6988498.6776060583</v>
      </c>
      <c r="S706" s="493">
        <f t="shared" si="255"/>
        <v>6988498.6776060583</v>
      </c>
      <c r="T706" s="794"/>
      <c r="V706" s="641">
        <f t="shared" si="256"/>
        <v>83861984.131272718</v>
      </c>
      <c r="W706" s="765"/>
      <c r="X706" s="1016"/>
      <c r="Y706" s="675">
        <f t="shared" si="257"/>
        <v>0</v>
      </c>
      <c r="Z706" s="766">
        <v>1.2500000000000001E-2</v>
      </c>
      <c r="AA706" s="675">
        <f t="shared" si="258"/>
        <v>0</v>
      </c>
      <c r="AB706" s="766">
        <v>1.2500000000000001E-2</v>
      </c>
      <c r="AC706" s="675">
        <f t="shared" si="259"/>
        <v>0</v>
      </c>
      <c r="AD706" s="766">
        <v>1.2500000000000001E-2</v>
      </c>
      <c r="AE706" s="675">
        <f t="shared" si="260"/>
        <v>0</v>
      </c>
      <c r="AF706" s="766">
        <v>1.2500000000000001E-2</v>
      </c>
      <c r="AL706" s="489"/>
      <c r="AM706" s="489"/>
      <c r="AN706" s="489"/>
      <c r="AO706" s="489"/>
      <c r="AP706" s="489"/>
      <c r="AQ706" s="489"/>
      <c r="AR706" s="489"/>
      <c r="AS706" s="489"/>
    </row>
    <row r="707" spans="1:45" s="484" customFormat="1">
      <c r="A707" s="695" t="s">
        <v>1279</v>
      </c>
      <c r="B707" s="638"/>
      <c r="C707" s="639"/>
      <c r="D707" s="639"/>
      <c r="E707" s="493">
        <f t="shared" si="261"/>
        <v>16564559.636249999</v>
      </c>
      <c r="F707" s="763">
        <f t="shared" si="264"/>
        <v>0.03</v>
      </c>
      <c r="G707" s="493">
        <f t="shared" si="262"/>
        <v>33063518.433368012</v>
      </c>
      <c r="H707" s="493">
        <f t="shared" si="263"/>
        <v>32997917.594236031</v>
      </c>
      <c r="I707" s="493">
        <f t="shared" si="263"/>
        <v>32997917.594236031</v>
      </c>
      <c r="J707" s="493">
        <f t="shared" si="263"/>
        <v>32997917.594236031</v>
      </c>
      <c r="K707" s="493">
        <f t="shared" si="263"/>
        <v>32997917.594236031</v>
      </c>
      <c r="L707" s="493">
        <f t="shared" si="263"/>
        <v>32997917.594236031</v>
      </c>
      <c r="M707" s="493">
        <f t="shared" si="263"/>
        <v>32997917.594236031</v>
      </c>
      <c r="N707" s="493">
        <f t="shared" si="253"/>
        <v>32997917.594236031</v>
      </c>
      <c r="O707" s="493">
        <f t="shared" si="253"/>
        <v>32997917.594236031</v>
      </c>
      <c r="P707" s="493">
        <f t="shared" si="253"/>
        <v>32997917.594236031</v>
      </c>
      <c r="Q707" s="493">
        <f t="shared" si="263"/>
        <v>32997917.594236031</v>
      </c>
      <c r="R707" s="493">
        <f t="shared" si="254"/>
        <v>32997917.594236031</v>
      </c>
      <c r="S707" s="493">
        <f t="shared" si="255"/>
        <v>32997917.594236031</v>
      </c>
      <c r="T707" s="794"/>
      <c r="V707" s="641">
        <f t="shared" si="256"/>
        <v>395975011.13083225</v>
      </c>
      <c r="W707" s="713"/>
      <c r="X707" s="1015"/>
      <c r="Y707" s="675">
        <f t="shared" si="257"/>
        <v>0</v>
      </c>
      <c r="Z707" s="766">
        <f>1%/1.1</f>
        <v>9.0909090909090905E-3</v>
      </c>
      <c r="AA707" s="675">
        <f t="shared" si="258"/>
        <v>0</v>
      </c>
      <c r="AB707" s="766">
        <f>1%/1.1</f>
        <v>9.0909090909090905E-3</v>
      </c>
      <c r="AC707" s="675">
        <f t="shared" si="259"/>
        <v>0</v>
      </c>
      <c r="AD707" s="766">
        <f>1%/1.1</f>
        <v>9.0909090909090905E-3</v>
      </c>
      <c r="AE707" s="675">
        <f t="shared" si="260"/>
        <v>0</v>
      </c>
      <c r="AF707" s="766">
        <f>1%/1.1</f>
        <v>9.0909090909090905E-3</v>
      </c>
      <c r="AL707" s="489"/>
      <c r="AM707" s="489"/>
      <c r="AN707" s="489"/>
      <c r="AO707" s="489"/>
      <c r="AP707" s="489"/>
      <c r="AQ707" s="489"/>
      <c r="AR707" s="489"/>
      <c r="AS707" s="489"/>
    </row>
    <row r="708" spans="1:45" s="484" customFormat="1" ht="14.5">
      <c r="A708" s="695" t="s">
        <v>1280</v>
      </c>
      <c r="B708" s="647"/>
      <c r="C708" s="644"/>
      <c r="D708" s="644"/>
      <c r="E708" s="493">
        <f t="shared" si="261"/>
        <v>0</v>
      </c>
      <c r="F708" s="763">
        <f t="shared" si="264"/>
        <v>1.2500000000000001E-2</v>
      </c>
      <c r="G708" s="493">
        <f t="shared" si="262"/>
        <v>0</v>
      </c>
      <c r="H708" s="493">
        <f t="shared" si="263"/>
        <v>0</v>
      </c>
      <c r="I708" s="493">
        <f t="shared" si="263"/>
        <v>0</v>
      </c>
      <c r="J708" s="493">
        <f t="shared" si="263"/>
        <v>0</v>
      </c>
      <c r="K708" s="493">
        <f t="shared" si="263"/>
        <v>0</v>
      </c>
      <c r="L708" s="493">
        <f t="shared" si="263"/>
        <v>0</v>
      </c>
      <c r="M708" s="493">
        <f t="shared" si="263"/>
        <v>0</v>
      </c>
      <c r="N708" s="493">
        <f t="shared" si="253"/>
        <v>0</v>
      </c>
      <c r="O708" s="493">
        <f t="shared" si="253"/>
        <v>0</v>
      </c>
      <c r="P708" s="493">
        <f t="shared" si="253"/>
        <v>0</v>
      </c>
      <c r="Q708" s="493">
        <f t="shared" si="263"/>
        <v>0</v>
      </c>
      <c r="R708" s="493">
        <f t="shared" si="254"/>
        <v>0</v>
      </c>
      <c r="S708" s="493">
        <f t="shared" si="255"/>
        <v>0</v>
      </c>
      <c r="T708" s="794"/>
      <c r="V708" s="641">
        <f t="shared" si="256"/>
        <v>0</v>
      </c>
      <c r="W708" s="765"/>
      <c r="X708" s="1016"/>
      <c r="Y708" s="675">
        <f t="shared" si="257"/>
        <v>0</v>
      </c>
      <c r="Z708" s="766">
        <v>1.2500000000000001E-2</v>
      </c>
      <c r="AA708" s="675">
        <f t="shared" si="258"/>
        <v>0</v>
      </c>
      <c r="AB708" s="766">
        <v>1.2500000000000001E-2</v>
      </c>
      <c r="AC708" s="675">
        <f t="shared" si="259"/>
        <v>0</v>
      </c>
      <c r="AD708" s="766">
        <v>1.2500000000000001E-2</v>
      </c>
      <c r="AE708" s="675">
        <f t="shared" si="260"/>
        <v>0</v>
      </c>
      <c r="AF708" s="766">
        <v>1.2500000000000001E-2</v>
      </c>
      <c r="AL708" s="489"/>
      <c r="AM708" s="489"/>
      <c r="AN708" s="489"/>
      <c r="AO708" s="489"/>
      <c r="AP708" s="489"/>
      <c r="AQ708" s="489"/>
      <c r="AR708" s="489"/>
      <c r="AS708" s="489"/>
    </row>
    <row r="709" spans="1:45" s="484" customFormat="1">
      <c r="A709" s="695" t="s">
        <v>1281</v>
      </c>
      <c r="B709" s="638"/>
      <c r="C709" s="639"/>
      <c r="D709" s="639"/>
      <c r="E709" s="493">
        <f t="shared" si="261"/>
        <v>0</v>
      </c>
      <c r="F709" s="763">
        <f t="shared" si="264"/>
        <v>8.9999999999999993E-3</v>
      </c>
      <c r="G709" s="493">
        <f t="shared" si="262"/>
        <v>0</v>
      </c>
      <c r="H709" s="493">
        <f t="shared" si="263"/>
        <v>0</v>
      </c>
      <c r="I709" s="493">
        <f t="shared" si="263"/>
        <v>0</v>
      </c>
      <c r="J709" s="493">
        <f t="shared" si="263"/>
        <v>0</v>
      </c>
      <c r="K709" s="493">
        <f t="shared" si="263"/>
        <v>0</v>
      </c>
      <c r="L709" s="493">
        <f t="shared" si="263"/>
        <v>0</v>
      </c>
      <c r="M709" s="493">
        <f t="shared" si="263"/>
        <v>0</v>
      </c>
      <c r="N709" s="493">
        <f t="shared" si="253"/>
        <v>0</v>
      </c>
      <c r="O709" s="493">
        <f t="shared" si="253"/>
        <v>0</v>
      </c>
      <c r="P709" s="493">
        <f t="shared" si="253"/>
        <v>0</v>
      </c>
      <c r="Q709" s="493">
        <f t="shared" si="263"/>
        <v>0</v>
      </c>
      <c r="R709" s="493">
        <f t="shared" si="254"/>
        <v>0</v>
      </c>
      <c r="S709" s="493">
        <f t="shared" si="255"/>
        <v>0</v>
      </c>
      <c r="T709" s="794"/>
      <c r="V709" s="641">
        <f t="shared" si="256"/>
        <v>0</v>
      </c>
      <c r="W709" s="713"/>
      <c r="X709" s="1015"/>
      <c r="Y709" s="675">
        <f t="shared" si="257"/>
        <v>0</v>
      </c>
      <c r="Z709" s="766">
        <v>1.2500000000000001E-2</v>
      </c>
      <c r="AA709" s="675">
        <f t="shared" si="258"/>
        <v>0</v>
      </c>
      <c r="AB709" s="766">
        <v>1.2500000000000001E-2</v>
      </c>
      <c r="AC709" s="675">
        <f t="shared" si="259"/>
        <v>0</v>
      </c>
      <c r="AD709" s="766">
        <v>1.2500000000000001E-2</v>
      </c>
      <c r="AE709" s="675">
        <f t="shared" si="260"/>
        <v>0</v>
      </c>
      <c r="AF709" s="766">
        <v>1.2500000000000001E-2</v>
      </c>
      <c r="AL709" s="489"/>
      <c r="AM709" s="489"/>
      <c r="AN709" s="489"/>
      <c r="AO709" s="489"/>
      <c r="AP709" s="489"/>
      <c r="AQ709" s="489"/>
      <c r="AR709" s="489"/>
      <c r="AS709" s="489"/>
    </row>
    <row r="710" spans="1:45" s="484" customFormat="1" ht="14.5">
      <c r="A710" s="695" t="s">
        <v>1282</v>
      </c>
      <c r="B710" s="647"/>
      <c r="C710" s="644"/>
      <c r="D710" s="644"/>
      <c r="E710" s="493">
        <f t="shared" si="261"/>
        <v>0</v>
      </c>
      <c r="F710" s="763">
        <f t="shared" si="264"/>
        <v>0</v>
      </c>
      <c r="G710" s="493">
        <f t="shared" si="262"/>
        <v>0</v>
      </c>
      <c r="H710" s="493">
        <f t="shared" si="263"/>
        <v>0</v>
      </c>
      <c r="I710" s="493">
        <f t="shared" si="263"/>
        <v>0</v>
      </c>
      <c r="J710" s="493">
        <f t="shared" si="263"/>
        <v>0</v>
      </c>
      <c r="K710" s="493">
        <f t="shared" si="263"/>
        <v>0</v>
      </c>
      <c r="L710" s="493">
        <f t="shared" si="263"/>
        <v>0</v>
      </c>
      <c r="M710" s="493">
        <f t="shared" si="263"/>
        <v>0</v>
      </c>
      <c r="N710" s="493">
        <f t="shared" si="253"/>
        <v>0</v>
      </c>
      <c r="O710" s="493">
        <f t="shared" si="253"/>
        <v>0</v>
      </c>
      <c r="P710" s="493">
        <f t="shared" si="253"/>
        <v>0</v>
      </c>
      <c r="Q710" s="493">
        <f t="shared" si="263"/>
        <v>0</v>
      </c>
      <c r="R710" s="493">
        <f t="shared" si="254"/>
        <v>0</v>
      </c>
      <c r="S710" s="493">
        <f t="shared" si="255"/>
        <v>0</v>
      </c>
      <c r="T710" s="794"/>
      <c r="V710" s="641">
        <f t="shared" si="256"/>
        <v>0</v>
      </c>
      <c r="W710" s="765"/>
      <c r="X710" s="1016"/>
      <c r="Y710" s="675">
        <f t="shared" si="257"/>
        <v>0</v>
      </c>
      <c r="Z710" s="766">
        <v>1.2500000000000001E-2</v>
      </c>
      <c r="AA710" s="675">
        <f t="shared" si="258"/>
        <v>0</v>
      </c>
      <c r="AB710" s="766">
        <v>1.2500000000000001E-2</v>
      </c>
      <c r="AC710" s="675">
        <f t="shared" si="259"/>
        <v>0</v>
      </c>
      <c r="AD710" s="766">
        <v>1.2500000000000001E-2</v>
      </c>
      <c r="AE710" s="675">
        <f t="shared" si="260"/>
        <v>0</v>
      </c>
      <c r="AF710" s="766">
        <v>1.2500000000000001E-2</v>
      </c>
      <c r="AL710" s="489"/>
      <c r="AM710" s="489"/>
      <c r="AN710" s="489"/>
      <c r="AO710" s="489"/>
      <c r="AP710" s="489"/>
      <c r="AQ710" s="489"/>
      <c r="AR710" s="489"/>
      <c r="AS710" s="489"/>
    </row>
    <row r="711" spans="1:45" s="484" customFormat="1">
      <c r="A711" s="695" t="s">
        <v>1283</v>
      </c>
      <c r="B711" s="638"/>
      <c r="C711" s="639"/>
      <c r="D711" s="639"/>
      <c r="E711" s="493">
        <f t="shared" si="261"/>
        <v>0</v>
      </c>
      <c r="F711" s="763">
        <f t="shared" si="264"/>
        <v>0</v>
      </c>
      <c r="G711" s="493">
        <f t="shared" si="262"/>
        <v>0</v>
      </c>
      <c r="H711" s="493">
        <f t="shared" si="263"/>
        <v>0</v>
      </c>
      <c r="I711" s="493">
        <f t="shared" si="263"/>
        <v>0</v>
      </c>
      <c r="J711" s="493">
        <f t="shared" si="263"/>
        <v>0</v>
      </c>
      <c r="K711" s="493">
        <f t="shared" si="263"/>
        <v>0</v>
      </c>
      <c r="L711" s="493">
        <f t="shared" si="263"/>
        <v>0</v>
      </c>
      <c r="M711" s="493">
        <f t="shared" si="263"/>
        <v>0</v>
      </c>
      <c r="N711" s="493">
        <f t="shared" si="253"/>
        <v>0</v>
      </c>
      <c r="O711" s="493">
        <f t="shared" si="253"/>
        <v>0</v>
      </c>
      <c r="P711" s="493">
        <f t="shared" si="253"/>
        <v>0</v>
      </c>
      <c r="Q711" s="493">
        <f t="shared" si="263"/>
        <v>0</v>
      </c>
      <c r="R711" s="493">
        <f t="shared" si="254"/>
        <v>0</v>
      </c>
      <c r="S711" s="493">
        <f t="shared" si="255"/>
        <v>0</v>
      </c>
      <c r="T711" s="794"/>
      <c r="V711" s="641">
        <f t="shared" si="256"/>
        <v>0</v>
      </c>
      <c r="W711" s="713"/>
      <c r="X711" s="1015"/>
      <c r="Y711" s="675">
        <f t="shared" si="257"/>
        <v>0</v>
      </c>
      <c r="Z711" s="766">
        <v>1.2500000000000001E-2</v>
      </c>
      <c r="AA711" s="675">
        <f t="shared" si="258"/>
        <v>0</v>
      </c>
      <c r="AB711" s="766">
        <v>1.2500000000000001E-2</v>
      </c>
      <c r="AC711" s="675">
        <f t="shared" si="259"/>
        <v>0</v>
      </c>
      <c r="AD711" s="766">
        <v>1.2500000000000001E-2</v>
      </c>
      <c r="AE711" s="675">
        <f t="shared" si="260"/>
        <v>0</v>
      </c>
      <c r="AF711" s="766">
        <v>1.2500000000000001E-2</v>
      </c>
      <c r="AL711" s="489"/>
      <c r="AM711" s="489"/>
      <c r="AN711" s="489"/>
      <c r="AO711" s="489"/>
      <c r="AP711" s="489"/>
      <c r="AQ711" s="489"/>
      <c r="AR711" s="489"/>
      <c r="AS711" s="489"/>
    </row>
    <row r="712" spans="1:45" s="484" customFormat="1" ht="14.5">
      <c r="A712" s="695" t="s">
        <v>1284</v>
      </c>
      <c r="B712" s="647"/>
      <c r="C712" s="644"/>
      <c r="D712" s="644"/>
      <c r="E712" s="493">
        <f t="shared" si="261"/>
        <v>0</v>
      </c>
      <c r="F712" s="763">
        <f t="shared" si="264"/>
        <v>1.4999999999999999E-2</v>
      </c>
      <c r="G712" s="493">
        <f t="shared" si="262"/>
        <v>0</v>
      </c>
      <c r="H712" s="493">
        <f t="shared" si="263"/>
        <v>0</v>
      </c>
      <c r="I712" s="493">
        <f t="shared" si="263"/>
        <v>0</v>
      </c>
      <c r="J712" s="493">
        <f t="shared" si="263"/>
        <v>0</v>
      </c>
      <c r="K712" s="493">
        <f t="shared" si="263"/>
        <v>0</v>
      </c>
      <c r="L712" s="493">
        <f t="shared" si="263"/>
        <v>0</v>
      </c>
      <c r="M712" s="493">
        <f t="shared" si="263"/>
        <v>0</v>
      </c>
      <c r="N712" s="493">
        <f t="shared" si="253"/>
        <v>0</v>
      </c>
      <c r="O712" s="493">
        <f t="shared" si="253"/>
        <v>0</v>
      </c>
      <c r="P712" s="493">
        <f t="shared" si="253"/>
        <v>0</v>
      </c>
      <c r="Q712" s="493">
        <f t="shared" si="263"/>
        <v>0</v>
      </c>
      <c r="R712" s="493">
        <f t="shared" si="254"/>
        <v>0</v>
      </c>
      <c r="S712" s="493">
        <f t="shared" si="255"/>
        <v>0</v>
      </c>
      <c r="T712" s="794"/>
      <c r="V712" s="641">
        <f t="shared" si="256"/>
        <v>0</v>
      </c>
      <c r="W712" s="765"/>
      <c r="X712" s="1016"/>
      <c r="Y712" s="675">
        <f t="shared" si="257"/>
        <v>0</v>
      </c>
      <c r="Z712" s="766">
        <v>1.2500000000000001E-2</v>
      </c>
      <c r="AA712" s="675">
        <f t="shared" si="258"/>
        <v>0</v>
      </c>
      <c r="AB712" s="766">
        <v>1.2500000000000001E-2</v>
      </c>
      <c r="AC712" s="675">
        <f t="shared" si="259"/>
        <v>0</v>
      </c>
      <c r="AD712" s="766">
        <v>1.2500000000000001E-2</v>
      </c>
      <c r="AE712" s="675">
        <f t="shared" si="260"/>
        <v>0</v>
      </c>
      <c r="AF712" s="766">
        <v>1.2500000000000001E-2</v>
      </c>
      <c r="AL712" s="489"/>
      <c r="AM712" s="489"/>
      <c r="AN712" s="489"/>
      <c r="AO712" s="489"/>
      <c r="AP712" s="489"/>
      <c r="AQ712" s="489"/>
      <c r="AR712" s="489"/>
      <c r="AS712" s="489"/>
    </row>
    <row r="713" spans="1:45" s="484" customFormat="1">
      <c r="A713" s="695" t="s">
        <v>1285</v>
      </c>
      <c r="B713" s="638"/>
      <c r="C713" s="639"/>
      <c r="D713" s="639"/>
      <c r="E713" s="493">
        <f t="shared" si="261"/>
        <v>3174887.2349999999</v>
      </c>
      <c r="F713" s="763">
        <f t="shared" si="264"/>
        <v>1.4999999999999999E-2</v>
      </c>
      <c r="G713" s="493">
        <f t="shared" si="262"/>
        <v>6368875.5952263037</v>
      </c>
      <c r="H713" s="493">
        <f t="shared" si="263"/>
        <v>6387976.7204526076</v>
      </c>
      <c r="I713" s="493">
        <f t="shared" si="263"/>
        <v>6387976.7204526076</v>
      </c>
      <c r="J713" s="493">
        <f t="shared" si="263"/>
        <v>6387976.7204526076</v>
      </c>
      <c r="K713" s="493">
        <f t="shared" si="263"/>
        <v>6387976.7204526076</v>
      </c>
      <c r="L713" s="493">
        <f t="shared" si="263"/>
        <v>6387976.7204526076</v>
      </c>
      <c r="M713" s="493">
        <f t="shared" si="263"/>
        <v>6387976.7204526076</v>
      </c>
      <c r="N713" s="493">
        <f t="shared" si="253"/>
        <v>6387976.7204526076</v>
      </c>
      <c r="O713" s="493">
        <f t="shared" si="253"/>
        <v>6387976.7204526076</v>
      </c>
      <c r="P713" s="493">
        <f t="shared" si="253"/>
        <v>6387976.7204526076</v>
      </c>
      <c r="Q713" s="493">
        <f t="shared" si="263"/>
        <v>6387976.7204526076</v>
      </c>
      <c r="R713" s="493">
        <f t="shared" si="254"/>
        <v>6387976.7204526076</v>
      </c>
      <c r="S713" s="493">
        <f t="shared" si="255"/>
        <v>6387976.7204526076</v>
      </c>
      <c r="T713" s="794"/>
      <c r="V713" s="641">
        <f t="shared" si="256"/>
        <v>76655720.645431295</v>
      </c>
      <c r="W713" s="713"/>
      <c r="X713" s="1015"/>
      <c r="Y713" s="675">
        <f t="shared" si="257"/>
        <v>0</v>
      </c>
      <c r="Z713" s="766">
        <v>1.2500000000000001E-2</v>
      </c>
      <c r="AA713" s="675">
        <f t="shared" si="258"/>
        <v>0</v>
      </c>
      <c r="AB713" s="766">
        <v>1.2500000000000001E-2</v>
      </c>
      <c r="AC713" s="675">
        <f t="shared" si="259"/>
        <v>0</v>
      </c>
      <c r="AD713" s="766">
        <v>1.2500000000000001E-2</v>
      </c>
      <c r="AE713" s="675">
        <f t="shared" si="260"/>
        <v>0</v>
      </c>
      <c r="AF713" s="766">
        <v>1.2500000000000001E-2</v>
      </c>
      <c r="AL713" s="489"/>
      <c r="AM713" s="489"/>
      <c r="AN713" s="489"/>
      <c r="AO713" s="489"/>
      <c r="AP713" s="489"/>
      <c r="AQ713" s="489"/>
      <c r="AR713" s="489"/>
      <c r="AS713" s="489"/>
    </row>
    <row r="714" spans="1:45" s="484" customFormat="1" ht="14.5">
      <c r="A714" s="695" t="s">
        <v>1286</v>
      </c>
      <c r="B714" s="647"/>
      <c r="C714" s="644"/>
      <c r="D714" s="644"/>
      <c r="E714" s="493">
        <f t="shared" si="261"/>
        <v>32831414.285937503</v>
      </c>
      <c r="F714" s="763">
        <f t="shared" si="264"/>
        <v>1.2500000000000001E-2</v>
      </c>
      <c r="G714" s="493">
        <f t="shared" si="262"/>
        <v>64948378.111341327</v>
      </c>
      <c r="H714" s="493">
        <f t="shared" si="263"/>
        <v>64233927.650807656</v>
      </c>
      <c r="I714" s="493">
        <f t="shared" si="263"/>
        <v>64233927.650807656</v>
      </c>
      <c r="J714" s="493">
        <f t="shared" si="263"/>
        <v>64233927.650807656</v>
      </c>
      <c r="K714" s="493">
        <f t="shared" si="263"/>
        <v>64233927.650807656</v>
      </c>
      <c r="L714" s="493">
        <f t="shared" si="263"/>
        <v>64233927.650807656</v>
      </c>
      <c r="M714" s="493">
        <f t="shared" si="263"/>
        <v>64233927.650807656</v>
      </c>
      <c r="N714" s="493">
        <f t="shared" si="253"/>
        <v>64233927.650807656</v>
      </c>
      <c r="O714" s="493">
        <f t="shared" si="253"/>
        <v>64233927.650807656</v>
      </c>
      <c r="P714" s="493">
        <f t="shared" si="253"/>
        <v>64233927.650807656</v>
      </c>
      <c r="Q714" s="493">
        <f t="shared" si="263"/>
        <v>64233927.650807656</v>
      </c>
      <c r="R714" s="493">
        <f t="shared" si="254"/>
        <v>64233927.650807656</v>
      </c>
      <c r="S714" s="493">
        <f t="shared" si="255"/>
        <v>64233927.650807656</v>
      </c>
      <c r="T714" s="794"/>
      <c r="V714" s="641">
        <f t="shared" si="256"/>
        <v>770807131.80969179</v>
      </c>
      <c r="W714" s="765"/>
      <c r="X714" s="1016"/>
      <c r="Y714" s="675">
        <f t="shared" si="257"/>
        <v>0</v>
      </c>
      <c r="Z714" s="766">
        <f>1%/1.1</f>
        <v>9.0909090909090905E-3</v>
      </c>
      <c r="AA714" s="675">
        <f t="shared" si="258"/>
        <v>0</v>
      </c>
      <c r="AB714" s="766">
        <f>1%/1.1</f>
        <v>9.0909090909090905E-3</v>
      </c>
      <c r="AC714" s="675">
        <f t="shared" si="259"/>
        <v>0</v>
      </c>
      <c r="AD714" s="766">
        <f>1%/1.1</f>
        <v>9.0909090909090905E-3</v>
      </c>
      <c r="AE714" s="675">
        <f t="shared" si="260"/>
        <v>0</v>
      </c>
      <c r="AF714" s="766">
        <f>1%/1.1</f>
        <v>9.0909090909090905E-3</v>
      </c>
      <c r="AL714" s="489"/>
      <c r="AM714" s="489"/>
      <c r="AN714" s="489"/>
      <c r="AO714" s="489"/>
      <c r="AP714" s="489"/>
      <c r="AQ714" s="489"/>
      <c r="AR714" s="489"/>
      <c r="AS714" s="489"/>
    </row>
    <row r="715" spans="1:45" s="484" customFormat="1">
      <c r="A715" s="695" t="s">
        <v>1287</v>
      </c>
      <c r="B715" s="638"/>
      <c r="C715" s="639"/>
      <c r="D715" s="639"/>
      <c r="E715" s="493">
        <f t="shared" si="261"/>
        <v>0</v>
      </c>
      <c r="F715" s="763">
        <f t="shared" si="264"/>
        <v>1.2500000000000001E-2</v>
      </c>
      <c r="G715" s="493">
        <f t="shared" si="262"/>
        <v>0</v>
      </c>
      <c r="H715" s="493">
        <f t="shared" si="263"/>
        <v>0</v>
      </c>
      <c r="I715" s="493">
        <f t="shared" si="263"/>
        <v>0</v>
      </c>
      <c r="J715" s="493">
        <f t="shared" si="263"/>
        <v>0</v>
      </c>
      <c r="K715" s="493">
        <f t="shared" si="263"/>
        <v>0</v>
      </c>
      <c r="L715" s="493">
        <f t="shared" si="263"/>
        <v>0</v>
      </c>
      <c r="M715" s="493">
        <f t="shared" si="263"/>
        <v>0</v>
      </c>
      <c r="N715" s="493">
        <f t="shared" si="253"/>
        <v>0</v>
      </c>
      <c r="O715" s="493">
        <f t="shared" si="253"/>
        <v>0</v>
      </c>
      <c r="P715" s="493">
        <f t="shared" si="253"/>
        <v>0</v>
      </c>
      <c r="Q715" s="493">
        <f t="shared" si="263"/>
        <v>0</v>
      </c>
      <c r="R715" s="493">
        <f t="shared" si="254"/>
        <v>0</v>
      </c>
      <c r="S715" s="493">
        <f t="shared" si="255"/>
        <v>0</v>
      </c>
      <c r="T715" s="794"/>
      <c r="V715" s="641">
        <f t="shared" si="256"/>
        <v>0</v>
      </c>
      <c r="W715" s="713"/>
      <c r="X715" s="1015"/>
      <c r="Y715" s="675">
        <f t="shared" si="257"/>
        <v>535493291.98084921</v>
      </c>
      <c r="Z715" s="766">
        <v>1.5E-3</v>
      </c>
      <c r="AA715" s="675">
        <f t="shared" si="258"/>
        <v>519566592.08723748</v>
      </c>
      <c r="AB715" s="766">
        <v>1.5E-3</v>
      </c>
      <c r="AC715" s="675">
        <f t="shared" si="259"/>
        <v>519566592.08723748</v>
      </c>
      <c r="AD715" s="766">
        <v>1.5E-3</v>
      </c>
      <c r="AE715" s="675">
        <f t="shared" si="260"/>
        <v>519566592.08723748</v>
      </c>
      <c r="AF715" s="766">
        <v>1.5E-3</v>
      </c>
      <c r="AL715" s="489"/>
      <c r="AM715" s="489"/>
      <c r="AN715" s="489"/>
      <c r="AO715" s="489"/>
      <c r="AP715" s="489"/>
      <c r="AQ715" s="489"/>
      <c r="AR715" s="489"/>
      <c r="AS715" s="489"/>
    </row>
    <row r="716" spans="1:45" s="484" customFormat="1" ht="14.5">
      <c r="A716" s="695" t="s">
        <v>1288</v>
      </c>
      <c r="B716" s="647"/>
      <c r="C716" s="644"/>
      <c r="D716" s="644"/>
      <c r="E716" s="493">
        <f t="shared" si="261"/>
        <v>0</v>
      </c>
      <c r="F716" s="763">
        <f t="shared" si="264"/>
        <v>1.75E-3</v>
      </c>
      <c r="G716" s="493">
        <f t="shared" si="262"/>
        <v>0</v>
      </c>
      <c r="H716" s="493">
        <f t="shared" si="263"/>
        <v>0</v>
      </c>
      <c r="I716" s="493">
        <f t="shared" si="263"/>
        <v>0</v>
      </c>
      <c r="J716" s="493">
        <f t="shared" si="263"/>
        <v>0</v>
      </c>
      <c r="K716" s="493">
        <f t="shared" si="263"/>
        <v>0</v>
      </c>
      <c r="L716" s="493">
        <f t="shared" si="263"/>
        <v>0</v>
      </c>
      <c r="M716" s="493">
        <f t="shared" si="263"/>
        <v>0</v>
      </c>
      <c r="N716" s="493">
        <f t="shared" si="253"/>
        <v>0</v>
      </c>
      <c r="O716" s="493">
        <f t="shared" si="253"/>
        <v>0</v>
      </c>
      <c r="P716" s="493">
        <f t="shared" si="253"/>
        <v>0</v>
      </c>
      <c r="Q716" s="493">
        <f t="shared" si="263"/>
        <v>0</v>
      </c>
      <c r="R716" s="493">
        <f t="shared" si="254"/>
        <v>0</v>
      </c>
      <c r="S716" s="493">
        <f t="shared" si="255"/>
        <v>0</v>
      </c>
      <c r="T716" s="794"/>
      <c r="V716" s="641">
        <f t="shared" si="256"/>
        <v>0</v>
      </c>
      <c r="W716" s="765"/>
      <c r="X716" s="1016"/>
      <c r="Y716" s="675" t="e">
        <f t="shared" si="257"/>
        <v>#REF!</v>
      </c>
      <c r="Z716" s="766">
        <v>1.2500000000000001E-2</v>
      </c>
      <c r="AA716" s="675" t="e">
        <f t="shared" si="258"/>
        <v>#REF!</v>
      </c>
      <c r="AB716" s="766">
        <v>1.2500000000000001E-2</v>
      </c>
      <c r="AC716" s="675" t="e">
        <f t="shared" si="259"/>
        <v>#REF!</v>
      </c>
      <c r="AD716" s="766">
        <v>1.2500000000000001E-2</v>
      </c>
      <c r="AE716" s="675" t="e">
        <f t="shared" si="260"/>
        <v>#REF!</v>
      </c>
      <c r="AF716" s="766">
        <v>1.2500000000000001E-2</v>
      </c>
      <c r="AL716" s="489"/>
      <c r="AM716" s="489"/>
      <c r="AN716" s="489"/>
      <c r="AO716" s="489"/>
      <c r="AP716" s="489"/>
      <c r="AQ716" s="489"/>
      <c r="AR716" s="489"/>
      <c r="AS716" s="489"/>
    </row>
    <row r="717" spans="1:45" s="484" customFormat="1">
      <c r="A717" s="695" t="s">
        <v>1289</v>
      </c>
      <c r="B717" s="647"/>
      <c r="C717" s="648"/>
      <c r="D717" s="639"/>
      <c r="E717" s="493">
        <f t="shared" si="261"/>
        <v>0</v>
      </c>
      <c r="F717" s="763">
        <f t="shared" si="264"/>
        <v>1.125E-2</v>
      </c>
      <c r="G717" s="493">
        <f t="shared" si="262"/>
        <v>0</v>
      </c>
      <c r="H717" s="493">
        <f t="shared" si="263"/>
        <v>0</v>
      </c>
      <c r="I717" s="493">
        <f t="shared" si="263"/>
        <v>0</v>
      </c>
      <c r="J717" s="493">
        <f t="shared" si="263"/>
        <v>0</v>
      </c>
      <c r="K717" s="493">
        <f t="shared" si="263"/>
        <v>0</v>
      </c>
      <c r="L717" s="493">
        <f t="shared" si="263"/>
        <v>0</v>
      </c>
      <c r="M717" s="493">
        <f t="shared" si="263"/>
        <v>0</v>
      </c>
      <c r="N717" s="493">
        <f t="shared" si="253"/>
        <v>0</v>
      </c>
      <c r="O717" s="493">
        <f t="shared" si="253"/>
        <v>0</v>
      </c>
      <c r="P717" s="493">
        <f t="shared" si="253"/>
        <v>0</v>
      </c>
      <c r="Q717" s="493">
        <f t="shared" si="263"/>
        <v>0</v>
      </c>
      <c r="R717" s="493">
        <f t="shared" si="254"/>
        <v>0</v>
      </c>
      <c r="S717" s="493">
        <f t="shared" si="255"/>
        <v>0</v>
      </c>
      <c r="T717" s="794"/>
      <c r="V717" s="641">
        <f t="shared" si="256"/>
        <v>0</v>
      </c>
      <c r="W717" s="713"/>
      <c r="X717" s="1015"/>
      <c r="Y717" s="675">
        <f t="shared" si="257"/>
        <v>3.0255000000000001</v>
      </c>
      <c r="Z717" s="766">
        <v>3.0000000000000001E-3</v>
      </c>
      <c r="AA717" s="675">
        <f t="shared" si="258"/>
        <v>0</v>
      </c>
      <c r="AB717" s="766">
        <v>3.0000000000000001E-3</v>
      </c>
      <c r="AC717" s="675">
        <f t="shared" si="259"/>
        <v>0</v>
      </c>
      <c r="AD717" s="766">
        <v>3.0000000000000001E-3</v>
      </c>
      <c r="AE717" s="675">
        <f t="shared" si="260"/>
        <v>0</v>
      </c>
      <c r="AF717" s="766">
        <v>3.0000000000000001E-3</v>
      </c>
      <c r="AL717" s="489"/>
      <c r="AM717" s="489"/>
      <c r="AN717" s="489"/>
      <c r="AO717" s="489"/>
      <c r="AP717" s="489"/>
      <c r="AQ717" s="489"/>
      <c r="AR717" s="489"/>
      <c r="AS717" s="489"/>
    </row>
    <row r="718" spans="1:45" s="484" customFormat="1" ht="14.5">
      <c r="A718" s="695" t="s">
        <v>1290</v>
      </c>
      <c r="B718" s="647"/>
      <c r="C718" s="644"/>
      <c r="D718" s="644"/>
      <c r="E718" s="493">
        <f t="shared" si="261"/>
        <v>0</v>
      </c>
      <c r="F718" s="763">
        <f t="shared" si="264"/>
        <v>1.5E-3</v>
      </c>
      <c r="G718" s="493">
        <f t="shared" si="262"/>
        <v>0</v>
      </c>
      <c r="H718" s="493">
        <f t="shared" si="263"/>
        <v>0</v>
      </c>
      <c r="I718" s="493">
        <f t="shared" si="263"/>
        <v>0</v>
      </c>
      <c r="J718" s="493">
        <f t="shared" si="263"/>
        <v>0</v>
      </c>
      <c r="K718" s="493">
        <f t="shared" si="263"/>
        <v>0</v>
      </c>
      <c r="L718" s="493">
        <f t="shared" si="263"/>
        <v>0</v>
      </c>
      <c r="M718" s="493">
        <f t="shared" si="263"/>
        <v>0</v>
      </c>
      <c r="N718" s="493">
        <f t="shared" si="253"/>
        <v>0</v>
      </c>
      <c r="O718" s="493">
        <f t="shared" si="253"/>
        <v>0</v>
      </c>
      <c r="P718" s="493">
        <f t="shared" si="253"/>
        <v>0</v>
      </c>
      <c r="Q718" s="493">
        <f t="shared" si="263"/>
        <v>0</v>
      </c>
      <c r="R718" s="493">
        <f t="shared" si="254"/>
        <v>0</v>
      </c>
      <c r="S718" s="493">
        <f t="shared" si="255"/>
        <v>0</v>
      </c>
      <c r="T718" s="794"/>
      <c r="V718" s="641">
        <f t="shared" si="256"/>
        <v>0</v>
      </c>
      <c r="W718" s="488"/>
      <c r="X718" s="1016"/>
      <c r="Y718" s="675">
        <f t="shared" si="257"/>
        <v>3772016.8234407688</v>
      </c>
      <c r="Z718" s="767">
        <v>6.8000000000000005E-4</v>
      </c>
      <c r="AA718" s="675">
        <f t="shared" si="258"/>
        <v>4526420.1881289221</v>
      </c>
      <c r="AB718" s="767">
        <v>6.8000000000000005E-4</v>
      </c>
      <c r="AC718" s="675">
        <f t="shared" si="259"/>
        <v>5431704.2257547071</v>
      </c>
      <c r="AD718" s="767">
        <v>6.8000000000000005E-4</v>
      </c>
      <c r="AE718" s="675">
        <f t="shared" si="260"/>
        <v>6518045.0709056491</v>
      </c>
      <c r="AF718" s="767">
        <v>6.8000000000000005E-4</v>
      </c>
      <c r="AL718" s="489"/>
      <c r="AM718" s="489"/>
      <c r="AN718" s="489"/>
      <c r="AO718" s="489"/>
      <c r="AP718" s="489"/>
      <c r="AQ718" s="489"/>
      <c r="AR718" s="489"/>
      <c r="AS718" s="489"/>
    </row>
    <row r="719" spans="1:45" s="484" customFormat="1">
      <c r="A719" s="695" t="s">
        <v>1291</v>
      </c>
      <c r="B719" s="647"/>
      <c r="C719" s="648"/>
      <c r="D719" s="639"/>
      <c r="E719" s="493">
        <f t="shared" si="261"/>
        <v>0</v>
      </c>
      <c r="F719" s="763">
        <f t="shared" si="264"/>
        <v>1.4999999999999999E-2</v>
      </c>
      <c r="G719" s="493">
        <f t="shared" si="262"/>
        <v>0</v>
      </c>
      <c r="H719" s="493">
        <f t="shared" si="263"/>
        <v>0</v>
      </c>
      <c r="I719" s="493">
        <f t="shared" si="263"/>
        <v>0</v>
      </c>
      <c r="J719" s="493">
        <f t="shared" si="263"/>
        <v>0</v>
      </c>
      <c r="K719" s="493">
        <f t="shared" si="263"/>
        <v>0</v>
      </c>
      <c r="L719" s="493">
        <f t="shared" si="263"/>
        <v>0</v>
      </c>
      <c r="M719" s="493">
        <f t="shared" si="263"/>
        <v>0</v>
      </c>
      <c r="N719" s="493">
        <f t="shared" si="253"/>
        <v>0</v>
      </c>
      <c r="O719" s="493">
        <f t="shared" si="253"/>
        <v>0</v>
      </c>
      <c r="P719" s="493">
        <f t="shared" si="253"/>
        <v>0</v>
      </c>
      <c r="Q719" s="493">
        <f t="shared" si="263"/>
        <v>0</v>
      </c>
      <c r="R719" s="493">
        <f t="shared" si="254"/>
        <v>0</v>
      </c>
      <c r="S719" s="493">
        <f t="shared" si="255"/>
        <v>0</v>
      </c>
      <c r="T719" s="794"/>
      <c r="V719" s="641">
        <f t="shared" si="256"/>
        <v>0</v>
      </c>
      <c r="W719" s="713"/>
      <c r="X719" s="1015"/>
      <c r="Y719" s="675">
        <f t="shared" si="257"/>
        <v>63133103.23450733</v>
      </c>
      <c r="Z719" s="767">
        <v>7.5000000000000002E-4</v>
      </c>
      <c r="AA719" s="675">
        <f t="shared" si="258"/>
        <v>75759723.881408796</v>
      </c>
      <c r="AB719" s="767">
        <v>7.5000000000000002E-4</v>
      </c>
      <c r="AC719" s="675">
        <f t="shared" si="259"/>
        <v>90911668.65769054</v>
      </c>
      <c r="AD719" s="767">
        <v>7.5000000000000002E-4</v>
      </c>
      <c r="AE719" s="675">
        <f t="shared" si="260"/>
        <v>109094002.38922866</v>
      </c>
      <c r="AF719" s="767">
        <v>7.5000000000000002E-4</v>
      </c>
      <c r="AL719" s="489"/>
      <c r="AM719" s="489"/>
      <c r="AN719" s="489"/>
      <c r="AO719" s="489"/>
      <c r="AP719" s="489"/>
      <c r="AQ719" s="489"/>
      <c r="AR719" s="489"/>
      <c r="AS719" s="489"/>
    </row>
    <row r="720" spans="1:45" s="484" customFormat="1" ht="14.5">
      <c r="A720" s="695" t="s">
        <v>1292</v>
      </c>
      <c r="B720" s="647"/>
      <c r="C720" s="644"/>
      <c r="D720" s="644"/>
      <c r="E720" s="493">
        <f t="shared" si="261"/>
        <v>0</v>
      </c>
      <c r="F720" s="763">
        <f t="shared" si="264"/>
        <v>1.4999999999999999E-2</v>
      </c>
      <c r="G720" s="493">
        <f t="shared" si="262"/>
        <v>0</v>
      </c>
      <c r="H720" s="493">
        <f t="shared" ref="H720:Q735" si="265">(G277+H277)/2*$F720/12</f>
        <v>0</v>
      </c>
      <c r="I720" s="493">
        <f t="shared" si="265"/>
        <v>0</v>
      </c>
      <c r="J720" s="493">
        <f t="shared" si="265"/>
        <v>0</v>
      </c>
      <c r="K720" s="493">
        <f t="shared" si="265"/>
        <v>0</v>
      </c>
      <c r="L720" s="493">
        <f t="shared" si="265"/>
        <v>0</v>
      </c>
      <c r="M720" s="493">
        <f t="shared" si="265"/>
        <v>0</v>
      </c>
      <c r="N720" s="493">
        <f t="shared" si="253"/>
        <v>0</v>
      </c>
      <c r="O720" s="493">
        <f t="shared" si="253"/>
        <v>0</v>
      </c>
      <c r="P720" s="493">
        <f t="shared" si="253"/>
        <v>0</v>
      </c>
      <c r="Q720" s="493">
        <f t="shared" si="265"/>
        <v>0</v>
      </c>
      <c r="R720" s="493">
        <f t="shared" si="254"/>
        <v>0</v>
      </c>
      <c r="S720" s="493">
        <f t="shared" si="255"/>
        <v>0</v>
      </c>
      <c r="T720" s="794"/>
      <c r="V720" s="641">
        <f t="shared" si="256"/>
        <v>0</v>
      </c>
      <c r="W720" s="488"/>
      <c r="X720" s="1016"/>
      <c r="Y720" s="675">
        <f t="shared" si="257"/>
        <v>6225998.1763986237</v>
      </c>
      <c r="Z720" s="767">
        <f>0.3%/1.1</f>
        <v>2.7272727272727271E-3</v>
      </c>
      <c r="AA720" s="675">
        <f t="shared" si="258"/>
        <v>7471197.8116783481</v>
      </c>
      <c r="AB720" s="767">
        <f>0.3%/1.1</f>
        <v>2.7272727272727271E-3</v>
      </c>
      <c r="AC720" s="675">
        <f t="shared" si="259"/>
        <v>8965437.3740140181</v>
      </c>
      <c r="AD720" s="767">
        <f>0.3%/1.1</f>
        <v>2.7272727272727271E-3</v>
      </c>
      <c r="AE720" s="675">
        <f t="shared" si="260"/>
        <v>10758524.848816821</v>
      </c>
      <c r="AF720" s="767">
        <f>0.3%/1.1</f>
        <v>2.7272727272727271E-3</v>
      </c>
      <c r="AL720" s="489"/>
      <c r="AM720" s="489"/>
      <c r="AN720" s="489"/>
      <c r="AO720" s="489"/>
      <c r="AP720" s="489"/>
      <c r="AQ720" s="489"/>
      <c r="AR720" s="489"/>
      <c r="AS720" s="489"/>
    </row>
    <row r="721" spans="1:45" s="484" customFormat="1" ht="14.5">
      <c r="A721" s="695" t="s">
        <v>1293</v>
      </c>
      <c r="B721" s="647"/>
      <c r="C721" s="644"/>
      <c r="D721" s="644"/>
      <c r="E721" s="493">
        <f t="shared" si="261"/>
        <v>0</v>
      </c>
      <c r="F721" s="763">
        <f t="shared" si="264"/>
        <v>1.4999999999999999E-2</v>
      </c>
      <c r="G721" s="493">
        <f t="shared" si="262"/>
        <v>0</v>
      </c>
      <c r="H721" s="493">
        <f t="shared" si="265"/>
        <v>0</v>
      </c>
      <c r="I721" s="493">
        <f t="shared" si="265"/>
        <v>0</v>
      </c>
      <c r="J721" s="493">
        <f t="shared" si="265"/>
        <v>0</v>
      </c>
      <c r="K721" s="493">
        <f t="shared" si="265"/>
        <v>0</v>
      </c>
      <c r="L721" s="493">
        <f t="shared" si="265"/>
        <v>0</v>
      </c>
      <c r="M721" s="493">
        <f t="shared" si="265"/>
        <v>0</v>
      </c>
      <c r="N721" s="493">
        <f t="shared" si="253"/>
        <v>0</v>
      </c>
      <c r="O721" s="493">
        <f t="shared" si="253"/>
        <v>0</v>
      </c>
      <c r="P721" s="493">
        <f t="shared" si="253"/>
        <v>0</v>
      </c>
      <c r="Q721" s="493">
        <f t="shared" si="265"/>
        <v>0</v>
      </c>
      <c r="R721" s="493">
        <f t="shared" si="254"/>
        <v>0</v>
      </c>
      <c r="S721" s="493">
        <f t="shared" si="255"/>
        <v>0</v>
      </c>
      <c r="T721" s="794"/>
      <c r="V721" s="641">
        <f t="shared" si="256"/>
        <v>0</v>
      </c>
      <c r="W721" s="488"/>
      <c r="X721" s="1016"/>
      <c r="Y721" s="675">
        <f t="shared" si="257"/>
        <v>13135643.931108087</v>
      </c>
      <c r="Z721" s="767">
        <f>0.3%/1.1</f>
        <v>2.7272727272727271E-3</v>
      </c>
      <c r="AA721" s="675">
        <f t="shared" si="258"/>
        <v>15762772.717329705</v>
      </c>
      <c r="AB721" s="767">
        <f>0.3%/1.1</f>
        <v>2.7272727272727271E-3</v>
      </c>
      <c r="AC721" s="675">
        <f t="shared" si="259"/>
        <v>18915327.260795645</v>
      </c>
      <c r="AD721" s="767">
        <f>0.3%/1.1</f>
        <v>2.7272727272727271E-3</v>
      </c>
      <c r="AE721" s="675">
        <f t="shared" si="260"/>
        <v>22698392.712954771</v>
      </c>
      <c r="AF721" s="767">
        <f>0.3%/1.1</f>
        <v>2.7272727272727271E-3</v>
      </c>
      <c r="AL721" s="489"/>
      <c r="AM721" s="489"/>
      <c r="AN721" s="489"/>
      <c r="AO721" s="489"/>
      <c r="AP721" s="489"/>
      <c r="AQ721" s="489"/>
      <c r="AR721" s="489"/>
      <c r="AS721" s="489"/>
    </row>
    <row r="722" spans="1:45" s="484" customFormat="1" ht="14.5">
      <c r="A722" s="695" t="s">
        <v>1294</v>
      </c>
      <c r="B722" s="647"/>
      <c r="C722" s="644"/>
      <c r="D722" s="644"/>
      <c r="E722" s="493">
        <f t="shared" si="261"/>
        <v>2774344.9919791664</v>
      </c>
      <c r="F722" s="763">
        <f t="shared" si="264"/>
        <v>6.4999999999999997E-3</v>
      </c>
      <c r="G722" s="493">
        <f t="shared" si="262"/>
        <v>7203693.8518640632</v>
      </c>
      <c r="H722" s="493">
        <f t="shared" si="265"/>
        <v>8858697.7197697945</v>
      </c>
      <c r="I722" s="493">
        <f t="shared" si="265"/>
        <v>8858697.7197697945</v>
      </c>
      <c r="J722" s="493">
        <f t="shared" si="265"/>
        <v>8858697.7197697945</v>
      </c>
      <c r="K722" s="493">
        <f t="shared" si="265"/>
        <v>8858697.7197697945</v>
      </c>
      <c r="L722" s="493">
        <f t="shared" si="265"/>
        <v>8858697.7197697945</v>
      </c>
      <c r="M722" s="493">
        <f t="shared" si="265"/>
        <v>8858697.7197697945</v>
      </c>
      <c r="N722" s="493">
        <f t="shared" si="253"/>
        <v>8858697.7197697945</v>
      </c>
      <c r="O722" s="493">
        <f t="shared" si="253"/>
        <v>8858697.7197697945</v>
      </c>
      <c r="P722" s="493">
        <f t="shared" si="253"/>
        <v>8858697.7197697945</v>
      </c>
      <c r="Q722" s="493">
        <f t="shared" si="265"/>
        <v>8858697.7197697945</v>
      </c>
      <c r="R722" s="493">
        <f t="shared" si="254"/>
        <v>8858697.7197697945</v>
      </c>
      <c r="S722" s="493">
        <f t="shared" si="255"/>
        <v>8858697.7197697945</v>
      </c>
      <c r="T722" s="794"/>
      <c r="V722" s="641">
        <f t="shared" si="256"/>
        <v>106304372.6372375</v>
      </c>
      <c r="W722" s="488"/>
      <c r="X722" s="1016"/>
      <c r="Y722" s="675">
        <f t="shared" si="257"/>
        <v>736741924.31213617</v>
      </c>
      <c r="Z722" s="767">
        <f>0.3%/1.1</f>
        <v>2.7272727272727271E-3</v>
      </c>
      <c r="AA722" s="675">
        <f t="shared" si="258"/>
        <v>884090309.17456353</v>
      </c>
      <c r="AB722" s="767">
        <f>0.3%/1.1</f>
        <v>2.7272727272727271E-3</v>
      </c>
      <c r="AC722" s="675">
        <f t="shared" si="259"/>
        <v>1060908371.0094761</v>
      </c>
      <c r="AD722" s="767">
        <f>0.3%/1.1</f>
        <v>2.7272727272727271E-3</v>
      </c>
      <c r="AE722" s="675">
        <f t="shared" si="260"/>
        <v>1273090045.2113712</v>
      </c>
      <c r="AF722" s="767">
        <f>0.3%/1.1</f>
        <v>2.7272727272727271E-3</v>
      </c>
      <c r="AL722" s="489"/>
      <c r="AM722" s="489"/>
      <c r="AN722" s="489"/>
      <c r="AO722" s="489"/>
      <c r="AP722" s="489"/>
      <c r="AQ722" s="489"/>
      <c r="AR722" s="489"/>
      <c r="AS722" s="489"/>
    </row>
    <row r="723" spans="1:45" s="484" customFormat="1" ht="14.5">
      <c r="A723" s="695" t="s">
        <v>1295</v>
      </c>
      <c r="B723" s="647"/>
      <c r="C723" s="644"/>
      <c r="D723" s="644"/>
      <c r="E723" s="493">
        <f t="shared" si="261"/>
        <v>0</v>
      </c>
      <c r="F723" s="763">
        <f t="shared" si="264"/>
        <v>6.4999999999999997E-3</v>
      </c>
      <c r="G723" s="493">
        <f t="shared" si="262"/>
        <v>0</v>
      </c>
      <c r="H723" s="493">
        <f t="shared" si="265"/>
        <v>0</v>
      </c>
      <c r="I723" s="493">
        <f t="shared" si="265"/>
        <v>0</v>
      </c>
      <c r="J723" s="493">
        <f t="shared" si="265"/>
        <v>0</v>
      </c>
      <c r="K723" s="493">
        <f t="shared" si="265"/>
        <v>0</v>
      </c>
      <c r="L723" s="493">
        <f t="shared" si="265"/>
        <v>0</v>
      </c>
      <c r="M723" s="493">
        <f t="shared" si="265"/>
        <v>0</v>
      </c>
      <c r="N723" s="493">
        <f t="shared" si="265"/>
        <v>0</v>
      </c>
      <c r="O723" s="493">
        <f t="shared" si="265"/>
        <v>0</v>
      </c>
      <c r="P723" s="493">
        <f t="shared" si="265"/>
        <v>0</v>
      </c>
      <c r="Q723" s="493">
        <f t="shared" si="265"/>
        <v>0</v>
      </c>
      <c r="R723" s="493">
        <f t="shared" si="254"/>
        <v>0</v>
      </c>
      <c r="S723" s="493">
        <f t="shared" si="255"/>
        <v>0</v>
      </c>
      <c r="T723" s="794"/>
      <c r="V723" s="641">
        <f t="shared" si="256"/>
        <v>0</v>
      </c>
      <c r="W723" s="488"/>
      <c r="X723" s="1016"/>
      <c r="Y723" s="675"/>
      <c r="Z723" s="767"/>
      <c r="AA723" s="675"/>
      <c r="AB723" s="767"/>
      <c r="AC723" s="675"/>
      <c r="AD723" s="767"/>
      <c r="AE723" s="675"/>
      <c r="AF723" s="767"/>
      <c r="AL723" s="489"/>
      <c r="AM723" s="489"/>
      <c r="AN723" s="489"/>
      <c r="AO723" s="489"/>
      <c r="AP723" s="489"/>
      <c r="AQ723" s="489"/>
      <c r="AR723" s="489"/>
      <c r="AS723" s="489"/>
    </row>
    <row r="724" spans="1:45" s="484" customFormat="1" ht="14.5">
      <c r="A724" s="695" t="s">
        <v>1296</v>
      </c>
      <c r="B724" s="647"/>
      <c r="C724" s="644"/>
      <c r="D724" s="644"/>
      <c r="E724" s="493">
        <f t="shared" si="261"/>
        <v>612817.88312500005</v>
      </c>
      <c r="F724" s="763">
        <f t="shared" si="264"/>
        <v>3.0000000000000001E-3</v>
      </c>
      <c r="G724" s="493">
        <f t="shared" si="262"/>
        <v>1222953.0069852013</v>
      </c>
      <c r="H724" s="493">
        <f t="shared" si="265"/>
        <v>1220270.2477204029</v>
      </c>
      <c r="I724" s="493">
        <f t="shared" si="265"/>
        <v>1220270.2477204029</v>
      </c>
      <c r="J724" s="493">
        <f t="shared" si="265"/>
        <v>1220270.2477204029</v>
      </c>
      <c r="K724" s="493">
        <f t="shared" si="265"/>
        <v>1220270.2477204029</v>
      </c>
      <c r="L724" s="493">
        <f t="shared" si="265"/>
        <v>1220270.2477204029</v>
      </c>
      <c r="M724" s="493">
        <f t="shared" si="265"/>
        <v>1220270.2477204029</v>
      </c>
      <c r="N724" s="493">
        <f t="shared" si="265"/>
        <v>1220270.2477204029</v>
      </c>
      <c r="O724" s="493">
        <f t="shared" si="265"/>
        <v>1220270.2477204029</v>
      </c>
      <c r="P724" s="493">
        <f t="shared" si="265"/>
        <v>1220270.2477204029</v>
      </c>
      <c r="Q724" s="493">
        <f t="shared" si="265"/>
        <v>1220270.2477204029</v>
      </c>
      <c r="R724" s="493">
        <f t="shared" si="254"/>
        <v>1220270.2477204029</v>
      </c>
      <c r="S724" s="493">
        <f t="shared" si="255"/>
        <v>1220270.2477204029</v>
      </c>
      <c r="T724" s="794"/>
      <c r="V724" s="641">
        <f t="shared" si="256"/>
        <v>14643242.972644838</v>
      </c>
      <c r="W724" s="488"/>
      <c r="X724" s="1016"/>
      <c r="Y724" s="675"/>
      <c r="Z724" s="767"/>
      <c r="AA724" s="675"/>
      <c r="AB724" s="767"/>
      <c r="AC724" s="675"/>
      <c r="AD724" s="767"/>
      <c r="AE724" s="675"/>
      <c r="AF724" s="767"/>
      <c r="AL724" s="489"/>
      <c r="AM724" s="489"/>
      <c r="AN724" s="489"/>
      <c r="AO724" s="489"/>
      <c r="AP724" s="489"/>
      <c r="AQ724" s="489"/>
      <c r="AR724" s="489"/>
      <c r="AS724" s="489"/>
    </row>
    <row r="725" spans="1:45" s="484" customFormat="1" ht="14.5">
      <c r="A725" s="695" t="s">
        <v>1297</v>
      </c>
      <c r="B725" s="647"/>
      <c r="C725" s="644"/>
      <c r="D725" s="644"/>
      <c r="E725" s="493">
        <f t="shared" si="261"/>
        <v>0</v>
      </c>
      <c r="F725" s="763">
        <f t="shared" si="264"/>
        <v>6.8000000000000005E-4</v>
      </c>
      <c r="G725" s="493">
        <f t="shared" si="262"/>
        <v>0</v>
      </c>
      <c r="H725" s="493">
        <f t="shared" si="265"/>
        <v>0</v>
      </c>
      <c r="I725" s="493">
        <f t="shared" si="265"/>
        <v>0</v>
      </c>
      <c r="J725" s="493">
        <f t="shared" si="265"/>
        <v>0</v>
      </c>
      <c r="K725" s="493">
        <f t="shared" si="265"/>
        <v>0</v>
      </c>
      <c r="L725" s="493">
        <f t="shared" si="265"/>
        <v>0</v>
      </c>
      <c r="M725" s="493">
        <f t="shared" si="265"/>
        <v>0</v>
      </c>
      <c r="N725" s="493">
        <f t="shared" si="265"/>
        <v>0</v>
      </c>
      <c r="O725" s="493">
        <f t="shared" si="265"/>
        <v>0</v>
      </c>
      <c r="P725" s="493">
        <f t="shared" si="265"/>
        <v>0</v>
      </c>
      <c r="Q725" s="493">
        <f t="shared" si="265"/>
        <v>0</v>
      </c>
      <c r="R725" s="493">
        <f t="shared" si="254"/>
        <v>0</v>
      </c>
      <c r="S725" s="493">
        <f t="shared" si="255"/>
        <v>0</v>
      </c>
      <c r="T725" s="794"/>
      <c r="V725" s="641">
        <f t="shared" si="256"/>
        <v>0</v>
      </c>
      <c r="W725" s="488"/>
      <c r="X725" s="1016"/>
      <c r="Y725" s="675"/>
      <c r="Z725" s="767"/>
      <c r="AA725" s="675"/>
      <c r="AB725" s="767"/>
      <c r="AC725" s="675"/>
      <c r="AD725" s="767"/>
      <c r="AE725" s="675"/>
      <c r="AF725" s="767"/>
      <c r="AL725" s="489"/>
      <c r="AM725" s="489"/>
      <c r="AN725" s="489"/>
      <c r="AO725" s="489"/>
      <c r="AP725" s="489"/>
      <c r="AQ725" s="489"/>
      <c r="AR725" s="489"/>
      <c r="AS725" s="489"/>
    </row>
    <row r="726" spans="1:45" s="484" customFormat="1" ht="14.5">
      <c r="A726" s="695" t="s">
        <v>1298</v>
      </c>
      <c r="B726" s="647"/>
      <c r="C726" s="644"/>
      <c r="D726" s="644"/>
      <c r="E726" s="493">
        <f t="shared" si="261"/>
        <v>0</v>
      </c>
      <c r="F726" s="763">
        <f t="shared" si="264"/>
        <v>6.8000000000000005E-4</v>
      </c>
      <c r="G726" s="493">
        <f t="shared" si="262"/>
        <v>0</v>
      </c>
      <c r="H726" s="493">
        <f t="shared" si="265"/>
        <v>0</v>
      </c>
      <c r="I726" s="493">
        <f t="shared" si="265"/>
        <v>0</v>
      </c>
      <c r="J726" s="493">
        <f t="shared" si="265"/>
        <v>0</v>
      </c>
      <c r="K726" s="493">
        <f t="shared" si="265"/>
        <v>0</v>
      </c>
      <c r="L726" s="493">
        <f t="shared" si="265"/>
        <v>0</v>
      </c>
      <c r="M726" s="493">
        <f t="shared" si="265"/>
        <v>0</v>
      </c>
      <c r="N726" s="493">
        <f t="shared" si="265"/>
        <v>0</v>
      </c>
      <c r="O726" s="493">
        <f t="shared" si="265"/>
        <v>0</v>
      </c>
      <c r="P726" s="493">
        <f t="shared" si="265"/>
        <v>0</v>
      </c>
      <c r="Q726" s="493">
        <f t="shared" si="265"/>
        <v>0</v>
      </c>
      <c r="R726" s="493">
        <f t="shared" si="254"/>
        <v>0</v>
      </c>
      <c r="S726" s="493">
        <f t="shared" si="255"/>
        <v>0</v>
      </c>
      <c r="T726" s="794"/>
      <c r="V726" s="641">
        <f t="shared" si="256"/>
        <v>0</v>
      </c>
      <c r="W726" s="488"/>
      <c r="X726" s="1016"/>
      <c r="Y726" s="675"/>
      <c r="Z726" s="767"/>
      <c r="AA726" s="675"/>
      <c r="AB726" s="767"/>
      <c r="AC726" s="675"/>
      <c r="AD726" s="767"/>
      <c r="AE726" s="675"/>
      <c r="AF726" s="767"/>
      <c r="AL726" s="489"/>
      <c r="AM726" s="489"/>
      <c r="AN726" s="489"/>
      <c r="AO726" s="489"/>
      <c r="AP726" s="489"/>
      <c r="AQ726" s="489"/>
      <c r="AR726" s="489"/>
      <c r="AS726" s="489"/>
    </row>
    <row r="727" spans="1:45" s="484" customFormat="1" ht="14.5">
      <c r="A727" s="695" t="s">
        <v>1299</v>
      </c>
      <c r="B727" s="647"/>
      <c r="C727" s="644"/>
      <c r="D727" s="644"/>
      <c r="E727" s="493">
        <f t="shared" si="261"/>
        <v>0</v>
      </c>
      <c r="F727" s="763">
        <f t="shared" si="264"/>
        <v>2.7000000000000001E-3</v>
      </c>
      <c r="G727" s="493">
        <f t="shared" si="262"/>
        <v>0</v>
      </c>
      <c r="H727" s="493">
        <f t="shared" si="265"/>
        <v>0</v>
      </c>
      <c r="I727" s="493">
        <f t="shared" si="265"/>
        <v>0</v>
      </c>
      <c r="J727" s="493">
        <f t="shared" si="265"/>
        <v>0</v>
      </c>
      <c r="K727" s="493">
        <f t="shared" si="265"/>
        <v>0</v>
      </c>
      <c r="L727" s="493">
        <f t="shared" si="265"/>
        <v>0</v>
      </c>
      <c r="M727" s="493">
        <f t="shared" si="265"/>
        <v>0</v>
      </c>
      <c r="N727" s="493">
        <f t="shared" si="265"/>
        <v>0</v>
      </c>
      <c r="O727" s="493">
        <f t="shared" si="265"/>
        <v>0</v>
      </c>
      <c r="P727" s="493">
        <f t="shared" si="265"/>
        <v>0</v>
      </c>
      <c r="Q727" s="493">
        <f t="shared" si="265"/>
        <v>0</v>
      </c>
      <c r="R727" s="493">
        <f t="shared" si="254"/>
        <v>0</v>
      </c>
      <c r="S727" s="493">
        <f t="shared" si="255"/>
        <v>0</v>
      </c>
      <c r="T727" s="794"/>
      <c r="V727" s="641">
        <f t="shared" si="256"/>
        <v>0</v>
      </c>
      <c r="W727" s="488"/>
      <c r="X727" s="1016"/>
      <c r="Y727" s="675"/>
      <c r="Z727" s="767"/>
      <c r="AA727" s="675"/>
      <c r="AB727" s="767"/>
      <c r="AC727" s="675"/>
      <c r="AD727" s="767"/>
      <c r="AE727" s="675"/>
      <c r="AF727" s="767"/>
      <c r="AL727" s="489"/>
      <c r="AM727" s="489"/>
      <c r="AN727" s="489"/>
      <c r="AO727" s="489"/>
      <c r="AP727" s="489"/>
      <c r="AQ727" s="489"/>
      <c r="AR727" s="489"/>
      <c r="AS727" s="489"/>
    </row>
    <row r="728" spans="1:45" s="484" customFormat="1" ht="14.5">
      <c r="A728" s="695" t="s">
        <v>1300</v>
      </c>
      <c r="B728" s="647"/>
      <c r="C728" s="644"/>
      <c r="D728" s="644"/>
      <c r="E728" s="493">
        <f t="shared" si="261"/>
        <v>0</v>
      </c>
      <c r="F728" s="763">
        <f t="shared" si="264"/>
        <v>8.1999999999999998E-4</v>
      </c>
      <c r="G728" s="493">
        <f t="shared" si="262"/>
        <v>0</v>
      </c>
      <c r="H728" s="493">
        <f t="shared" si="265"/>
        <v>0</v>
      </c>
      <c r="I728" s="493">
        <f t="shared" si="265"/>
        <v>0</v>
      </c>
      <c r="J728" s="493">
        <f t="shared" si="265"/>
        <v>0</v>
      </c>
      <c r="K728" s="493">
        <f t="shared" si="265"/>
        <v>0</v>
      </c>
      <c r="L728" s="493">
        <f t="shared" si="265"/>
        <v>0</v>
      </c>
      <c r="M728" s="493">
        <f t="shared" si="265"/>
        <v>0</v>
      </c>
      <c r="N728" s="493">
        <f t="shared" si="265"/>
        <v>0</v>
      </c>
      <c r="O728" s="493">
        <f t="shared" si="265"/>
        <v>0</v>
      </c>
      <c r="P728" s="493">
        <f t="shared" si="265"/>
        <v>0</v>
      </c>
      <c r="Q728" s="493">
        <f t="shared" si="265"/>
        <v>0</v>
      </c>
      <c r="R728" s="493">
        <f t="shared" si="254"/>
        <v>0</v>
      </c>
      <c r="S728" s="493">
        <f t="shared" si="255"/>
        <v>0</v>
      </c>
      <c r="T728" s="794"/>
      <c r="V728" s="641">
        <f t="shared" si="256"/>
        <v>0</v>
      </c>
      <c r="W728" s="488"/>
      <c r="X728" s="1016"/>
      <c r="Y728" s="675"/>
      <c r="Z728" s="767"/>
      <c r="AA728" s="675"/>
      <c r="AB728" s="767"/>
      <c r="AC728" s="675"/>
      <c r="AD728" s="767"/>
      <c r="AE728" s="675"/>
      <c r="AF728" s="767"/>
      <c r="AL728" s="489"/>
      <c r="AM728" s="489"/>
      <c r="AN728" s="489"/>
      <c r="AO728" s="489"/>
      <c r="AP728" s="489"/>
      <c r="AQ728" s="489"/>
      <c r="AR728" s="489"/>
      <c r="AS728" s="489"/>
    </row>
    <row r="729" spans="1:45" s="484" customFormat="1" ht="14.5">
      <c r="A729" s="695" t="s">
        <v>1301</v>
      </c>
      <c r="B729" s="647"/>
      <c r="C729" s="644"/>
      <c r="D729" s="644"/>
      <c r="E729" s="493">
        <f t="shared" si="261"/>
        <v>0</v>
      </c>
      <c r="F729" s="763">
        <f t="shared" si="264"/>
        <v>6.9300000000000004E-3</v>
      </c>
      <c r="G729" s="493">
        <f t="shared" si="262"/>
        <v>0</v>
      </c>
      <c r="H729" s="493">
        <f t="shared" si="265"/>
        <v>0</v>
      </c>
      <c r="I729" s="493">
        <f t="shared" si="265"/>
        <v>0</v>
      </c>
      <c r="J729" s="493">
        <f t="shared" si="265"/>
        <v>0</v>
      </c>
      <c r="K729" s="493">
        <f t="shared" si="265"/>
        <v>0</v>
      </c>
      <c r="L729" s="493">
        <f t="shared" si="265"/>
        <v>0</v>
      </c>
      <c r="M729" s="493">
        <f t="shared" si="265"/>
        <v>0</v>
      </c>
      <c r="N729" s="493">
        <f t="shared" si="265"/>
        <v>0</v>
      </c>
      <c r="O729" s="493">
        <f t="shared" si="265"/>
        <v>0</v>
      </c>
      <c r="P729" s="493">
        <f t="shared" si="265"/>
        <v>0</v>
      </c>
      <c r="Q729" s="493">
        <f t="shared" si="265"/>
        <v>0</v>
      </c>
      <c r="R729" s="493">
        <f t="shared" si="254"/>
        <v>0</v>
      </c>
      <c r="S729" s="493">
        <f t="shared" si="255"/>
        <v>0</v>
      </c>
      <c r="T729" s="794"/>
      <c r="V729" s="641">
        <f t="shared" si="256"/>
        <v>0</v>
      </c>
      <c r="W729" s="488"/>
      <c r="X729" s="1016"/>
      <c r="Y729" s="675"/>
      <c r="Z729" s="767"/>
      <c r="AA729" s="675"/>
      <c r="AB729" s="767"/>
      <c r="AC729" s="675"/>
      <c r="AD729" s="767"/>
      <c r="AE729" s="675"/>
      <c r="AF729" s="767"/>
      <c r="AL729" s="489"/>
      <c r="AM729" s="489"/>
      <c r="AN729" s="489"/>
      <c r="AO729" s="489"/>
      <c r="AP729" s="489"/>
      <c r="AQ729" s="489"/>
      <c r="AR729" s="489"/>
      <c r="AS729" s="489"/>
    </row>
    <row r="730" spans="1:45" s="484" customFormat="1" ht="14.5">
      <c r="A730" s="695" t="s">
        <v>1302</v>
      </c>
      <c r="B730" s="647"/>
      <c r="C730" s="644"/>
      <c r="D730" s="644"/>
      <c r="E730" s="493">
        <f t="shared" si="261"/>
        <v>0</v>
      </c>
      <c r="F730" s="763">
        <f t="shared" si="264"/>
        <v>1.5E-3</v>
      </c>
      <c r="G730" s="493">
        <f t="shared" si="262"/>
        <v>0</v>
      </c>
      <c r="H730" s="493">
        <f t="shared" si="265"/>
        <v>0</v>
      </c>
      <c r="I730" s="493">
        <f t="shared" si="265"/>
        <v>0</v>
      </c>
      <c r="J730" s="493">
        <f t="shared" si="265"/>
        <v>0</v>
      </c>
      <c r="K730" s="493">
        <f t="shared" si="265"/>
        <v>0</v>
      </c>
      <c r="L730" s="493">
        <f t="shared" si="265"/>
        <v>0</v>
      </c>
      <c r="M730" s="493">
        <f t="shared" si="265"/>
        <v>0</v>
      </c>
      <c r="N730" s="493">
        <f t="shared" si="265"/>
        <v>0</v>
      </c>
      <c r="O730" s="493">
        <f t="shared" si="265"/>
        <v>0</v>
      </c>
      <c r="P730" s="493">
        <f t="shared" si="265"/>
        <v>0</v>
      </c>
      <c r="Q730" s="493">
        <f t="shared" si="265"/>
        <v>0</v>
      </c>
      <c r="R730" s="493">
        <f t="shared" si="254"/>
        <v>0</v>
      </c>
      <c r="S730" s="493">
        <f t="shared" si="255"/>
        <v>0</v>
      </c>
      <c r="T730" s="794"/>
      <c r="V730" s="641">
        <f t="shared" si="256"/>
        <v>0</v>
      </c>
      <c r="W730" s="488"/>
      <c r="X730" s="1016"/>
      <c r="Y730" s="675"/>
      <c r="Z730" s="767"/>
      <c r="AA730" s="675"/>
      <c r="AB730" s="767"/>
      <c r="AC730" s="675"/>
      <c r="AD730" s="767"/>
      <c r="AE730" s="675"/>
      <c r="AF730" s="767"/>
      <c r="AL730" s="489"/>
      <c r="AM730" s="489"/>
      <c r="AN730" s="489"/>
      <c r="AO730" s="489"/>
      <c r="AP730" s="489"/>
      <c r="AQ730" s="489"/>
      <c r="AR730" s="489"/>
      <c r="AS730" s="489"/>
    </row>
    <row r="731" spans="1:45" s="484" customFormat="1" ht="14.5">
      <c r="A731" s="695" t="s">
        <v>1303</v>
      </c>
      <c r="B731" s="647"/>
      <c r="C731" s="644"/>
      <c r="D731" s="644"/>
      <c r="E731" s="493">
        <f t="shared" si="261"/>
        <v>0</v>
      </c>
      <c r="F731" s="763">
        <f t="shared" si="264"/>
        <v>1.5E-3</v>
      </c>
      <c r="G731" s="493">
        <f t="shared" si="262"/>
        <v>0</v>
      </c>
      <c r="H731" s="493">
        <f t="shared" si="265"/>
        <v>0</v>
      </c>
      <c r="I731" s="493">
        <f t="shared" si="265"/>
        <v>0</v>
      </c>
      <c r="J731" s="493">
        <f t="shared" si="265"/>
        <v>0</v>
      </c>
      <c r="K731" s="493">
        <f t="shared" si="265"/>
        <v>0</v>
      </c>
      <c r="L731" s="493">
        <f t="shared" si="265"/>
        <v>0</v>
      </c>
      <c r="M731" s="493">
        <f t="shared" si="265"/>
        <v>0</v>
      </c>
      <c r="N731" s="493">
        <f t="shared" si="265"/>
        <v>0</v>
      </c>
      <c r="O731" s="493">
        <f t="shared" si="265"/>
        <v>0</v>
      </c>
      <c r="P731" s="493">
        <f t="shared" si="265"/>
        <v>0</v>
      </c>
      <c r="Q731" s="493">
        <f t="shared" si="265"/>
        <v>0</v>
      </c>
      <c r="R731" s="493">
        <f t="shared" si="254"/>
        <v>0</v>
      </c>
      <c r="S731" s="493">
        <f t="shared" si="255"/>
        <v>0</v>
      </c>
      <c r="T731" s="794"/>
      <c r="V731" s="641">
        <f t="shared" si="256"/>
        <v>0</v>
      </c>
      <c r="W731" s="488"/>
      <c r="X731" s="1016"/>
      <c r="Y731" s="675"/>
      <c r="Z731" s="767"/>
      <c r="AA731" s="675"/>
      <c r="AB731" s="767"/>
      <c r="AC731" s="675"/>
      <c r="AD731" s="767"/>
      <c r="AE731" s="675"/>
      <c r="AF731" s="767"/>
      <c r="AL731" s="489"/>
      <c r="AM731" s="489"/>
      <c r="AN731" s="489"/>
      <c r="AO731" s="489"/>
      <c r="AP731" s="489"/>
      <c r="AQ731" s="489"/>
      <c r="AR731" s="489"/>
      <c r="AS731" s="489"/>
    </row>
    <row r="732" spans="1:45" s="484" customFormat="1" ht="14.5">
      <c r="A732" s="695" t="s">
        <v>1304</v>
      </c>
      <c r="B732" s="647"/>
      <c r="C732" s="644"/>
      <c r="D732" s="644"/>
      <c r="E732" s="493">
        <f t="shared" si="261"/>
        <v>0</v>
      </c>
      <c r="F732" s="763">
        <f t="shared" si="264"/>
        <v>1.5E-3</v>
      </c>
      <c r="G732" s="493">
        <f t="shared" si="262"/>
        <v>0</v>
      </c>
      <c r="H732" s="493">
        <f t="shared" si="265"/>
        <v>0</v>
      </c>
      <c r="I732" s="493">
        <f t="shared" si="265"/>
        <v>0</v>
      </c>
      <c r="J732" s="493">
        <f t="shared" si="265"/>
        <v>0</v>
      </c>
      <c r="K732" s="493">
        <f t="shared" si="265"/>
        <v>0</v>
      </c>
      <c r="L732" s="493">
        <f t="shared" si="265"/>
        <v>0</v>
      </c>
      <c r="M732" s="493">
        <f t="shared" si="265"/>
        <v>0</v>
      </c>
      <c r="N732" s="493">
        <f t="shared" si="265"/>
        <v>0</v>
      </c>
      <c r="O732" s="493">
        <f t="shared" si="265"/>
        <v>0</v>
      </c>
      <c r="P732" s="493">
        <f t="shared" si="265"/>
        <v>0</v>
      </c>
      <c r="Q732" s="493">
        <f t="shared" si="265"/>
        <v>0</v>
      </c>
      <c r="R732" s="493">
        <f t="shared" si="254"/>
        <v>0</v>
      </c>
      <c r="S732" s="493">
        <f t="shared" si="255"/>
        <v>0</v>
      </c>
      <c r="T732" s="794"/>
      <c r="V732" s="641">
        <f t="shared" si="256"/>
        <v>0</v>
      </c>
      <c r="W732" s="488"/>
      <c r="X732" s="1016"/>
      <c r="Y732" s="675"/>
      <c r="Z732" s="767"/>
      <c r="AA732" s="675"/>
      <c r="AB732" s="767"/>
      <c r="AC732" s="675"/>
      <c r="AD732" s="767"/>
      <c r="AE732" s="675"/>
      <c r="AF732" s="767"/>
      <c r="AL732" s="489"/>
      <c r="AM732" s="489"/>
      <c r="AN732" s="489"/>
      <c r="AO732" s="489"/>
      <c r="AP732" s="489"/>
      <c r="AQ732" s="489"/>
      <c r="AR732" s="489"/>
      <c r="AS732" s="489"/>
    </row>
    <row r="733" spans="1:45" s="484" customFormat="1" ht="14.5">
      <c r="A733" s="695" t="s">
        <v>1305</v>
      </c>
      <c r="B733" s="647"/>
      <c r="C733" s="644"/>
      <c r="D733" s="644"/>
      <c r="E733" s="493">
        <f t="shared" si="261"/>
        <v>0</v>
      </c>
      <c r="F733" s="763">
        <f t="shared" si="264"/>
        <v>1.75E-3</v>
      </c>
      <c r="G733" s="493">
        <f t="shared" si="262"/>
        <v>0</v>
      </c>
      <c r="H733" s="493">
        <f t="shared" si="265"/>
        <v>0</v>
      </c>
      <c r="I733" s="493">
        <f t="shared" si="265"/>
        <v>0</v>
      </c>
      <c r="J733" s="493">
        <f t="shared" si="265"/>
        <v>0</v>
      </c>
      <c r="K733" s="493">
        <f t="shared" si="265"/>
        <v>0</v>
      </c>
      <c r="L733" s="493">
        <f t="shared" si="265"/>
        <v>0</v>
      </c>
      <c r="M733" s="493">
        <f t="shared" si="265"/>
        <v>0</v>
      </c>
      <c r="N733" s="493">
        <f t="shared" si="265"/>
        <v>0</v>
      </c>
      <c r="O733" s="493">
        <f t="shared" si="265"/>
        <v>0</v>
      </c>
      <c r="P733" s="493">
        <f t="shared" si="265"/>
        <v>0</v>
      </c>
      <c r="Q733" s="493">
        <f t="shared" si="265"/>
        <v>0</v>
      </c>
      <c r="R733" s="493">
        <f t="shared" si="254"/>
        <v>0</v>
      </c>
      <c r="S733" s="493">
        <f t="shared" si="255"/>
        <v>0</v>
      </c>
      <c r="T733" s="794"/>
      <c r="V733" s="641">
        <f t="shared" si="256"/>
        <v>0</v>
      </c>
      <c r="W733" s="488"/>
      <c r="X733" s="1016"/>
      <c r="Y733" s="675"/>
      <c r="Z733" s="767"/>
      <c r="AA733" s="675"/>
      <c r="AB733" s="767"/>
      <c r="AC733" s="675"/>
      <c r="AD733" s="767"/>
      <c r="AE733" s="675"/>
      <c r="AF733" s="767"/>
      <c r="AL733" s="489"/>
      <c r="AM733" s="489"/>
      <c r="AN733" s="489"/>
      <c r="AO733" s="489"/>
      <c r="AP733" s="489"/>
      <c r="AQ733" s="489"/>
      <c r="AR733" s="489"/>
      <c r="AS733" s="489"/>
    </row>
    <row r="734" spans="1:45" s="484" customFormat="1" ht="14.5">
      <c r="A734" s="695" t="s">
        <v>1306</v>
      </c>
      <c r="B734" s="647"/>
      <c r="C734" s="644"/>
      <c r="D734" s="644"/>
      <c r="E734" s="493">
        <f t="shared" si="261"/>
        <v>0</v>
      </c>
      <c r="F734" s="763">
        <f t="shared" si="264"/>
        <v>6.8999999999999999E-3</v>
      </c>
      <c r="G734" s="493">
        <f t="shared" si="262"/>
        <v>0</v>
      </c>
      <c r="H734" s="493">
        <f t="shared" si="265"/>
        <v>0</v>
      </c>
      <c r="I734" s="493">
        <f t="shared" si="265"/>
        <v>0</v>
      </c>
      <c r="J734" s="493">
        <f t="shared" si="265"/>
        <v>0</v>
      </c>
      <c r="K734" s="493">
        <f t="shared" si="265"/>
        <v>0</v>
      </c>
      <c r="L734" s="493">
        <f t="shared" si="265"/>
        <v>0</v>
      </c>
      <c r="M734" s="493">
        <f t="shared" si="265"/>
        <v>0</v>
      </c>
      <c r="N734" s="493">
        <f t="shared" si="265"/>
        <v>0</v>
      </c>
      <c r="O734" s="493">
        <f t="shared" si="265"/>
        <v>0</v>
      </c>
      <c r="P734" s="493">
        <f t="shared" si="265"/>
        <v>0</v>
      </c>
      <c r="Q734" s="493">
        <f t="shared" si="265"/>
        <v>0</v>
      </c>
      <c r="R734" s="493">
        <f t="shared" si="254"/>
        <v>0</v>
      </c>
      <c r="S734" s="493">
        <f t="shared" si="255"/>
        <v>0</v>
      </c>
      <c r="T734" s="794"/>
      <c r="V734" s="641">
        <f t="shared" si="256"/>
        <v>0</v>
      </c>
      <c r="W734" s="488"/>
      <c r="X734" s="1016"/>
      <c r="Y734" s="675"/>
      <c r="Z734" s="767"/>
      <c r="AA734" s="675"/>
      <c r="AB734" s="767"/>
      <c r="AC734" s="675"/>
      <c r="AD734" s="767"/>
      <c r="AE734" s="675"/>
      <c r="AF734" s="767"/>
      <c r="AL734" s="489"/>
      <c r="AM734" s="489"/>
      <c r="AN734" s="489"/>
      <c r="AO734" s="489"/>
      <c r="AP734" s="489"/>
      <c r="AQ734" s="489"/>
      <c r="AR734" s="489"/>
      <c r="AS734" s="489"/>
    </row>
    <row r="735" spans="1:45" s="484" customFormat="1" ht="14.5">
      <c r="A735" s="695" t="s">
        <v>1307</v>
      </c>
      <c r="B735" s="647"/>
      <c r="C735" s="644"/>
      <c r="D735" s="644"/>
      <c r="E735" s="493">
        <f t="shared" si="261"/>
        <v>0</v>
      </c>
      <c r="F735" s="763">
        <f t="shared" si="264"/>
        <v>1.4999999999999999E-2</v>
      </c>
      <c r="G735" s="493">
        <f t="shared" si="262"/>
        <v>0</v>
      </c>
      <c r="H735" s="493">
        <f t="shared" si="265"/>
        <v>0</v>
      </c>
      <c r="I735" s="493">
        <f t="shared" si="265"/>
        <v>0</v>
      </c>
      <c r="J735" s="493">
        <f t="shared" si="265"/>
        <v>0</v>
      </c>
      <c r="K735" s="493">
        <f t="shared" si="265"/>
        <v>0</v>
      </c>
      <c r="L735" s="493">
        <f t="shared" si="265"/>
        <v>0</v>
      </c>
      <c r="M735" s="493">
        <f t="shared" si="265"/>
        <v>0</v>
      </c>
      <c r="N735" s="493">
        <f t="shared" si="265"/>
        <v>0</v>
      </c>
      <c r="O735" s="493">
        <f t="shared" si="265"/>
        <v>0</v>
      </c>
      <c r="P735" s="493">
        <f t="shared" si="265"/>
        <v>0</v>
      </c>
      <c r="Q735" s="493">
        <f t="shared" si="265"/>
        <v>0</v>
      </c>
      <c r="R735" s="493">
        <f t="shared" si="254"/>
        <v>0</v>
      </c>
      <c r="S735" s="493">
        <f t="shared" si="255"/>
        <v>0</v>
      </c>
      <c r="T735" s="794"/>
      <c r="V735" s="641">
        <f t="shared" si="256"/>
        <v>0</v>
      </c>
      <c r="W735" s="488"/>
      <c r="X735" s="1016"/>
      <c r="Y735" s="675"/>
      <c r="Z735" s="767"/>
      <c r="AA735" s="675"/>
      <c r="AB735" s="767"/>
      <c r="AC735" s="675"/>
      <c r="AD735" s="767"/>
      <c r="AE735" s="675"/>
      <c r="AF735" s="767"/>
      <c r="AL735" s="489"/>
      <c r="AM735" s="489"/>
      <c r="AN735" s="489"/>
      <c r="AO735" s="489"/>
      <c r="AP735" s="489"/>
      <c r="AQ735" s="489"/>
      <c r="AR735" s="489"/>
      <c r="AS735" s="489"/>
    </row>
    <row r="736" spans="1:45" s="484" customFormat="1" ht="14.5">
      <c r="A736" s="695" t="s">
        <v>1308</v>
      </c>
      <c r="B736" s="647"/>
      <c r="C736" s="644"/>
      <c r="D736" s="644"/>
      <c r="E736" s="493">
        <f t="shared" si="261"/>
        <v>0</v>
      </c>
      <c r="F736" s="763">
        <f t="shared" si="264"/>
        <v>1.5E-3</v>
      </c>
      <c r="G736" s="493">
        <f t="shared" si="262"/>
        <v>0</v>
      </c>
      <c r="H736" s="493">
        <f t="shared" ref="H736:Q737" si="266">(G293+H293)/2*$F736/12</f>
        <v>0</v>
      </c>
      <c r="I736" s="493">
        <f t="shared" si="266"/>
        <v>0</v>
      </c>
      <c r="J736" s="493">
        <f t="shared" si="266"/>
        <v>0</v>
      </c>
      <c r="K736" s="493">
        <f t="shared" si="266"/>
        <v>0</v>
      </c>
      <c r="L736" s="493">
        <f t="shared" si="266"/>
        <v>0</v>
      </c>
      <c r="M736" s="493">
        <f t="shared" si="266"/>
        <v>0</v>
      </c>
      <c r="N736" s="493">
        <f t="shared" si="266"/>
        <v>0</v>
      </c>
      <c r="O736" s="493">
        <f t="shared" si="266"/>
        <v>0</v>
      </c>
      <c r="P736" s="493">
        <f t="shared" si="266"/>
        <v>0</v>
      </c>
      <c r="Q736" s="493">
        <f t="shared" si="266"/>
        <v>0</v>
      </c>
      <c r="R736" s="493">
        <f t="shared" si="254"/>
        <v>0</v>
      </c>
      <c r="S736" s="493">
        <f t="shared" si="255"/>
        <v>0</v>
      </c>
      <c r="T736" s="794"/>
      <c r="V736" s="641">
        <f t="shared" si="256"/>
        <v>0</v>
      </c>
      <c r="W736" s="488"/>
      <c r="X736" s="1016"/>
      <c r="Y736" s="675"/>
      <c r="Z736" s="767"/>
      <c r="AA736" s="675"/>
      <c r="AB736" s="767"/>
      <c r="AC736" s="675"/>
      <c r="AD736" s="767"/>
      <c r="AE736" s="675"/>
      <c r="AF736" s="767"/>
      <c r="AL736" s="489"/>
      <c r="AM736" s="489"/>
      <c r="AN736" s="489"/>
      <c r="AO736" s="489"/>
      <c r="AP736" s="489"/>
      <c r="AQ736" s="489"/>
      <c r="AR736" s="489"/>
      <c r="AS736" s="489"/>
    </row>
    <row r="737" spans="1:45" s="484" customFormat="1" ht="14.5">
      <c r="A737" s="695" t="s">
        <v>1309</v>
      </c>
      <c r="B737" s="647"/>
      <c r="C737" s="644"/>
      <c r="D737" s="644"/>
      <c r="E737" s="493">
        <f t="shared" si="261"/>
        <v>0</v>
      </c>
      <c r="F737" s="763">
        <f t="shared" si="264"/>
        <v>8.1799999999999998E-3</v>
      </c>
      <c r="G737" s="493">
        <f t="shared" si="262"/>
        <v>0</v>
      </c>
      <c r="H737" s="493">
        <f t="shared" si="266"/>
        <v>0</v>
      </c>
      <c r="I737" s="493">
        <f t="shared" si="266"/>
        <v>0</v>
      </c>
      <c r="J737" s="493">
        <f t="shared" si="266"/>
        <v>0</v>
      </c>
      <c r="K737" s="493">
        <f t="shared" si="266"/>
        <v>0</v>
      </c>
      <c r="L737" s="493">
        <f t="shared" si="266"/>
        <v>0</v>
      </c>
      <c r="M737" s="493">
        <f t="shared" si="266"/>
        <v>0</v>
      </c>
      <c r="N737" s="493">
        <f t="shared" si="266"/>
        <v>0</v>
      </c>
      <c r="O737" s="493">
        <f t="shared" si="266"/>
        <v>0</v>
      </c>
      <c r="P737" s="493">
        <f t="shared" si="266"/>
        <v>0</v>
      </c>
      <c r="Q737" s="493">
        <f t="shared" si="266"/>
        <v>0</v>
      </c>
      <c r="R737" s="493">
        <f t="shared" si="254"/>
        <v>0</v>
      </c>
      <c r="S737" s="493">
        <f t="shared" si="255"/>
        <v>0</v>
      </c>
      <c r="T737" s="794"/>
      <c r="V737" s="641">
        <f t="shared" si="256"/>
        <v>0</v>
      </c>
      <c r="W737" s="488"/>
      <c r="X737" s="1016"/>
      <c r="Y737" s="675"/>
      <c r="Z737" s="767"/>
      <c r="AA737" s="675"/>
      <c r="AB737" s="767"/>
      <c r="AC737" s="675"/>
      <c r="AD737" s="767"/>
      <c r="AE737" s="675"/>
      <c r="AF737" s="767"/>
      <c r="AL737" s="489"/>
      <c r="AM737" s="489"/>
      <c r="AN737" s="489"/>
      <c r="AO737" s="489"/>
      <c r="AP737" s="489"/>
      <c r="AQ737" s="489"/>
      <c r="AR737" s="489"/>
      <c r="AS737" s="489"/>
    </row>
    <row r="738" spans="1:45" s="484" customFormat="1" ht="14.5">
      <c r="A738" s="695"/>
      <c r="B738" s="647"/>
      <c r="C738" s="644"/>
      <c r="D738" s="644"/>
      <c r="E738" s="644"/>
      <c r="F738" s="768"/>
      <c r="G738" s="493"/>
      <c r="H738" s="493"/>
      <c r="I738" s="493"/>
      <c r="J738" s="493"/>
      <c r="K738" s="493"/>
      <c r="L738" s="493"/>
      <c r="M738" s="493"/>
      <c r="N738" s="493"/>
      <c r="O738" s="493"/>
      <c r="P738" s="493"/>
      <c r="Q738" s="493"/>
      <c r="R738" s="493"/>
      <c r="S738" s="493"/>
      <c r="T738" s="794"/>
      <c r="V738" s="641">
        <f t="shared" si="256"/>
        <v>0</v>
      </c>
      <c r="W738" s="488"/>
      <c r="X738" s="1016"/>
      <c r="Y738" s="675"/>
      <c r="Z738" s="767"/>
      <c r="AA738" s="675"/>
      <c r="AB738" s="767"/>
      <c r="AC738" s="675"/>
      <c r="AD738" s="767"/>
      <c r="AE738" s="675"/>
      <c r="AF738" s="767"/>
      <c r="AL738" s="489"/>
      <c r="AM738" s="489"/>
      <c r="AN738" s="489"/>
      <c r="AO738" s="489"/>
      <c r="AP738" s="489"/>
      <c r="AQ738" s="489"/>
      <c r="AR738" s="489"/>
      <c r="AS738" s="489"/>
    </row>
    <row r="739" spans="1:45" s="484" customFormat="1">
      <c r="A739" s="490" t="s">
        <v>1143</v>
      </c>
      <c r="B739" s="653"/>
      <c r="C739" s="654"/>
      <c r="D739" s="654">
        <f>SUM(D703:D718)</f>
        <v>0</v>
      </c>
      <c r="E739" s="654">
        <f>SUM(E703:E738)</f>
        <v>240289394.80708334</v>
      </c>
      <c r="F739" s="707"/>
      <c r="G739" s="654">
        <f>SUM(G703:G738)</f>
        <v>516307147.28495723</v>
      </c>
      <c r="H739" s="654">
        <f t="shared" ref="H739:V739" si="267">SUM(H703:H738)</f>
        <v>336834469.16349483</v>
      </c>
      <c r="I739" s="654">
        <f t="shared" si="267"/>
        <v>552035504.95574772</v>
      </c>
      <c r="J739" s="654">
        <f t="shared" si="267"/>
        <v>552035504.95574772</v>
      </c>
      <c r="K739" s="654">
        <f t="shared" si="267"/>
        <v>552035504.95574772</v>
      </c>
      <c r="L739" s="654">
        <f t="shared" si="267"/>
        <v>552035504.95574772</v>
      </c>
      <c r="M739" s="654">
        <f t="shared" si="267"/>
        <v>552035504.95574772</v>
      </c>
      <c r="N739" s="654">
        <f t="shared" si="267"/>
        <v>552035504.95574772</v>
      </c>
      <c r="O739" s="654">
        <f t="shared" si="267"/>
        <v>552035504.95574772</v>
      </c>
      <c r="P739" s="654">
        <f t="shared" si="267"/>
        <v>552035504.95574772</v>
      </c>
      <c r="Q739" s="654">
        <f t="shared" si="267"/>
        <v>552035504.95574772</v>
      </c>
      <c r="R739" s="654">
        <f>SUM(R703:R738)</f>
        <v>552035504.95574772</v>
      </c>
      <c r="S739" s="654">
        <f>SUM(S703:S738)</f>
        <v>552035504.95574772</v>
      </c>
      <c r="T739" s="816"/>
      <c r="V739" s="654">
        <f t="shared" si="267"/>
        <v>6409225023.6767197</v>
      </c>
      <c r="W739" s="708"/>
      <c r="X739" s="1017"/>
      <c r="Y739" s="718" t="e">
        <f>SUM(Y703:Y720)</f>
        <v>#REF!</v>
      </c>
      <c r="Z739" s="708" t="e">
        <f>Y739/V739-1</f>
        <v>#REF!</v>
      </c>
      <c r="AA739" s="718" t="e">
        <f>SUM(AA703:AA718)</f>
        <v>#REF!</v>
      </c>
      <c r="AB739" s="708" t="e">
        <f>+AA739/Y739-1</f>
        <v>#REF!</v>
      </c>
      <c r="AC739" s="718" t="e">
        <f>SUM(AC703:AC718)</f>
        <v>#REF!</v>
      </c>
      <c r="AD739" s="708" t="e">
        <f>+AC739/AA739-1</f>
        <v>#REF!</v>
      </c>
      <c r="AE739" s="718" t="e">
        <f>SUM(AE703:AE718)</f>
        <v>#REF!</v>
      </c>
      <c r="AF739" s="708" t="e">
        <f>+AE739/AC739-1</f>
        <v>#REF!</v>
      </c>
      <c r="AL739" s="489"/>
      <c r="AM739" s="489"/>
      <c r="AN739" s="489"/>
      <c r="AO739" s="489"/>
      <c r="AP739" s="489"/>
      <c r="AQ739" s="489"/>
      <c r="AR739" s="489"/>
      <c r="AS739" s="489"/>
    </row>
    <row r="740" spans="1:45" s="484" customFormat="1">
      <c r="A740" s="499"/>
      <c r="B740" s="773"/>
      <c r="C740" s="774"/>
      <c r="D740" s="774"/>
      <c r="E740" s="774"/>
      <c r="F740" s="733"/>
      <c r="G740" s="774"/>
      <c r="H740" s="774"/>
      <c r="I740" s="774"/>
      <c r="J740" s="774"/>
      <c r="K740" s="774"/>
      <c r="L740" s="774"/>
      <c r="M740" s="774"/>
      <c r="N740" s="774"/>
      <c r="O740" s="774"/>
      <c r="P740" s="774"/>
      <c r="Q740" s="774"/>
      <c r="R740" s="774"/>
      <c r="S740" s="774"/>
      <c r="T740" s="827"/>
      <c r="V740" s="774"/>
      <c r="W740" s="775"/>
      <c r="X740" s="1030"/>
      <c r="Y740" s="776"/>
      <c r="Z740" s="775"/>
      <c r="AA740" s="776"/>
      <c r="AB740" s="775"/>
      <c r="AC740" s="776"/>
      <c r="AD740" s="775"/>
      <c r="AE740" s="776"/>
      <c r="AF740" s="775"/>
      <c r="AL740" s="489"/>
      <c r="AM740" s="489"/>
      <c r="AN740" s="489"/>
      <c r="AO740" s="489"/>
      <c r="AP740" s="489"/>
      <c r="AQ740" s="489"/>
      <c r="AR740" s="489"/>
      <c r="AS740" s="489"/>
    </row>
    <row r="741" spans="1:45" s="484" customFormat="1">
      <c r="A741" s="556"/>
      <c r="C741" s="777" t="s">
        <v>1336</v>
      </c>
      <c r="D741" s="777"/>
      <c r="F741" s="688"/>
      <c r="H741" s="549"/>
      <c r="I741" s="549"/>
      <c r="J741" s="549"/>
      <c r="K741" s="549"/>
      <c r="L741" s="549"/>
      <c r="M741" s="549"/>
      <c r="N741" s="549"/>
      <c r="O741" s="549"/>
      <c r="P741" s="549"/>
      <c r="Q741" s="549"/>
      <c r="R741" s="549"/>
      <c r="S741" s="549"/>
      <c r="T741" s="833"/>
      <c r="W741" s="488"/>
      <c r="X741" s="1003"/>
    </row>
    <row r="742" spans="1:45" s="484" customFormat="1">
      <c r="A742" s="490" t="s">
        <v>1337</v>
      </c>
      <c r="B742" s="633"/>
      <c r="C742" s="634"/>
      <c r="D742" s="689"/>
      <c r="E742" s="689"/>
      <c r="F742" s="691"/>
      <c r="G742" s="690">
        <v>42735</v>
      </c>
      <c r="H742" s="690">
        <v>42736</v>
      </c>
      <c r="I742" s="690">
        <v>42768</v>
      </c>
      <c r="J742" s="690">
        <v>42800</v>
      </c>
      <c r="K742" s="690">
        <v>42832</v>
      </c>
      <c r="L742" s="690">
        <v>42864</v>
      </c>
      <c r="M742" s="690">
        <v>42896</v>
      </c>
      <c r="N742" s="690">
        <v>42928</v>
      </c>
      <c r="O742" s="690">
        <v>42960</v>
      </c>
      <c r="P742" s="690">
        <v>42992</v>
      </c>
      <c r="Q742" s="690">
        <v>43024</v>
      </c>
      <c r="R742" s="690">
        <v>43056</v>
      </c>
      <c r="S742" s="690">
        <v>43088</v>
      </c>
      <c r="T742" s="822"/>
      <c r="V742" s="690" t="s">
        <v>1159</v>
      </c>
      <c r="W742" s="692"/>
      <c r="X742" s="1022"/>
      <c r="Y742" s="693"/>
      <c r="Z742" s="693"/>
      <c r="AA742" s="694"/>
      <c r="AB742" s="694"/>
      <c r="AC742" s="694"/>
      <c r="AD742" s="694"/>
      <c r="AE742" s="694"/>
      <c r="AF742" s="694"/>
      <c r="AL742" s="489"/>
      <c r="AM742" s="489"/>
      <c r="AN742" s="489"/>
      <c r="AO742" s="489"/>
      <c r="AP742" s="489"/>
      <c r="AQ742" s="489"/>
      <c r="AR742" s="489"/>
      <c r="AS742" s="489"/>
    </row>
    <row r="743" spans="1:45" s="484" customFormat="1">
      <c r="A743" s="695" t="s">
        <v>1275</v>
      </c>
      <c r="B743" s="638"/>
      <c r="C743" s="639"/>
      <c r="D743" s="639"/>
      <c r="E743" s="493">
        <f>(0+E298)/2*$F743/12</f>
        <v>4174176.0509317461</v>
      </c>
      <c r="F743" s="763">
        <f>+F703</f>
        <v>0.02</v>
      </c>
      <c r="G743" s="493">
        <f>(E298+G298)/2*$F743/12</f>
        <v>8376512.0841768086</v>
      </c>
      <c r="H743" s="493">
        <f>(G298+H298)/2*$F743/12</f>
        <v>8404672.0664901268</v>
      </c>
      <c r="I743" s="493">
        <f t="shared" ref="I743:Q743" si="268">(H298+I298)/2*$F743/12</f>
        <v>8404672.0664901268</v>
      </c>
      <c r="J743" s="493">
        <f t="shared" si="268"/>
        <v>8404672.0664901268</v>
      </c>
      <c r="K743" s="493">
        <f t="shared" si="268"/>
        <v>8404672.0664901268</v>
      </c>
      <c r="L743" s="493">
        <f t="shared" si="268"/>
        <v>8404672.0664901268</v>
      </c>
      <c r="M743" s="493">
        <f t="shared" si="268"/>
        <v>8404672.0664901268</v>
      </c>
      <c r="N743" s="493">
        <f t="shared" ref="N743:P762" si="269">(M298+N298)/2*$F743/12</f>
        <v>8404672.0664901268</v>
      </c>
      <c r="O743" s="493">
        <f t="shared" si="269"/>
        <v>8404672.0664901268</v>
      </c>
      <c r="P743" s="493">
        <f t="shared" si="269"/>
        <v>8404672.0664901268</v>
      </c>
      <c r="Q743" s="493">
        <f t="shared" si="268"/>
        <v>8404672.0664901268</v>
      </c>
      <c r="R743" s="493">
        <f t="shared" ref="R743:R777" si="270">(Q298+R298)/2*$F743/12</f>
        <v>8404672.0664901268</v>
      </c>
      <c r="S743" s="493">
        <f t="shared" ref="S743:S777" si="271">(R298+S298)/2*$F743/12</f>
        <v>8404672.0664901268</v>
      </c>
      <c r="T743" s="794"/>
      <c r="V743" s="641">
        <f t="shared" ref="V743:V778" si="272">SUM(H743:U743)</f>
        <v>100856064.79788153</v>
      </c>
      <c r="W743" s="704"/>
      <c r="X743" s="1015"/>
      <c r="Y743" s="664">
        <f t="shared" ref="Y743:Y762" si="273">(Y323+V323)/2*Z743</f>
        <v>0</v>
      </c>
      <c r="Z743" s="764">
        <v>0.02</v>
      </c>
      <c r="AA743" s="664">
        <f t="shared" ref="AA743:AA762" si="274">(AA323+Y323)/2*AB743</f>
        <v>0</v>
      </c>
      <c r="AB743" s="764">
        <v>0.02</v>
      </c>
      <c r="AC743" s="664">
        <f t="shared" ref="AC743:AC762" si="275">(AC323+AA323)/2*AD743</f>
        <v>0</v>
      </c>
      <c r="AD743" s="764">
        <v>0.02</v>
      </c>
      <c r="AE743" s="664">
        <f t="shared" ref="AE743:AE762" si="276">(AE323+AC323)/2*AF743</f>
        <v>0</v>
      </c>
      <c r="AF743" s="764">
        <v>0.02</v>
      </c>
      <c r="AL743" s="489"/>
      <c r="AM743" s="489"/>
      <c r="AN743" s="489"/>
      <c r="AO743" s="489"/>
      <c r="AP743" s="489"/>
      <c r="AQ743" s="489"/>
      <c r="AR743" s="489"/>
      <c r="AS743" s="489"/>
    </row>
    <row r="744" spans="1:45" s="484" customFormat="1" ht="14.5">
      <c r="A744" s="695" t="s">
        <v>1276</v>
      </c>
      <c r="B744" s="647"/>
      <c r="C744" s="644"/>
      <c r="D744" s="644"/>
      <c r="E744" s="493">
        <f t="shared" ref="E744:E777" si="277">(0+E301)/2*$F744/12</f>
        <v>2000505.1483478975</v>
      </c>
      <c r="F744" s="763">
        <f t="shared" ref="F744:F777" si="278">+F704</f>
        <v>1.2500000000000001E-2</v>
      </c>
      <c r="G744" s="493">
        <f t="shared" ref="G744:G777" si="279">(E299+G299)/2*$F744/12</f>
        <v>34908079.769947104</v>
      </c>
      <c r="H744" s="493">
        <f t="shared" ref="H744:Q759" si="280">(G299+H299)/2*$F744/12</f>
        <v>39713514.184984006</v>
      </c>
      <c r="I744" s="493">
        <f t="shared" si="280"/>
        <v>43671847.518317334</v>
      </c>
      <c r="J744" s="493">
        <f t="shared" si="280"/>
        <v>48255180.851650663</v>
      </c>
      <c r="K744" s="493">
        <f t="shared" si="280"/>
        <v>52491291.96276179</v>
      </c>
      <c r="L744" s="493">
        <f t="shared" si="280"/>
        <v>56588514.184984006</v>
      </c>
      <c r="M744" s="493">
        <f t="shared" si="280"/>
        <v>60894069.740539573</v>
      </c>
      <c r="N744" s="493">
        <f t="shared" si="269"/>
        <v>64782958.629428454</v>
      </c>
      <c r="O744" s="493">
        <f t="shared" si="269"/>
        <v>68255180.851650685</v>
      </c>
      <c r="P744" s="493">
        <f t="shared" si="269"/>
        <v>71727403.073872909</v>
      </c>
      <c r="Q744" s="493">
        <f t="shared" si="280"/>
        <v>74505180.851650685</v>
      </c>
      <c r="R744" s="493">
        <f t="shared" si="270"/>
        <v>76588514.184984013</v>
      </c>
      <c r="S744" s="493">
        <f t="shared" si="271"/>
        <v>78671847.518317357</v>
      </c>
      <c r="T744" s="794"/>
      <c r="V744" s="641">
        <f t="shared" si="272"/>
        <v>736145503.55314147</v>
      </c>
      <c r="W744" s="765"/>
      <c r="X744" s="1016"/>
      <c r="Y744" s="675">
        <f t="shared" si="273"/>
        <v>0</v>
      </c>
      <c r="Z744" s="766">
        <v>0.02</v>
      </c>
      <c r="AA744" s="675">
        <f t="shared" si="274"/>
        <v>0</v>
      </c>
      <c r="AB744" s="766">
        <v>0.02</v>
      </c>
      <c r="AC744" s="675">
        <f t="shared" si="275"/>
        <v>0</v>
      </c>
      <c r="AD744" s="766">
        <v>0.02</v>
      </c>
      <c r="AE744" s="675">
        <f t="shared" si="276"/>
        <v>0</v>
      </c>
      <c r="AF744" s="766">
        <v>0.02</v>
      </c>
      <c r="AL744" s="489"/>
      <c r="AM744" s="489"/>
      <c r="AN744" s="489"/>
      <c r="AO744" s="489"/>
      <c r="AP744" s="489"/>
      <c r="AQ744" s="489"/>
      <c r="AR744" s="489"/>
      <c r="AS744" s="489"/>
    </row>
    <row r="745" spans="1:45" s="484" customFormat="1">
      <c r="A745" s="695" t="s">
        <v>1277</v>
      </c>
      <c r="B745" s="638"/>
      <c r="C745" s="639"/>
      <c r="D745" s="639"/>
      <c r="E745" s="493">
        <f t="shared" si="277"/>
        <v>10550631.461543292</v>
      </c>
      <c r="F745" s="763">
        <f t="shared" si="278"/>
        <v>1.2500000000000001E-2</v>
      </c>
      <c r="G745" s="493">
        <f t="shared" si="279"/>
        <v>1731274.6620169233</v>
      </c>
      <c r="H745" s="493">
        <f t="shared" si="280"/>
        <v>2161804.9223606335</v>
      </c>
      <c r="I745" s="493">
        <f t="shared" si="280"/>
        <v>2161804.9223606335</v>
      </c>
      <c r="J745" s="493">
        <f t="shared" si="280"/>
        <v>2161804.9223606335</v>
      </c>
      <c r="K745" s="493">
        <f t="shared" si="280"/>
        <v>2161804.9223606335</v>
      </c>
      <c r="L745" s="493">
        <f t="shared" si="280"/>
        <v>2161804.9223606335</v>
      </c>
      <c r="M745" s="493">
        <f t="shared" si="280"/>
        <v>2161804.9223606335</v>
      </c>
      <c r="N745" s="493">
        <f t="shared" si="269"/>
        <v>2161804.9223606335</v>
      </c>
      <c r="O745" s="493">
        <f t="shared" si="269"/>
        <v>2161804.9223606335</v>
      </c>
      <c r="P745" s="493">
        <f t="shared" si="269"/>
        <v>2161804.9223606335</v>
      </c>
      <c r="Q745" s="493">
        <f t="shared" si="280"/>
        <v>2161804.9223606335</v>
      </c>
      <c r="R745" s="493">
        <f t="shared" si="270"/>
        <v>2161804.9223606335</v>
      </c>
      <c r="S745" s="493">
        <f t="shared" si="271"/>
        <v>2161804.9223606335</v>
      </c>
      <c r="T745" s="794"/>
      <c r="V745" s="641">
        <f t="shared" si="272"/>
        <v>25941659.068327595</v>
      </c>
      <c r="W745" s="713"/>
      <c r="X745" s="1015"/>
      <c r="Y745" s="675">
        <f t="shared" si="273"/>
        <v>0</v>
      </c>
      <c r="Z745" s="766">
        <v>1.2500000000000001E-2</v>
      </c>
      <c r="AA745" s="675">
        <f t="shared" si="274"/>
        <v>0</v>
      </c>
      <c r="AB745" s="766">
        <v>1.2500000000000001E-2</v>
      </c>
      <c r="AC745" s="675">
        <f t="shared" si="275"/>
        <v>0</v>
      </c>
      <c r="AD745" s="766">
        <v>1.2500000000000001E-2</v>
      </c>
      <c r="AE745" s="675">
        <f t="shared" si="276"/>
        <v>0</v>
      </c>
      <c r="AF745" s="766">
        <v>1.2500000000000001E-2</v>
      </c>
      <c r="AL745" s="489"/>
      <c r="AM745" s="489"/>
      <c r="AN745" s="489"/>
      <c r="AO745" s="489"/>
      <c r="AP745" s="489"/>
      <c r="AQ745" s="489"/>
      <c r="AR745" s="489"/>
      <c r="AS745" s="489"/>
    </row>
    <row r="746" spans="1:45" s="484" customFormat="1" ht="14.5">
      <c r="A746" s="695" t="s">
        <v>1278</v>
      </c>
      <c r="B746" s="647"/>
      <c r="C746" s="644"/>
      <c r="D746" s="644"/>
      <c r="E746" s="493">
        <f t="shared" si="277"/>
        <v>2012804.9398913609</v>
      </c>
      <c r="F746" s="763">
        <f t="shared" si="278"/>
        <v>1.2500000000000001E-2</v>
      </c>
      <c r="G746" s="493">
        <f t="shared" si="279"/>
        <v>4280998.8863874963</v>
      </c>
      <c r="H746" s="493">
        <f t="shared" si="280"/>
        <v>4560987.4760791985</v>
      </c>
      <c r="I746" s="493">
        <f t="shared" si="280"/>
        <v>4560987.4760791985</v>
      </c>
      <c r="J746" s="493">
        <f t="shared" si="280"/>
        <v>4560987.4760791985</v>
      </c>
      <c r="K746" s="493">
        <f t="shared" si="280"/>
        <v>4560987.4760791985</v>
      </c>
      <c r="L746" s="493">
        <f t="shared" si="280"/>
        <v>4560987.4760791985</v>
      </c>
      <c r="M746" s="493">
        <f t="shared" si="280"/>
        <v>4560987.4760791985</v>
      </c>
      <c r="N746" s="493">
        <f t="shared" si="269"/>
        <v>4560987.4760791985</v>
      </c>
      <c r="O746" s="493">
        <f t="shared" si="269"/>
        <v>4560987.4760791985</v>
      </c>
      <c r="P746" s="493">
        <f t="shared" si="269"/>
        <v>4560987.4760791985</v>
      </c>
      <c r="Q746" s="493">
        <f t="shared" si="280"/>
        <v>4560987.4760791985</v>
      </c>
      <c r="R746" s="493">
        <f t="shared" si="270"/>
        <v>4560987.4760791985</v>
      </c>
      <c r="S746" s="493">
        <f t="shared" si="271"/>
        <v>4560987.4760791985</v>
      </c>
      <c r="T746" s="794"/>
      <c r="V746" s="641">
        <f t="shared" si="272"/>
        <v>54731849.712950371</v>
      </c>
      <c r="W746" s="765"/>
      <c r="X746" s="1016"/>
      <c r="Y746" s="675">
        <f t="shared" si="273"/>
        <v>0</v>
      </c>
      <c r="Z746" s="766">
        <v>1.2500000000000001E-2</v>
      </c>
      <c r="AA746" s="675">
        <f t="shared" si="274"/>
        <v>0</v>
      </c>
      <c r="AB746" s="766">
        <v>1.2500000000000001E-2</v>
      </c>
      <c r="AC746" s="675">
        <f t="shared" si="275"/>
        <v>0</v>
      </c>
      <c r="AD746" s="766">
        <v>1.2500000000000001E-2</v>
      </c>
      <c r="AE746" s="675">
        <f t="shared" si="276"/>
        <v>0</v>
      </c>
      <c r="AF746" s="766">
        <v>1.2500000000000001E-2</v>
      </c>
      <c r="AL746" s="489"/>
      <c r="AM746" s="489"/>
      <c r="AN746" s="489"/>
      <c r="AO746" s="489"/>
      <c r="AP746" s="489"/>
      <c r="AQ746" s="489"/>
      <c r="AR746" s="489"/>
      <c r="AS746" s="489"/>
    </row>
    <row r="747" spans="1:45" s="484" customFormat="1">
      <c r="A747" s="695" t="s">
        <v>1279</v>
      </c>
      <c r="B747" s="638"/>
      <c r="C747" s="639"/>
      <c r="D747" s="639"/>
      <c r="E747" s="493">
        <f t="shared" si="277"/>
        <v>4756634.9479220947</v>
      </c>
      <c r="F747" s="763">
        <f t="shared" si="278"/>
        <v>0.03</v>
      </c>
      <c r="G747" s="493">
        <f t="shared" si="279"/>
        <v>82297317.30442737</v>
      </c>
      <c r="H747" s="493">
        <f t="shared" si="280"/>
        <v>133951603.59344696</v>
      </c>
      <c r="I747" s="493">
        <f t="shared" si="280"/>
        <v>181451603.59344697</v>
      </c>
      <c r="J747" s="493">
        <f t="shared" si="280"/>
        <v>236451603.59344697</v>
      </c>
      <c r="K747" s="493">
        <f t="shared" si="280"/>
        <v>287284936.92678028</v>
      </c>
      <c r="L747" s="493">
        <f t="shared" si="280"/>
        <v>336451603.59344691</v>
      </c>
      <c r="M747" s="493">
        <f t="shared" si="280"/>
        <v>388118270.26011366</v>
      </c>
      <c r="N747" s="493">
        <f t="shared" si="269"/>
        <v>434784936.92678022</v>
      </c>
      <c r="O747" s="493">
        <f t="shared" si="269"/>
        <v>476451603.59344697</v>
      </c>
      <c r="P747" s="493">
        <f t="shared" si="269"/>
        <v>518118270.26011348</v>
      </c>
      <c r="Q747" s="493">
        <f t="shared" si="280"/>
        <v>551451603.59344685</v>
      </c>
      <c r="R747" s="493">
        <f t="shared" si="270"/>
        <v>576451603.59344685</v>
      </c>
      <c r="S747" s="493">
        <f t="shared" si="271"/>
        <v>601451603.59344685</v>
      </c>
      <c r="T747" s="794"/>
      <c r="V747" s="641">
        <f t="shared" si="272"/>
        <v>4722419243.1213627</v>
      </c>
      <c r="W747" s="713"/>
      <c r="X747" s="1015"/>
      <c r="Y747" s="675">
        <f t="shared" si="273"/>
        <v>0</v>
      </c>
      <c r="Z747" s="766">
        <f>1%/1.1</f>
        <v>9.0909090909090905E-3</v>
      </c>
      <c r="AA747" s="675">
        <f t="shared" si="274"/>
        <v>0</v>
      </c>
      <c r="AB747" s="766">
        <f>1%/1.1</f>
        <v>9.0909090909090905E-3</v>
      </c>
      <c r="AC747" s="675">
        <f t="shared" si="275"/>
        <v>0</v>
      </c>
      <c r="AD747" s="766">
        <f>1%/1.1</f>
        <v>9.0909090909090905E-3</v>
      </c>
      <c r="AE747" s="675">
        <f t="shared" si="276"/>
        <v>0</v>
      </c>
      <c r="AF747" s="766">
        <f>1%/1.1</f>
        <v>9.0909090909090905E-3</v>
      </c>
      <c r="AL747" s="489"/>
      <c r="AM747" s="489"/>
      <c r="AN747" s="489"/>
      <c r="AO747" s="489"/>
      <c r="AP747" s="489"/>
      <c r="AQ747" s="489"/>
      <c r="AR747" s="489"/>
      <c r="AS747" s="489"/>
    </row>
    <row r="748" spans="1:45" s="484" customFormat="1" ht="14.5">
      <c r="A748" s="695" t="s">
        <v>1280</v>
      </c>
      <c r="B748" s="647"/>
      <c r="C748" s="644"/>
      <c r="D748" s="644"/>
      <c r="E748" s="493">
        <f t="shared" si="277"/>
        <v>0</v>
      </c>
      <c r="F748" s="763">
        <f t="shared" si="278"/>
        <v>1.2500000000000001E-2</v>
      </c>
      <c r="G748" s="493">
        <f t="shared" si="279"/>
        <v>8934587.9329502396</v>
      </c>
      <c r="H748" s="493">
        <f t="shared" si="280"/>
        <v>17176899.31945109</v>
      </c>
      <c r="I748" s="493">
        <f t="shared" si="280"/>
        <v>25093565.986117754</v>
      </c>
      <c r="J748" s="493">
        <f t="shared" si="280"/>
        <v>34260232.652784429</v>
      </c>
      <c r="K748" s="493">
        <f t="shared" si="280"/>
        <v>42732454.875006646</v>
      </c>
      <c r="L748" s="493">
        <f t="shared" si="280"/>
        <v>50926899.319451094</v>
      </c>
      <c r="M748" s="493">
        <f t="shared" si="280"/>
        <v>59538010.430562198</v>
      </c>
      <c r="N748" s="493">
        <f t="shared" si="269"/>
        <v>67315788.208339974</v>
      </c>
      <c r="O748" s="493">
        <f t="shared" si="269"/>
        <v>74260232.652784422</v>
      </c>
      <c r="P748" s="493">
        <f t="shared" si="269"/>
        <v>81204677.097228885</v>
      </c>
      <c r="Q748" s="493">
        <f t="shared" si="280"/>
        <v>86760232.652784422</v>
      </c>
      <c r="R748" s="493">
        <f t="shared" si="270"/>
        <v>90926899.319451094</v>
      </c>
      <c r="S748" s="493">
        <f t="shared" si="271"/>
        <v>95093565.986117765</v>
      </c>
      <c r="T748" s="794"/>
      <c r="V748" s="641">
        <f t="shared" si="272"/>
        <v>725289458.50007975</v>
      </c>
      <c r="W748" s="765"/>
      <c r="X748" s="1016"/>
      <c r="Y748" s="675">
        <f t="shared" si="273"/>
        <v>0</v>
      </c>
      <c r="Z748" s="766">
        <v>1.2500000000000001E-2</v>
      </c>
      <c r="AA748" s="675">
        <f t="shared" si="274"/>
        <v>0</v>
      </c>
      <c r="AB748" s="766">
        <v>1.2500000000000001E-2</v>
      </c>
      <c r="AC748" s="675">
        <f t="shared" si="275"/>
        <v>0</v>
      </c>
      <c r="AD748" s="766">
        <v>1.2500000000000001E-2</v>
      </c>
      <c r="AE748" s="675">
        <f t="shared" si="276"/>
        <v>0</v>
      </c>
      <c r="AF748" s="766">
        <v>1.2500000000000001E-2</v>
      </c>
      <c r="AL748" s="489"/>
      <c r="AM748" s="489"/>
      <c r="AN748" s="489"/>
      <c r="AO748" s="489"/>
      <c r="AP748" s="489"/>
      <c r="AQ748" s="489"/>
      <c r="AR748" s="489"/>
      <c r="AS748" s="489"/>
    </row>
    <row r="749" spans="1:45" s="484" customFormat="1">
      <c r="A749" s="695" t="s">
        <v>1281</v>
      </c>
      <c r="B749" s="638"/>
      <c r="C749" s="639"/>
      <c r="D749" s="639"/>
      <c r="E749" s="493">
        <f t="shared" si="277"/>
        <v>0</v>
      </c>
      <c r="F749" s="763">
        <f t="shared" si="278"/>
        <v>8.9999999999999993E-3</v>
      </c>
      <c r="G749" s="493">
        <f t="shared" si="279"/>
        <v>4456403.412694064</v>
      </c>
      <c r="H749" s="493">
        <f t="shared" si="280"/>
        <v>7258825.8566348711</v>
      </c>
      <c r="I749" s="493">
        <f t="shared" si="280"/>
        <v>10108825.856634872</v>
      </c>
      <c r="J749" s="493">
        <f t="shared" si="280"/>
        <v>13408825.85663487</v>
      </c>
      <c r="K749" s="493">
        <f t="shared" si="280"/>
        <v>16458825.856634868</v>
      </c>
      <c r="L749" s="493">
        <f t="shared" si="280"/>
        <v>19408825.85663487</v>
      </c>
      <c r="M749" s="493">
        <f t="shared" si="280"/>
        <v>22508825.856634866</v>
      </c>
      <c r="N749" s="493">
        <f t="shared" si="269"/>
        <v>25308825.856634866</v>
      </c>
      <c r="O749" s="493">
        <f t="shared" si="269"/>
        <v>27808825.856634859</v>
      </c>
      <c r="P749" s="493">
        <f t="shared" si="269"/>
        <v>30308825.85663487</v>
      </c>
      <c r="Q749" s="493">
        <f t="shared" si="280"/>
        <v>32308825.85663487</v>
      </c>
      <c r="R749" s="493">
        <f t="shared" si="270"/>
        <v>33808825.85663487</v>
      </c>
      <c r="S749" s="493">
        <f t="shared" si="271"/>
        <v>35308825.85663487</v>
      </c>
      <c r="T749" s="794"/>
      <c r="V749" s="641">
        <f t="shared" si="272"/>
        <v>274005910.27961838</v>
      </c>
      <c r="W749" s="713"/>
      <c r="X749" s="1015"/>
      <c r="Y749" s="675">
        <f t="shared" si="273"/>
        <v>236121941.60000002</v>
      </c>
      <c r="Z749" s="766">
        <v>1.2500000000000001E-2</v>
      </c>
      <c r="AA749" s="675">
        <f t="shared" si="274"/>
        <v>0</v>
      </c>
      <c r="AB749" s="766">
        <v>1.2500000000000001E-2</v>
      </c>
      <c r="AC749" s="675">
        <f t="shared" si="275"/>
        <v>0</v>
      </c>
      <c r="AD749" s="766">
        <v>1.2500000000000001E-2</v>
      </c>
      <c r="AE749" s="675">
        <f t="shared" si="276"/>
        <v>0</v>
      </c>
      <c r="AF749" s="766">
        <v>1.2500000000000001E-2</v>
      </c>
      <c r="AL749" s="489"/>
      <c r="AM749" s="489"/>
      <c r="AN749" s="489"/>
      <c r="AO749" s="489"/>
      <c r="AP749" s="489"/>
      <c r="AQ749" s="489"/>
      <c r="AR749" s="489"/>
      <c r="AS749" s="489"/>
    </row>
    <row r="750" spans="1:45" s="484" customFormat="1" ht="14.5">
      <c r="A750" s="695" t="s">
        <v>1282</v>
      </c>
      <c r="B750" s="647"/>
      <c r="C750" s="644"/>
      <c r="D750" s="644"/>
      <c r="E750" s="493">
        <f t="shared" si="277"/>
        <v>0</v>
      </c>
      <c r="F750" s="763">
        <f t="shared" si="278"/>
        <v>0</v>
      </c>
      <c r="G750" s="493">
        <f t="shared" si="279"/>
        <v>0</v>
      </c>
      <c r="H750" s="493">
        <f t="shared" si="280"/>
        <v>0</v>
      </c>
      <c r="I750" s="493">
        <f t="shared" si="280"/>
        <v>0</v>
      </c>
      <c r="J750" s="493">
        <f t="shared" si="280"/>
        <v>0</v>
      </c>
      <c r="K750" s="493">
        <f t="shared" si="280"/>
        <v>0</v>
      </c>
      <c r="L750" s="493">
        <f t="shared" si="280"/>
        <v>0</v>
      </c>
      <c r="M750" s="493">
        <f t="shared" si="280"/>
        <v>0</v>
      </c>
      <c r="N750" s="493">
        <f t="shared" si="269"/>
        <v>0</v>
      </c>
      <c r="O750" s="493">
        <f t="shared" si="269"/>
        <v>0</v>
      </c>
      <c r="P750" s="493">
        <f t="shared" si="269"/>
        <v>0</v>
      </c>
      <c r="Q750" s="493">
        <f t="shared" si="280"/>
        <v>0</v>
      </c>
      <c r="R750" s="493">
        <f t="shared" si="270"/>
        <v>0</v>
      </c>
      <c r="S750" s="493">
        <f t="shared" si="271"/>
        <v>0</v>
      </c>
      <c r="T750" s="794"/>
      <c r="V750" s="641">
        <f t="shared" si="272"/>
        <v>0</v>
      </c>
      <c r="W750" s="765"/>
      <c r="X750" s="1016"/>
      <c r="Y750" s="675">
        <f t="shared" si="273"/>
        <v>0</v>
      </c>
      <c r="Z750" s="766">
        <v>1.2500000000000001E-2</v>
      </c>
      <c r="AA750" s="675">
        <f t="shared" si="274"/>
        <v>0</v>
      </c>
      <c r="AB750" s="766">
        <v>1.2500000000000001E-2</v>
      </c>
      <c r="AC750" s="675">
        <f t="shared" si="275"/>
        <v>0</v>
      </c>
      <c r="AD750" s="766">
        <v>1.2500000000000001E-2</v>
      </c>
      <c r="AE750" s="675">
        <f t="shared" si="276"/>
        <v>0</v>
      </c>
      <c r="AF750" s="766">
        <v>1.2500000000000001E-2</v>
      </c>
      <c r="AL750" s="489"/>
      <c r="AM750" s="489"/>
      <c r="AN750" s="489"/>
      <c r="AO750" s="489"/>
      <c r="AP750" s="489"/>
      <c r="AQ750" s="489"/>
      <c r="AR750" s="489"/>
      <c r="AS750" s="489"/>
    </row>
    <row r="751" spans="1:45" s="484" customFormat="1">
      <c r="A751" s="695" t="s">
        <v>1283</v>
      </c>
      <c r="B751" s="638"/>
      <c r="C751" s="639"/>
      <c r="D751" s="639"/>
      <c r="E751" s="493">
        <f t="shared" si="277"/>
        <v>0</v>
      </c>
      <c r="F751" s="763">
        <f t="shared" si="278"/>
        <v>0</v>
      </c>
      <c r="G751" s="493">
        <f t="shared" si="279"/>
        <v>0</v>
      </c>
      <c r="H751" s="493">
        <f t="shared" si="280"/>
        <v>0</v>
      </c>
      <c r="I751" s="493">
        <f t="shared" si="280"/>
        <v>0</v>
      </c>
      <c r="J751" s="493">
        <f t="shared" si="280"/>
        <v>0</v>
      </c>
      <c r="K751" s="493">
        <f t="shared" si="280"/>
        <v>0</v>
      </c>
      <c r="L751" s="493">
        <f t="shared" si="280"/>
        <v>0</v>
      </c>
      <c r="M751" s="493">
        <f t="shared" si="280"/>
        <v>0</v>
      </c>
      <c r="N751" s="493">
        <f t="shared" si="269"/>
        <v>0</v>
      </c>
      <c r="O751" s="493">
        <f t="shared" si="269"/>
        <v>0</v>
      </c>
      <c r="P751" s="493">
        <f t="shared" si="269"/>
        <v>0</v>
      </c>
      <c r="Q751" s="493">
        <f t="shared" si="280"/>
        <v>0</v>
      </c>
      <c r="R751" s="493">
        <f t="shared" si="270"/>
        <v>0</v>
      </c>
      <c r="S751" s="493">
        <f t="shared" si="271"/>
        <v>0</v>
      </c>
      <c r="T751" s="794"/>
      <c r="V751" s="641">
        <f t="shared" si="272"/>
        <v>0</v>
      </c>
      <c r="W751" s="713"/>
      <c r="X751" s="1015"/>
      <c r="Y751" s="675">
        <f t="shared" si="273"/>
        <v>0</v>
      </c>
      <c r="Z751" s="766">
        <v>1.2500000000000001E-2</v>
      </c>
      <c r="AA751" s="675">
        <f t="shared" si="274"/>
        <v>0</v>
      </c>
      <c r="AB751" s="766">
        <v>1.2500000000000001E-2</v>
      </c>
      <c r="AC751" s="675">
        <f t="shared" si="275"/>
        <v>0</v>
      </c>
      <c r="AD751" s="766">
        <v>1.2500000000000001E-2</v>
      </c>
      <c r="AE751" s="675">
        <f t="shared" si="276"/>
        <v>0</v>
      </c>
      <c r="AF751" s="766">
        <v>1.2500000000000001E-2</v>
      </c>
      <c r="AL751" s="489"/>
      <c r="AM751" s="489"/>
      <c r="AN751" s="489"/>
      <c r="AO751" s="489"/>
      <c r="AP751" s="489"/>
      <c r="AQ751" s="489"/>
      <c r="AR751" s="489"/>
      <c r="AS751" s="489"/>
    </row>
    <row r="752" spans="1:45" s="484" customFormat="1" ht="14.5">
      <c r="A752" s="695" t="s">
        <v>1284</v>
      </c>
      <c r="B752" s="647"/>
      <c r="C752" s="644"/>
      <c r="D752" s="644"/>
      <c r="E752" s="493">
        <f t="shared" si="277"/>
        <v>764369.75853218243</v>
      </c>
      <c r="F752" s="763">
        <f t="shared" si="278"/>
        <v>1.4999999999999999E-2</v>
      </c>
      <c r="G752" s="493">
        <f t="shared" si="279"/>
        <v>60904971.921544932</v>
      </c>
      <c r="H752" s="493">
        <f t="shared" si="280"/>
        <v>91062659.971037745</v>
      </c>
      <c r="I752" s="493">
        <f t="shared" si="280"/>
        <v>105312659.97103775</v>
      </c>
      <c r="J752" s="493">
        <f t="shared" si="280"/>
        <v>121812659.97103775</v>
      </c>
      <c r="K752" s="493">
        <f t="shared" si="280"/>
        <v>137062659.97103775</v>
      </c>
      <c r="L752" s="493">
        <f t="shared" si="280"/>
        <v>151812659.97103775</v>
      </c>
      <c r="M752" s="493">
        <f t="shared" si="280"/>
        <v>167312659.97103775</v>
      </c>
      <c r="N752" s="493">
        <f t="shared" si="269"/>
        <v>181312659.97103775</v>
      </c>
      <c r="O752" s="493">
        <f t="shared" si="269"/>
        <v>193812659.97103775</v>
      </c>
      <c r="P752" s="493">
        <f t="shared" si="269"/>
        <v>206312659.97103775</v>
      </c>
      <c r="Q752" s="493">
        <f t="shared" si="280"/>
        <v>216312659.97103775</v>
      </c>
      <c r="R752" s="493">
        <f t="shared" si="270"/>
        <v>223812659.97103775</v>
      </c>
      <c r="S752" s="493">
        <f t="shared" si="271"/>
        <v>231312659.97103775</v>
      </c>
      <c r="T752" s="794"/>
      <c r="V752" s="641">
        <f t="shared" si="272"/>
        <v>2027251919.6524534</v>
      </c>
      <c r="W752" s="765"/>
      <c r="X752" s="1016"/>
      <c r="Y752" s="675">
        <f t="shared" si="273"/>
        <v>0</v>
      </c>
      <c r="Z752" s="766">
        <v>1.2500000000000001E-2</v>
      </c>
      <c r="AA752" s="675">
        <f t="shared" si="274"/>
        <v>0</v>
      </c>
      <c r="AB752" s="766">
        <v>1.2500000000000001E-2</v>
      </c>
      <c r="AC752" s="675">
        <f t="shared" si="275"/>
        <v>0</v>
      </c>
      <c r="AD752" s="766">
        <v>1.2500000000000001E-2</v>
      </c>
      <c r="AE752" s="675">
        <f t="shared" si="276"/>
        <v>0</v>
      </c>
      <c r="AF752" s="766">
        <v>1.2500000000000001E-2</v>
      </c>
      <c r="AL752" s="489"/>
      <c r="AM752" s="489"/>
      <c r="AN752" s="489"/>
      <c r="AO752" s="489"/>
      <c r="AP752" s="489"/>
      <c r="AQ752" s="489"/>
      <c r="AR752" s="489"/>
      <c r="AS752" s="489"/>
    </row>
    <row r="753" spans="1:45" s="484" customFormat="1">
      <c r="A753" s="695" t="s">
        <v>1285</v>
      </c>
      <c r="B753" s="638"/>
      <c r="C753" s="639"/>
      <c r="D753" s="639"/>
      <c r="E753" s="493">
        <f t="shared" si="277"/>
        <v>0</v>
      </c>
      <c r="F753" s="763">
        <f t="shared" si="278"/>
        <v>1.4999999999999999E-2</v>
      </c>
      <c r="G753" s="493">
        <f t="shared" si="279"/>
        <v>251720188.16132006</v>
      </c>
      <c r="H753" s="493">
        <f t="shared" si="280"/>
        <v>312023672.97986728</v>
      </c>
      <c r="I753" s="493">
        <f t="shared" si="280"/>
        <v>326273672.97986728</v>
      </c>
      <c r="J753" s="493">
        <f t="shared" si="280"/>
        <v>342773672.97986722</v>
      </c>
      <c r="K753" s="493">
        <f t="shared" si="280"/>
        <v>358023672.97986722</v>
      </c>
      <c r="L753" s="493">
        <f t="shared" si="280"/>
        <v>372773672.97986722</v>
      </c>
      <c r="M753" s="493">
        <f t="shared" si="280"/>
        <v>388273672.97986722</v>
      </c>
      <c r="N753" s="493">
        <f t="shared" si="269"/>
        <v>402273672.97986722</v>
      </c>
      <c r="O753" s="493">
        <f t="shared" si="269"/>
        <v>414773672.97986722</v>
      </c>
      <c r="P753" s="493">
        <f t="shared" si="269"/>
        <v>427273672.97986722</v>
      </c>
      <c r="Q753" s="493">
        <f t="shared" si="280"/>
        <v>437273672.97986722</v>
      </c>
      <c r="R753" s="493">
        <f t="shared" si="270"/>
        <v>444773672.97986722</v>
      </c>
      <c r="S753" s="493">
        <f t="shared" si="271"/>
        <v>452273672.97986722</v>
      </c>
      <c r="T753" s="794"/>
      <c r="V753" s="641">
        <f t="shared" si="272"/>
        <v>4678784075.7584057</v>
      </c>
      <c r="W753" s="713"/>
      <c r="X753" s="1015"/>
      <c r="Y753" s="675">
        <f t="shared" si="273"/>
        <v>15777895852.400446</v>
      </c>
      <c r="Z753" s="766">
        <v>1.2500000000000001E-2</v>
      </c>
      <c r="AA753" s="675">
        <f t="shared" si="274"/>
        <v>14831361451.922541</v>
      </c>
      <c r="AB753" s="766">
        <v>1.2500000000000001E-2</v>
      </c>
      <c r="AC753" s="675">
        <f t="shared" si="275"/>
        <v>17797633742.307049</v>
      </c>
      <c r="AD753" s="766">
        <v>1.2500000000000001E-2</v>
      </c>
      <c r="AE753" s="675">
        <f t="shared" si="276"/>
        <v>21357160490.768463</v>
      </c>
      <c r="AF753" s="766">
        <v>1.2500000000000001E-2</v>
      </c>
      <c r="AL753" s="489"/>
      <c r="AM753" s="489"/>
      <c r="AN753" s="489"/>
      <c r="AO753" s="489"/>
      <c r="AP753" s="489"/>
      <c r="AQ753" s="489"/>
      <c r="AR753" s="489"/>
      <c r="AS753" s="489"/>
    </row>
    <row r="754" spans="1:45" s="484" customFormat="1" ht="14.5">
      <c r="A754" s="695" t="s">
        <v>1286</v>
      </c>
      <c r="B754" s="647"/>
      <c r="C754" s="644"/>
      <c r="D754" s="644"/>
      <c r="E754" s="493">
        <f t="shared" si="277"/>
        <v>0</v>
      </c>
      <c r="F754" s="763">
        <f t="shared" si="278"/>
        <v>1.2500000000000001E-2</v>
      </c>
      <c r="G754" s="493">
        <f t="shared" si="279"/>
        <v>4533274.7061564391</v>
      </c>
      <c r="H754" s="493">
        <f t="shared" si="280"/>
        <v>8625933.1480925735</v>
      </c>
      <c r="I754" s="493">
        <f t="shared" si="280"/>
        <v>10605099.81475924</v>
      </c>
      <c r="J754" s="493">
        <f t="shared" si="280"/>
        <v>12896766.481425906</v>
      </c>
      <c r="K754" s="493">
        <f t="shared" si="280"/>
        <v>15014822.036981462</v>
      </c>
      <c r="L754" s="493">
        <f t="shared" si="280"/>
        <v>17063433.148092572</v>
      </c>
      <c r="M754" s="493">
        <f t="shared" si="280"/>
        <v>19216210.925870348</v>
      </c>
      <c r="N754" s="493">
        <f t="shared" si="269"/>
        <v>21160655.370314796</v>
      </c>
      <c r="O754" s="493">
        <f t="shared" si="269"/>
        <v>22896766.481425907</v>
      </c>
      <c r="P754" s="493">
        <f t="shared" si="269"/>
        <v>24632877.592537019</v>
      </c>
      <c r="Q754" s="493">
        <f t="shared" si="280"/>
        <v>26021766.481425911</v>
      </c>
      <c r="R754" s="493">
        <f t="shared" si="270"/>
        <v>27063433.148092579</v>
      </c>
      <c r="S754" s="493">
        <f t="shared" si="271"/>
        <v>28105099.814759243</v>
      </c>
      <c r="T754" s="794"/>
      <c r="V754" s="641">
        <f t="shared" si="272"/>
        <v>233302864.44377756</v>
      </c>
      <c r="W754" s="765"/>
      <c r="X754" s="1016"/>
      <c r="Y754" s="675" t="e">
        <f t="shared" si="273"/>
        <v>#REF!</v>
      </c>
      <c r="Z754" s="766">
        <f>1%/1.1</f>
        <v>9.0909090909090905E-3</v>
      </c>
      <c r="AA754" s="675" t="e">
        <f t="shared" si="274"/>
        <v>#REF!</v>
      </c>
      <c r="AB754" s="766">
        <f>1%/1.1</f>
        <v>9.0909090909090905E-3</v>
      </c>
      <c r="AC754" s="675" t="e">
        <f t="shared" si="275"/>
        <v>#REF!</v>
      </c>
      <c r="AD754" s="766">
        <f>1%/1.1</f>
        <v>9.0909090909090905E-3</v>
      </c>
      <c r="AE754" s="675" t="e">
        <f t="shared" si="276"/>
        <v>#REF!</v>
      </c>
      <c r="AF754" s="766">
        <f>1%/1.1</f>
        <v>9.0909090909090905E-3</v>
      </c>
      <c r="AL754" s="489"/>
      <c r="AM754" s="489"/>
      <c r="AN754" s="489"/>
      <c r="AO754" s="489"/>
      <c r="AP754" s="489"/>
      <c r="AQ754" s="489"/>
      <c r="AR754" s="489"/>
      <c r="AS754" s="489"/>
    </row>
    <row r="755" spans="1:45" s="484" customFormat="1">
      <c r="A755" s="695" t="s">
        <v>1287</v>
      </c>
      <c r="B755" s="638"/>
      <c r="C755" s="639"/>
      <c r="D755" s="639"/>
      <c r="E755" s="493">
        <f t="shared" si="277"/>
        <v>653.66430480208328</v>
      </c>
      <c r="F755" s="763">
        <f t="shared" si="278"/>
        <v>1.2500000000000001E-2</v>
      </c>
      <c r="G755" s="493">
        <f t="shared" si="279"/>
        <v>0</v>
      </c>
      <c r="H755" s="493">
        <f t="shared" si="280"/>
        <v>0</v>
      </c>
      <c r="I755" s="493">
        <f t="shared" si="280"/>
        <v>0</v>
      </c>
      <c r="J755" s="493">
        <f t="shared" si="280"/>
        <v>0</v>
      </c>
      <c r="K755" s="493">
        <f t="shared" si="280"/>
        <v>0</v>
      </c>
      <c r="L755" s="493">
        <f t="shared" si="280"/>
        <v>0</v>
      </c>
      <c r="M755" s="493">
        <f t="shared" si="280"/>
        <v>0</v>
      </c>
      <c r="N755" s="493">
        <f t="shared" si="269"/>
        <v>0</v>
      </c>
      <c r="O755" s="493">
        <f t="shared" si="269"/>
        <v>0</v>
      </c>
      <c r="P755" s="493">
        <f t="shared" si="269"/>
        <v>0</v>
      </c>
      <c r="Q755" s="493">
        <f t="shared" si="280"/>
        <v>0</v>
      </c>
      <c r="R755" s="493">
        <f t="shared" si="270"/>
        <v>0</v>
      </c>
      <c r="S755" s="493">
        <f t="shared" si="271"/>
        <v>0</v>
      </c>
      <c r="T755" s="794"/>
      <c r="V755" s="641">
        <f t="shared" si="272"/>
        <v>0</v>
      </c>
      <c r="W755" s="713"/>
      <c r="X755" s="1015"/>
      <c r="Y755" s="675">
        <f t="shared" si="273"/>
        <v>1.51275</v>
      </c>
      <c r="Z755" s="766">
        <v>1.5E-3</v>
      </c>
      <c r="AA755" s="675">
        <f t="shared" si="274"/>
        <v>0</v>
      </c>
      <c r="AB755" s="766">
        <v>1.5E-3</v>
      </c>
      <c r="AC755" s="675">
        <f t="shared" si="275"/>
        <v>0</v>
      </c>
      <c r="AD755" s="766">
        <v>1.5E-3</v>
      </c>
      <c r="AE755" s="675">
        <f t="shared" si="276"/>
        <v>0</v>
      </c>
      <c r="AF755" s="766">
        <v>1.5E-3</v>
      </c>
      <c r="AL755" s="489"/>
      <c r="AM755" s="489"/>
      <c r="AN755" s="489"/>
      <c r="AO755" s="489"/>
      <c r="AP755" s="489"/>
      <c r="AQ755" s="489"/>
      <c r="AR755" s="489"/>
      <c r="AS755" s="489"/>
    </row>
    <row r="756" spans="1:45" s="484" customFormat="1" ht="14.5">
      <c r="A756" s="695" t="s">
        <v>1288</v>
      </c>
      <c r="B756" s="647"/>
      <c r="C756" s="644"/>
      <c r="D756" s="644"/>
      <c r="E756" s="493">
        <f t="shared" si="277"/>
        <v>0</v>
      </c>
      <c r="F756" s="763">
        <f t="shared" si="278"/>
        <v>1.75E-3</v>
      </c>
      <c r="G756" s="493">
        <f t="shared" si="279"/>
        <v>0</v>
      </c>
      <c r="H756" s="493">
        <f t="shared" si="280"/>
        <v>0</v>
      </c>
      <c r="I756" s="493">
        <f t="shared" si="280"/>
        <v>0</v>
      </c>
      <c r="J756" s="493">
        <f t="shared" si="280"/>
        <v>0</v>
      </c>
      <c r="K756" s="493">
        <f t="shared" si="280"/>
        <v>0</v>
      </c>
      <c r="L756" s="493">
        <f t="shared" si="280"/>
        <v>0</v>
      </c>
      <c r="M756" s="493">
        <f t="shared" si="280"/>
        <v>0</v>
      </c>
      <c r="N756" s="493">
        <f t="shared" si="269"/>
        <v>0</v>
      </c>
      <c r="O756" s="493">
        <f t="shared" si="269"/>
        <v>0</v>
      </c>
      <c r="P756" s="493">
        <f t="shared" si="269"/>
        <v>0</v>
      </c>
      <c r="Q756" s="493">
        <f t="shared" si="280"/>
        <v>0</v>
      </c>
      <c r="R756" s="493">
        <f t="shared" si="270"/>
        <v>0</v>
      </c>
      <c r="S756" s="493">
        <f t="shared" si="271"/>
        <v>0</v>
      </c>
      <c r="T756" s="794"/>
      <c r="V756" s="641">
        <f t="shared" si="272"/>
        <v>0</v>
      </c>
      <c r="W756" s="765"/>
      <c r="X756" s="1016"/>
      <c r="Y756" s="675">
        <f t="shared" si="273"/>
        <v>23848012.3170234</v>
      </c>
      <c r="Z756" s="766">
        <v>1.2500000000000001E-2</v>
      </c>
      <c r="AA756" s="675">
        <f t="shared" si="274"/>
        <v>31219216.124103356</v>
      </c>
      <c r="AB756" s="766">
        <v>1.2500000000000001E-2</v>
      </c>
      <c r="AC756" s="675">
        <f t="shared" si="275"/>
        <v>45528023.514317393</v>
      </c>
      <c r="AD756" s="766">
        <v>1.2500000000000001E-2</v>
      </c>
      <c r="AE756" s="675">
        <f t="shared" si="276"/>
        <v>61462831.744328476</v>
      </c>
      <c r="AF756" s="766">
        <v>1.2500000000000001E-2</v>
      </c>
      <c r="AL756" s="489"/>
      <c r="AM756" s="489"/>
      <c r="AN756" s="489"/>
      <c r="AO756" s="489"/>
      <c r="AP756" s="489"/>
      <c r="AQ756" s="489"/>
      <c r="AR756" s="489"/>
      <c r="AS756" s="489"/>
    </row>
    <row r="757" spans="1:45" s="484" customFormat="1">
      <c r="A757" s="695" t="s">
        <v>1289</v>
      </c>
      <c r="B757" s="647"/>
      <c r="C757" s="648"/>
      <c r="D757" s="639"/>
      <c r="E757" s="493">
        <f t="shared" si="277"/>
        <v>0</v>
      </c>
      <c r="F757" s="763">
        <f t="shared" si="278"/>
        <v>1.125E-2</v>
      </c>
      <c r="G757" s="493">
        <f t="shared" si="279"/>
        <v>5438088.2978743212</v>
      </c>
      <c r="H757" s="493">
        <f t="shared" si="280"/>
        <v>11625000</v>
      </c>
      <c r="I757" s="493">
        <f t="shared" si="280"/>
        <v>13406250</v>
      </c>
      <c r="J757" s="493">
        <f t="shared" si="280"/>
        <v>15468750</v>
      </c>
      <c r="K757" s="493">
        <f t="shared" si="280"/>
        <v>17375000.000000004</v>
      </c>
      <c r="L757" s="493">
        <f t="shared" si="280"/>
        <v>19218750</v>
      </c>
      <c r="M757" s="493">
        <f t="shared" si="280"/>
        <v>21156250.000000004</v>
      </c>
      <c r="N757" s="493">
        <f t="shared" si="269"/>
        <v>22906250</v>
      </c>
      <c r="O757" s="493">
        <f t="shared" si="269"/>
        <v>24468750.000000004</v>
      </c>
      <c r="P757" s="493">
        <f t="shared" si="269"/>
        <v>26031250.000000004</v>
      </c>
      <c r="Q757" s="493">
        <f t="shared" si="280"/>
        <v>27281250.000000004</v>
      </c>
      <c r="R757" s="493">
        <f t="shared" si="270"/>
        <v>28218750.000000004</v>
      </c>
      <c r="S757" s="493">
        <f t="shared" si="271"/>
        <v>29156250.000000004</v>
      </c>
      <c r="T757" s="794"/>
      <c r="V757" s="641">
        <f t="shared" si="272"/>
        <v>256312500</v>
      </c>
      <c r="W757" s="713"/>
      <c r="X757" s="1015"/>
      <c r="Y757" s="675">
        <f t="shared" si="273"/>
        <v>110856133.25745948</v>
      </c>
      <c r="Z757" s="766">
        <v>3.0000000000000001E-3</v>
      </c>
      <c r="AA757" s="675">
        <f t="shared" si="274"/>
        <v>145120756.26431057</v>
      </c>
      <c r="AB757" s="766">
        <v>3.0000000000000001E-3</v>
      </c>
      <c r="AC757" s="675">
        <f t="shared" si="275"/>
        <v>211634436.21878624</v>
      </c>
      <c r="AD757" s="766">
        <v>3.0000000000000001E-3</v>
      </c>
      <c r="AE757" s="675">
        <f t="shared" si="276"/>
        <v>285706488.89536142</v>
      </c>
      <c r="AF757" s="766">
        <v>3.0000000000000001E-3</v>
      </c>
      <c r="AL757" s="489"/>
      <c r="AM757" s="489"/>
      <c r="AN757" s="489"/>
      <c r="AO757" s="489"/>
      <c r="AP757" s="489"/>
      <c r="AQ757" s="489"/>
      <c r="AR757" s="489"/>
      <c r="AS757" s="489"/>
    </row>
    <row r="758" spans="1:45" s="484" customFormat="1" ht="14.5">
      <c r="A758" s="695" t="s">
        <v>1290</v>
      </c>
      <c r="B758" s="647"/>
      <c r="C758" s="644"/>
      <c r="D758" s="644"/>
      <c r="E758" s="493">
        <f t="shared" si="277"/>
        <v>0</v>
      </c>
      <c r="F758" s="763">
        <f t="shared" si="278"/>
        <v>1.5E-3</v>
      </c>
      <c r="G758" s="493">
        <f t="shared" si="279"/>
        <v>0</v>
      </c>
      <c r="H758" s="493">
        <f t="shared" si="280"/>
        <v>0</v>
      </c>
      <c r="I758" s="493">
        <f t="shared" si="280"/>
        <v>0</v>
      </c>
      <c r="J758" s="493">
        <f t="shared" si="280"/>
        <v>0</v>
      </c>
      <c r="K758" s="493">
        <f t="shared" si="280"/>
        <v>0</v>
      </c>
      <c r="L758" s="493">
        <f t="shared" si="280"/>
        <v>0</v>
      </c>
      <c r="M758" s="493">
        <f t="shared" si="280"/>
        <v>0</v>
      </c>
      <c r="N758" s="493">
        <f t="shared" si="269"/>
        <v>0</v>
      </c>
      <c r="O758" s="493">
        <f t="shared" si="269"/>
        <v>0</v>
      </c>
      <c r="P758" s="493">
        <f t="shared" si="269"/>
        <v>0</v>
      </c>
      <c r="Q758" s="493">
        <f t="shared" si="280"/>
        <v>0</v>
      </c>
      <c r="R758" s="493">
        <f t="shared" si="270"/>
        <v>0</v>
      </c>
      <c r="S758" s="493">
        <f t="shared" si="271"/>
        <v>0</v>
      </c>
      <c r="T758" s="794"/>
      <c r="V758" s="641">
        <f t="shared" si="272"/>
        <v>0</v>
      </c>
      <c r="W758" s="488"/>
      <c r="X758" s="1016"/>
      <c r="Y758" s="675">
        <f t="shared" si="273"/>
        <v>748696.47382296028</v>
      </c>
      <c r="Z758" s="767">
        <v>6.8000000000000005E-4</v>
      </c>
      <c r="AA758" s="675">
        <f t="shared" si="274"/>
        <v>980111.74755005713</v>
      </c>
      <c r="AB758" s="767">
        <v>6.8000000000000005E-4</v>
      </c>
      <c r="AC758" s="675">
        <f t="shared" si="275"/>
        <v>1429329.6318438333</v>
      </c>
      <c r="AD758" s="767">
        <v>6.8000000000000005E-4</v>
      </c>
      <c r="AE758" s="675">
        <f t="shared" si="276"/>
        <v>1929595.002989175</v>
      </c>
      <c r="AF758" s="767">
        <v>6.8000000000000005E-4</v>
      </c>
      <c r="AL758" s="489"/>
      <c r="AM758" s="489"/>
      <c r="AN758" s="489"/>
      <c r="AO758" s="489"/>
      <c r="AP758" s="489"/>
      <c r="AQ758" s="489"/>
      <c r="AR758" s="489"/>
      <c r="AS758" s="489"/>
    </row>
    <row r="759" spans="1:45" s="484" customFormat="1">
      <c r="A759" s="695" t="s">
        <v>1291</v>
      </c>
      <c r="B759" s="647"/>
      <c r="C759" s="648"/>
      <c r="D759" s="639"/>
      <c r="E759" s="493">
        <f t="shared" si="277"/>
        <v>0</v>
      </c>
      <c r="F759" s="763">
        <f t="shared" si="278"/>
        <v>1.4999999999999999E-2</v>
      </c>
      <c r="G759" s="493">
        <f t="shared" si="279"/>
        <v>0</v>
      </c>
      <c r="H759" s="493">
        <f t="shared" si="280"/>
        <v>0</v>
      </c>
      <c r="I759" s="493">
        <f t="shared" si="280"/>
        <v>0</v>
      </c>
      <c r="J759" s="493">
        <f t="shared" si="280"/>
        <v>0</v>
      </c>
      <c r="K759" s="493">
        <f t="shared" si="280"/>
        <v>0</v>
      </c>
      <c r="L759" s="493">
        <f t="shared" si="280"/>
        <v>0</v>
      </c>
      <c r="M759" s="493">
        <f t="shared" si="280"/>
        <v>0</v>
      </c>
      <c r="N759" s="493">
        <f t="shared" si="269"/>
        <v>0</v>
      </c>
      <c r="O759" s="493">
        <f t="shared" si="269"/>
        <v>0</v>
      </c>
      <c r="P759" s="493">
        <f t="shared" si="269"/>
        <v>0</v>
      </c>
      <c r="Q759" s="493">
        <f t="shared" si="280"/>
        <v>0</v>
      </c>
      <c r="R759" s="493">
        <f t="shared" si="270"/>
        <v>0</v>
      </c>
      <c r="S759" s="493">
        <f t="shared" si="271"/>
        <v>0</v>
      </c>
      <c r="T759" s="794"/>
      <c r="V759" s="641">
        <f t="shared" si="272"/>
        <v>0</v>
      </c>
      <c r="W759" s="713"/>
      <c r="X759" s="1015"/>
      <c r="Y759" s="675">
        <f t="shared" si="273"/>
        <v>0</v>
      </c>
      <c r="Z759" s="767">
        <v>7.5000000000000002E-4</v>
      </c>
      <c r="AA759" s="675">
        <f t="shared" si="274"/>
        <v>0</v>
      </c>
      <c r="AB759" s="767">
        <v>7.5000000000000002E-4</v>
      </c>
      <c r="AC759" s="675">
        <f t="shared" si="275"/>
        <v>0</v>
      </c>
      <c r="AD759" s="767">
        <v>7.5000000000000002E-4</v>
      </c>
      <c r="AE759" s="675">
        <f t="shared" si="276"/>
        <v>0</v>
      </c>
      <c r="AF759" s="767">
        <v>7.5000000000000002E-4</v>
      </c>
      <c r="AL759" s="489"/>
      <c r="AM759" s="489"/>
      <c r="AN759" s="489"/>
      <c r="AO759" s="489"/>
      <c r="AP759" s="489"/>
      <c r="AQ759" s="489"/>
      <c r="AR759" s="489"/>
      <c r="AS759" s="489"/>
    </row>
    <row r="760" spans="1:45" s="484" customFormat="1" ht="14.5">
      <c r="A760" s="695" t="s">
        <v>1292</v>
      </c>
      <c r="B760" s="647"/>
      <c r="C760" s="644"/>
      <c r="D760" s="644"/>
      <c r="E760" s="493">
        <f t="shared" si="277"/>
        <v>78685863.538137823</v>
      </c>
      <c r="F760" s="763">
        <f t="shared" si="278"/>
        <v>1.4999999999999999E-2</v>
      </c>
      <c r="G760" s="493">
        <f t="shared" si="279"/>
        <v>0</v>
      </c>
      <c r="H760" s="493">
        <f t="shared" ref="H760:Q775" si="281">(G315+H315)/2*$F760/12</f>
        <v>0</v>
      </c>
      <c r="I760" s="493">
        <f t="shared" si="281"/>
        <v>0</v>
      </c>
      <c r="J760" s="493">
        <f t="shared" si="281"/>
        <v>0</v>
      </c>
      <c r="K760" s="493">
        <f t="shared" si="281"/>
        <v>0</v>
      </c>
      <c r="L760" s="493">
        <f t="shared" si="281"/>
        <v>0</v>
      </c>
      <c r="M760" s="493">
        <f t="shared" si="281"/>
        <v>0</v>
      </c>
      <c r="N760" s="493">
        <f t="shared" si="269"/>
        <v>0</v>
      </c>
      <c r="O760" s="493">
        <f t="shared" si="269"/>
        <v>0</v>
      </c>
      <c r="P760" s="493">
        <f t="shared" si="269"/>
        <v>0</v>
      </c>
      <c r="Q760" s="493">
        <f t="shared" si="281"/>
        <v>0</v>
      </c>
      <c r="R760" s="493">
        <f t="shared" si="270"/>
        <v>0</v>
      </c>
      <c r="S760" s="493">
        <f t="shared" si="271"/>
        <v>0</v>
      </c>
      <c r="T760" s="794"/>
      <c r="V760" s="641">
        <f t="shared" si="272"/>
        <v>0</v>
      </c>
      <c r="W760" s="488"/>
      <c r="X760" s="1016"/>
      <c r="Y760" s="675">
        <f t="shared" si="273"/>
        <v>403065877.83171111</v>
      </c>
      <c r="Z760" s="767">
        <f>0.3%/1.1</f>
        <v>2.7272727272727271E-3</v>
      </c>
      <c r="AA760" s="675">
        <f t="shared" si="274"/>
        <v>527649876.43423992</v>
      </c>
      <c r="AB760" s="767">
        <f>0.3%/1.1</f>
        <v>2.7272727272727271E-3</v>
      </c>
      <c r="AC760" s="675">
        <f t="shared" si="275"/>
        <v>769489403.13326657</v>
      </c>
      <c r="AD760" s="767">
        <f>0.3%/1.1</f>
        <v>2.7272727272727271E-3</v>
      </c>
      <c r="AE760" s="675">
        <f t="shared" si="276"/>
        <v>1038810694.2299099</v>
      </c>
      <c r="AF760" s="767">
        <f>0.3%/1.1</f>
        <v>2.7272727272727271E-3</v>
      </c>
      <c r="AL760" s="489"/>
      <c r="AM760" s="489"/>
      <c r="AN760" s="489"/>
      <c r="AO760" s="489"/>
      <c r="AP760" s="489"/>
      <c r="AQ760" s="489"/>
      <c r="AR760" s="489"/>
      <c r="AS760" s="489"/>
    </row>
    <row r="761" spans="1:45" s="484" customFormat="1" ht="14.5">
      <c r="A761" s="695" t="s">
        <v>1293</v>
      </c>
      <c r="B761" s="647"/>
      <c r="C761" s="644"/>
      <c r="D761" s="644"/>
      <c r="E761" s="493">
        <f t="shared" si="277"/>
        <v>539013.07322638307</v>
      </c>
      <c r="F761" s="763">
        <f t="shared" si="278"/>
        <v>1.4999999999999999E-2</v>
      </c>
      <c r="G761" s="493">
        <f t="shared" si="279"/>
        <v>0</v>
      </c>
      <c r="H761" s="493">
        <f t="shared" si="281"/>
        <v>0</v>
      </c>
      <c r="I761" s="493">
        <f t="shared" si="281"/>
        <v>0</v>
      </c>
      <c r="J761" s="493">
        <f t="shared" si="281"/>
        <v>0</v>
      </c>
      <c r="K761" s="493">
        <f t="shared" si="281"/>
        <v>0</v>
      </c>
      <c r="L761" s="493">
        <f t="shared" si="281"/>
        <v>0</v>
      </c>
      <c r="M761" s="493">
        <f t="shared" si="281"/>
        <v>0</v>
      </c>
      <c r="N761" s="493">
        <f t="shared" si="269"/>
        <v>0</v>
      </c>
      <c r="O761" s="493">
        <f t="shared" si="269"/>
        <v>0</v>
      </c>
      <c r="P761" s="493">
        <f t="shared" si="269"/>
        <v>0</v>
      </c>
      <c r="Q761" s="493">
        <f t="shared" si="281"/>
        <v>0</v>
      </c>
      <c r="R761" s="493">
        <f t="shared" si="270"/>
        <v>0</v>
      </c>
      <c r="S761" s="493">
        <f t="shared" si="271"/>
        <v>0</v>
      </c>
      <c r="T761" s="794"/>
      <c r="V761" s="641">
        <f t="shared" si="272"/>
        <v>0</v>
      </c>
      <c r="W761" s="488"/>
      <c r="X761" s="1016"/>
      <c r="Y761" s="675">
        <f t="shared" si="273"/>
        <v>232146679.42358634</v>
      </c>
      <c r="Z761" s="767">
        <f>0.3%/1.1</f>
        <v>2.7272727272727271E-3</v>
      </c>
      <c r="AA761" s="675">
        <f t="shared" si="274"/>
        <v>303901107.60905844</v>
      </c>
      <c r="AB761" s="767">
        <f>0.3%/1.1</f>
        <v>2.7272727272727271E-3</v>
      </c>
      <c r="AC761" s="675">
        <f t="shared" si="275"/>
        <v>443189115.26321018</v>
      </c>
      <c r="AD761" s="767">
        <f>0.3%/1.1</f>
        <v>2.7272727272727271E-3</v>
      </c>
      <c r="AE761" s="675">
        <f t="shared" si="276"/>
        <v>598305305.60533381</v>
      </c>
      <c r="AF761" s="767">
        <f>0.3%/1.1</f>
        <v>2.7272727272727271E-3</v>
      </c>
      <c r="AL761" s="489"/>
      <c r="AM761" s="489"/>
      <c r="AN761" s="489"/>
      <c r="AO761" s="489"/>
      <c r="AP761" s="489"/>
      <c r="AQ761" s="489"/>
      <c r="AR761" s="489"/>
      <c r="AS761" s="489"/>
    </row>
    <row r="762" spans="1:45" s="484" customFormat="1" ht="14.5">
      <c r="A762" s="695" t="s">
        <v>1294</v>
      </c>
      <c r="B762" s="647"/>
      <c r="C762" s="644"/>
      <c r="D762" s="644"/>
      <c r="E762" s="493">
        <f t="shared" si="277"/>
        <v>1091723.7104682687</v>
      </c>
      <c r="F762" s="763">
        <f t="shared" si="278"/>
        <v>6.4999999999999997E-3</v>
      </c>
      <c r="G762" s="493">
        <f t="shared" si="279"/>
        <v>74409227.185909733</v>
      </c>
      <c r="H762" s="493">
        <f t="shared" si="281"/>
        <v>83224039.305433378</v>
      </c>
      <c r="I762" s="493">
        <f t="shared" si="281"/>
        <v>89399039.305433378</v>
      </c>
      <c r="J762" s="493">
        <f t="shared" si="281"/>
        <v>96549039.305433378</v>
      </c>
      <c r="K762" s="493">
        <f t="shared" si="281"/>
        <v>103157372.63876671</v>
      </c>
      <c r="L762" s="493">
        <f t="shared" si="281"/>
        <v>109549039.30543338</v>
      </c>
      <c r="M762" s="493">
        <f t="shared" si="281"/>
        <v>116265705.97210003</v>
      </c>
      <c r="N762" s="493">
        <f t="shared" si="269"/>
        <v>122332372.63876671</v>
      </c>
      <c r="O762" s="493">
        <f t="shared" si="269"/>
        <v>127749039.30543338</v>
      </c>
      <c r="P762" s="493">
        <f t="shared" si="269"/>
        <v>133165705.97210003</v>
      </c>
      <c r="Q762" s="493">
        <f t="shared" si="281"/>
        <v>137499039.30543336</v>
      </c>
      <c r="R762" s="493">
        <f t="shared" si="270"/>
        <v>140749039.30543336</v>
      </c>
      <c r="S762" s="493">
        <f t="shared" si="271"/>
        <v>143999039.30543336</v>
      </c>
      <c r="T762" s="794"/>
      <c r="V762" s="641">
        <f t="shared" si="272"/>
        <v>1403638471.6652002</v>
      </c>
      <c r="W762" s="488"/>
      <c r="X762" s="1016"/>
      <c r="Y762" s="675">
        <f t="shared" si="273"/>
        <v>21825762.620746788</v>
      </c>
      <c r="Z762" s="767">
        <f>0.3%/1.1</f>
        <v>2.7272727272727271E-3</v>
      </c>
      <c r="AA762" s="675">
        <f t="shared" si="274"/>
        <v>28571907.430795792</v>
      </c>
      <c r="AB762" s="767">
        <f>0.3%/1.1</f>
        <v>2.7272727272727271E-3</v>
      </c>
      <c r="AC762" s="675">
        <f t="shared" si="275"/>
        <v>41667365.003243864</v>
      </c>
      <c r="AD762" s="767">
        <f>0.3%/1.1</f>
        <v>2.7272727272727271E-3</v>
      </c>
      <c r="AE762" s="675">
        <f t="shared" si="276"/>
        <v>56250942.754379213</v>
      </c>
      <c r="AF762" s="767">
        <f>0.3%/1.1</f>
        <v>2.7272727272727271E-3</v>
      </c>
      <c r="AL762" s="489"/>
      <c r="AM762" s="489"/>
      <c r="AN762" s="489"/>
      <c r="AO762" s="489"/>
      <c r="AP762" s="489"/>
      <c r="AQ762" s="489"/>
      <c r="AR762" s="489"/>
      <c r="AS762" s="489"/>
    </row>
    <row r="763" spans="1:45" s="484" customFormat="1" ht="14.5">
      <c r="A763" s="695" t="s">
        <v>1295</v>
      </c>
      <c r="B763" s="647"/>
      <c r="C763" s="644"/>
      <c r="D763" s="644"/>
      <c r="E763" s="493">
        <f t="shared" si="277"/>
        <v>0</v>
      </c>
      <c r="F763" s="763">
        <f t="shared" si="278"/>
        <v>6.4999999999999997E-3</v>
      </c>
      <c r="G763" s="493">
        <f t="shared" si="279"/>
        <v>1568630.9917521698</v>
      </c>
      <c r="H763" s="493">
        <f t="shared" si="281"/>
        <v>3536783.9867081405</v>
      </c>
      <c r="I763" s="493">
        <f t="shared" si="281"/>
        <v>5595117.320041474</v>
      </c>
      <c r="J763" s="493">
        <f t="shared" si="281"/>
        <v>7978450.653374807</v>
      </c>
      <c r="K763" s="493">
        <f t="shared" si="281"/>
        <v>10181228.431152584</v>
      </c>
      <c r="L763" s="493">
        <f t="shared" si="281"/>
        <v>12311783.986708142</v>
      </c>
      <c r="M763" s="493">
        <f t="shared" si="281"/>
        <v>14550672.875597028</v>
      </c>
      <c r="N763" s="493">
        <f t="shared" si="281"/>
        <v>16572895.097819252</v>
      </c>
      <c r="O763" s="493">
        <f t="shared" si="281"/>
        <v>18378450.653374806</v>
      </c>
      <c r="P763" s="493">
        <f t="shared" si="281"/>
        <v>20184006.208930362</v>
      </c>
      <c r="Q763" s="493">
        <f t="shared" si="281"/>
        <v>21628450.653374806</v>
      </c>
      <c r="R763" s="493">
        <f t="shared" si="270"/>
        <v>22711783.986708138</v>
      </c>
      <c r="S763" s="493">
        <f t="shared" si="271"/>
        <v>23795117.320041474</v>
      </c>
      <c r="T763" s="794"/>
      <c r="V763" s="641">
        <f t="shared" si="272"/>
        <v>177424741.17383102</v>
      </c>
      <c r="W763" s="488"/>
      <c r="X763" s="1016"/>
      <c r="Y763" s="675"/>
      <c r="Z763" s="767"/>
      <c r="AA763" s="675"/>
      <c r="AB763" s="767"/>
      <c r="AC763" s="675"/>
      <c r="AD763" s="767"/>
      <c r="AE763" s="675"/>
      <c r="AF763" s="767"/>
      <c r="AL763" s="489"/>
      <c r="AM763" s="489"/>
      <c r="AN763" s="489"/>
      <c r="AO763" s="489"/>
      <c r="AP763" s="489"/>
      <c r="AQ763" s="489"/>
      <c r="AR763" s="489"/>
      <c r="AS763" s="489"/>
    </row>
    <row r="764" spans="1:45" s="484" customFormat="1" ht="14.5">
      <c r="A764" s="695" t="s">
        <v>1296</v>
      </c>
      <c r="B764" s="647"/>
      <c r="C764" s="644"/>
      <c r="D764" s="644"/>
      <c r="E764" s="493">
        <f t="shared" si="277"/>
        <v>0</v>
      </c>
      <c r="F764" s="763">
        <f t="shared" si="278"/>
        <v>3.0000000000000001E-3</v>
      </c>
      <c r="G764" s="493">
        <f t="shared" si="279"/>
        <v>1005539.1391572406</v>
      </c>
      <c r="H764" s="493">
        <f t="shared" si="281"/>
        <v>1003333.3148053099</v>
      </c>
      <c r="I764" s="493">
        <f t="shared" si="281"/>
        <v>1003333.3148053099</v>
      </c>
      <c r="J764" s="493">
        <f t="shared" si="281"/>
        <v>1003333.3148053099</v>
      </c>
      <c r="K764" s="493">
        <f t="shared" si="281"/>
        <v>1003333.3148053099</v>
      </c>
      <c r="L764" s="493">
        <f t="shared" si="281"/>
        <v>1003333.3148053099</v>
      </c>
      <c r="M764" s="493">
        <f t="shared" si="281"/>
        <v>1003333.3148053099</v>
      </c>
      <c r="N764" s="493">
        <f t="shared" si="281"/>
        <v>1003333.3148053099</v>
      </c>
      <c r="O764" s="493">
        <f t="shared" si="281"/>
        <v>1003333.3148053099</v>
      </c>
      <c r="P764" s="493">
        <f t="shared" si="281"/>
        <v>1003333.3148053099</v>
      </c>
      <c r="Q764" s="493">
        <f t="shared" si="281"/>
        <v>1003333.3148053099</v>
      </c>
      <c r="R764" s="493">
        <f t="shared" si="270"/>
        <v>1003333.3148053099</v>
      </c>
      <c r="S764" s="493">
        <f t="shared" si="271"/>
        <v>1003333.3148053099</v>
      </c>
      <c r="T764" s="794"/>
      <c r="V764" s="641">
        <f t="shared" si="272"/>
        <v>12039999.777663721</v>
      </c>
      <c r="W764" s="488"/>
      <c r="X764" s="1016"/>
      <c r="Y764" s="675"/>
      <c r="Z764" s="767"/>
      <c r="AA764" s="675"/>
      <c r="AB764" s="767"/>
      <c r="AC764" s="675"/>
      <c r="AD764" s="767"/>
      <c r="AE764" s="675"/>
      <c r="AF764" s="767"/>
      <c r="AL764" s="489"/>
      <c r="AM764" s="489"/>
      <c r="AN764" s="489"/>
      <c r="AO764" s="489"/>
      <c r="AP764" s="489"/>
      <c r="AQ764" s="489"/>
      <c r="AR764" s="489"/>
      <c r="AS764" s="489"/>
    </row>
    <row r="765" spans="1:45" s="484" customFormat="1" ht="14.5">
      <c r="A765" s="695" t="s">
        <v>1297</v>
      </c>
      <c r="B765" s="647"/>
      <c r="C765" s="644"/>
      <c r="D765" s="644"/>
      <c r="E765" s="493">
        <f t="shared" si="277"/>
        <v>77949.223064994352</v>
      </c>
      <c r="F765" s="763">
        <f t="shared" si="278"/>
        <v>6.8000000000000005E-4</v>
      </c>
      <c r="G765" s="493">
        <f t="shared" si="279"/>
        <v>0</v>
      </c>
      <c r="H765" s="493">
        <f t="shared" si="281"/>
        <v>0</v>
      </c>
      <c r="I765" s="493">
        <f t="shared" si="281"/>
        <v>0</v>
      </c>
      <c r="J765" s="493">
        <f t="shared" si="281"/>
        <v>0</v>
      </c>
      <c r="K765" s="493">
        <f t="shared" si="281"/>
        <v>0</v>
      </c>
      <c r="L765" s="493">
        <f t="shared" si="281"/>
        <v>0</v>
      </c>
      <c r="M765" s="493">
        <f t="shared" si="281"/>
        <v>0</v>
      </c>
      <c r="N765" s="493">
        <f t="shared" si="281"/>
        <v>0</v>
      </c>
      <c r="O765" s="493">
        <f t="shared" si="281"/>
        <v>0</v>
      </c>
      <c r="P765" s="493">
        <f t="shared" si="281"/>
        <v>0</v>
      </c>
      <c r="Q765" s="493">
        <f t="shared" si="281"/>
        <v>0</v>
      </c>
      <c r="R765" s="493">
        <f t="shared" si="270"/>
        <v>0</v>
      </c>
      <c r="S765" s="493">
        <f t="shared" si="271"/>
        <v>0</v>
      </c>
      <c r="T765" s="794"/>
      <c r="V765" s="641">
        <f t="shared" si="272"/>
        <v>0</v>
      </c>
      <c r="W765" s="488"/>
      <c r="X765" s="1016"/>
      <c r="Y765" s="675"/>
      <c r="Z765" s="767"/>
      <c r="AA765" s="675"/>
      <c r="AB765" s="767"/>
      <c r="AC765" s="675"/>
      <c r="AD765" s="767"/>
      <c r="AE765" s="675"/>
      <c r="AF765" s="767"/>
      <c r="AL765" s="489"/>
      <c r="AM765" s="489"/>
      <c r="AN765" s="489"/>
      <c r="AO765" s="489"/>
      <c r="AP765" s="489"/>
      <c r="AQ765" s="489"/>
      <c r="AR765" s="489"/>
      <c r="AS765" s="489"/>
    </row>
    <row r="766" spans="1:45" s="484" customFormat="1" ht="14.5">
      <c r="A766" s="695" t="s">
        <v>1298</v>
      </c>
      <c r="B766" s="647"/>
      <c r="C766" s="644"/>
      <c r="D766" s="644"/>
      <c r="E766" s="493">
        <f t="shared" si="277"/>
        <v>0</v>
      </c>
      <c r="F766" s="763">
        <f t="shared" si="278"/>
        <v>6.8000000000000005E-4</v>
      </c>
      <c r="G766" s="493">
        <f t="shared" si="279"/>
        <v>0</v>
      </c>
      <c r="H766" s="493">
        <f t="shared" si="281"/>
        <v>0</v>
      </c>
      <c r="I766" s="493">
        <f t="shared" si="281"/>
        <v>0</v>
      </c>
      <c r="J766" s="493">
        <f t="shared" si="281"/>
        <v>0</v>
      </c>
      <c r="K766" s="493">
        <f t="shared" si="281"/>
        <v>0</v>
      </c>
      <c r="L766" s="493">
        <f t="shared" si="281"/>
        <v>0</v>
      </c>
      <c r="M766" s="493">
        <f t="shared" si="281"/>
        <v>0</v>
      </c>
      <c r="N766" s="493">
        <f t="shared" si="281"/>
        <v>0</v>
      </c>
      <c r="O766" s="493">
        <f t="shared" si="281"/>
        <v>0</v>
      </c>
      <c r="P766" s="493">
        <f t="shared" si="281"/>
        <v>0</v>
      </c>
      <c r="Q766" s="493">
        <f t="shared" si="281"/>
        <v>0</v>
      </c>
      <c r="R766" s="493">
        <f t="shared" si="270"/>
        <v>0</v>
      </c>
      <c r="S766" s="493">
        <f t="shared" si="271"/>
        <v>0</v>
      </c>
      <c r="T766" s="794"/>
      <c r="V766" s="641">
        <f t="shared" si="272"/>
        <v>0</v>
      </c>
      <c r="W766" s="488"/>
      <c r="X766" s="1016"/>
      <c r="Y766" s="675"/>
      <c r="Z766" s="767"/>
      <c r="AA766" s="675"/>
      <c r="AB766" s="767"/>
      <c r="AC766" s="675"/>
      <c r="AD766" s="767"/>
      <c r="AE766" s="675"/>
      <c r="AF766" s="767"/>
      <c r="AL766" s="489"/>
      <c r="AM766" s="489"/>
      <c r="AN766" s="489"/>
      <c r="AO766" s="489"/>
      <c r="AP766" s="489"/>
      <c r="AQ766" s="489"/>
      <c r="AR766" s="489"/>
      <c r="AS766" s="489"/>
    </row>
    <row r="767" spans="1:45" s="484" customFormat="1" ht="14.5">
      <c r="A767" s="695" t="s">
        <v>1299</v>
      </c>
      <c r="B767" s="647"/>
      <c r="C767" s="644"/>
      <c r="D767" s="644"/>
      <c r="E767" s="493">
        <f t="shared" si="277"/>
        <v>0</v>
      </c>
      <c r="F767" s="763">
        <f t="shared" si="278"/>
        <v>2.7000000000000001E-3</v>
      </c>
      <c r="G767" s="493">
        <f t="shared" si="279"/>
        <v>684317.8877369127</v>
      </c>
      <c r="H767" s="493">
        <f t="shared" si="281"/>
        <v>749627.23936945852</v>
      </c>
      <c r="I767" s="493">
        <f t="shared" si="281"/>
        <v>749627.23936945852</v>
      </c>
      <c r="J767" s="493">
        <f t="shared" si="281"/>
        <v>749627.23936945852</v>
      </c>
      <c r="K767" s="493">
        <f t="shared" si="281"/>
        <v>749627.23936945852</v>
      </c>
      <c r="L767" s="493">
        <f t="shared" si="281"/>
        <v>749627.23936945852</v>
      </c>
      <c r="M767" s="493">
        <f t="shared" si="281"/>
        <v>749627.23936945852</v>
      </c>
      <c r="N767" s="493">
        <f t="shared" si="281"/>
        <v>749627.23936945852</v>
      </c>
      <c r="O767" s="493">
        <f t="shared" si="281"/>
        <v>749627.23936945852</v>
      </c>
      <c r="P767" s="493">
        <f t="shared" si="281"/>
        <v>749627.23936945852</v>
      </c>
      <c r="Q767" s="493">
        <f t="shared" si="281"/>
        <v>749627.23936945852</v>
      </c>
      <c r="R767" s="493">
        <f t="shared" si="270"/>
        <v>749627.23936945852</v>
      </c>
      <c r="S767" s="493">
        <f t="shared" si="271"/>
        <v>749627.23936945852</v>
      </c>
      <c r="T767" s="794"/>
      <c r="V767" s="641">
        <f t="shared" si="272"/>
        <v>8995526.8724335022</v>
      </c>
      <c r="W767" s="488"/>
      <c r="X767" s="1016"/>
      <c r="Y767" s="675"/>
      <c r="Z767" s="767"/>
      <c r="AA767" s="675"/>
      <c r="AB767" s="767"/>
      <c r="AC767" s="675"/>
      <c r="AD767" s="767"/>
      <c r="AE767" s="675"/>
      <c r="AF767" s="767"/>
      <c r="AL767" s="489"/>
      <c r="AM767" s="489"/>
      <c r="AN767" s="489"/>
      <c r="AO767" s="489"/>
      <c r="AP767" s="489"/>
      <c r="AQ767" s="489"/>
      <c r="AR767" s="489"/>
      <c r="AS767" s="489"/>
    </row>
    <row r="768" spans="1:45" s="484" customFormat="1" ht="14.5">
      <c r="A768" s="695" t="s">
        <v>1300</v>
      </c>
      <c r="B768" s="647"/>
      <c r="C768" s="644"/>
      <c r="D768" s="644"/>
      <c r="E768" s="493">
        <f t="shared" si="277"/>
        <v>0</v>
      </c>
      <c r="F768" s="763">
        <f t="shared" si="278"/>
        <v>8.1999999999999998E-4</v>
      </c>
      <c r="G768" s="493">
        <f t="shared" si="279"/>
        <v>0</v>
      </c>
      <c r="H768" s="493">
        <f t="shared" si="281"/>
        <v>0</v>
      </c>
      <c r="I768" s="493">
        <f t="shared" si="281"/>
        <v>0</v>
      </c>
      <c r="J768" s="493">
        <f t="shared" si="281"/>
        <v>0</v>
      </c>
      <c r="K768" s="493">
        <f t="shared" si="281"/>
        <v>0</v>
      </c>
      <c r="L768" s="493">
        <f t="shared" si="281"/>
        <v>0</v>
      </c>
      <c r="M768" s="493">
        <f t="shared" si="281"/>
        <v>0</v>
      </c>
      <c r="N768" s="493">
        <f t="shared" si="281"/>
        <v>0</v>
      </c>
      <c r="O768" s="493">
        <f t="shared" si="281"/>
        <v>0</v>
      </c>
      <c r="P768" s="493">
        <f t="shared" si="281"/>
        <v>0</v>
      </c>
      <c r="Q768" s="493">
        <f t="shared" si="281"/>
        <v>0</v>
      </c>
      <c r="R768" s="493">
        <f t="shared" si="270"/>
        <v>0</v>
      </c>
      <c r="S768" s="493">
        <f t="shared" si="271"/>
        <v>0</v>
      </c>
      <c r="T768" s="794"/>
      <c r="V768" s="641">
        <f t="shared" si="272"/>
        <v>0</v>
      </c>
      <c r="W768" s="488"/>
      <c r="X768" s="1016"/>
      <c r="Y768" s="675"/>
      <c r="Z768" s="767"/>
      <c r="AA768" s="675"/>
      <c r="AB768" s="767"/>
      <c r="AC768" s="675"/>
      <c r="AD768" s="767"/>
      <c r="AE768" s="675"/>
      <c r="AF768" s="767"/>
      <c r="AL768" s="489"/>
      <c r="AM768" s="489"/>
      <c r="AN768" s="489"/>
      <c r="AO768" s="489"/>
      <c r="AP768" s="489"/>
      <c r="AQ768" s="489"/>
      <c r="AR768" s="489"/>
      <c r="AS768" s="489"/>
    </row>
    <row r="769" spans="1:45" s="484" customFormat="1" ht="14.5">
      <c r="A769" s="695" t="s">
        <v>1301</v>
      </c>
      <c r="B769" s="647"/>
      <c r="C769" s="644"/>
      <c r="D769" s="644"/>
      <c r="E769" s="493">
        <f t="shared" si="277"/>
        <v>0</v>
      </c>
      <c r="F769" s="763">
        <f t="shared" si="278"/>
        <v>6.9300000000000004E-3</v>
      </c>
      <c r="G769" s="493">
        <f t="shared" si="279"/>
        <v>0</v>
      </c>
      <c r="H769" s="493">
        <f t="shared" si="281"/>
        <v>0</v>
      </c>
      <c r="I769" s="493">
        <f t="shared" si="281"/>
        <v>0</v>
      </c>
      <c r="J769" s="493">
        <f t="shared" si="281"/>
        <v>0</v>
      </c>
      <c r="K769" s="493">
        <f t="shared" si="281"/>
        <v>0</v>
      </c>
      <c r="L769" s="493">
        <f t="shared" si="281"/>
        <v>0</v>
      </c>
      <c r="M769" s="493">
        <f t="shared" si="281"/>
        <v>0</v>
      </c>
      <c r="N769" s="493">
        <f t="shared" si="281"/>
        <v>0</v>
      </c>
      <c r="O769" s="493">
        <f t="shared" si="281"/>
        <v>0</v>
      </c>
      <c r="P769" s="493">
        <f t="shared" si="281"/>
        <v>0</v>
      </c>
      <c r="Q769" s="493">
        <f t="shared" si="281"/>
        <v>0</v>
      </c>
      <c r="R769" s="493">
        <f t="shared" si="270"/>
        <v>0</v>
      </c>
      <c r="S769" s="493">
        <f t="shared" si="271"/>
        <v>0</v>
      </c>
      <c r="T769" s="794"/>
      <c r="V769" s="641">
        <f t="shared" si="272"/>
        <v>0</v>
      </c>
      <c r="W769" s="488"/>
      <c r="X769" s="1016"/>
      <c r="Y769" s="675"/>
      <c r="Z769" s="767"/>
      <c r="AA769" s="675"/>
      <c r="AB769" s="767"/>
      <c r="AC769" s="675"/>
      <c r="AD769" s="767"/>
      <c r="AE769" s="675"/>
      <c r="AF769" s="767"/>
      <c r="AL769" s="489"/>
      <c r="AM769" s="489"/>
      <c r="AN769" s="489"/>
      <c r="AO769" s="489"/>
      <c r="AP769" s="489"/>
      <c r="AQ769" s="489"/>
      <c r="AR769" s="489"/>
      <c r="AS769" s="489"/>
    </row>
    <row r="770" spans="1:45" s="484" customFormat="1" ht="14.5">
      <c r="A770" s="695" t="s">
        <v>1302</v>
      </c>
      <c r="B770" s="647"/>
      <c r="C770" s="644"/>
      <c r="D770" s="644"/>
      <c r="E770" s="493">
        <f t="shared" si="277"/>
        <v>0</v>
      </c>
      <c r="F770" s="763">
        <f t="shared" si="278"/>
        <v>1.5E-3</v>
      </c>
      <c r="G770" s="493">
        <f t="shared" si="279"/>
        <v>0</v>
      </c>
      <c r="H770" s="493">
        <f t="shared" si="281"/>
        <v>0</v>
      </c>
      <c r="I770" s="493">
        <f t="shared" si="281"/>
        <v>0</v>
      </c>
      <c r="J770" s="493">
        <f t="shared" si="281"/>
        <v>0</v>
      </c>
      <c r="K770" s="493">
        <f t="shared" si="281"/>
        <v>0</v>
      </c>
      <c r="L770" s="493">
        <f t="shared" si="281"/>
        <v>0</v>
      </c>
      <c r="M770" s="493">
        <f t="shared" si="281"/>
        <v>0</v>
      </c>
      <c r="N770" s="493">
        <f t="shared" si="281"/>
        <v>0</v>
      </c>
      <c r="O770" s="493">
        <f t="shared" si="281"/>
        <v>0</v>
      </c>
      <c r="P770" s="493">
        <f t="shared" si="281"/>
        <v>0</v>
      </c>
      <c r="Q770" s="493">
        <f t="shared" si="281"/>
        <v>0</v>
      </c>
      <c r="R770" s="493">
        <f t="shared" si="270"/>
        <v>0</v>
      </c>
      <c r="S770" s="493">
        <f t="shared" si="271"/>
        <v>0</v>
      </c>
      <c r="T770" s="794"/>
      <c r="V770" s="641">
        <f t="shared" si="272"/>
        <v>0</v>
      </c>
      <c r="W770" s="488"/>
      <c r="X770" s="1016"/>
      <c r="Y770" s="675"/>
      <c r="Z770" s="767"/>
      <c r="AA770" s="675"/>
      <c r="AB770" s="767"/>
      <c r="AC770" s="675"/>
      <c r="AD770" s="767"/>
      <c r="AE770" s="675"/>
      <c r="AF770" s="767"/>
      <c r="AL770" s="489"/>
      <c r="AM770" s="489"/>
      <c r="AN770" s="489"/>
      <c r="AO770" s="489"/>
      <c r="AP770" s="489"/>
      <c r="AQ770" s="489"/>
      <c r="AR770" s="489"/>
      <c r="AS770" s="489"/>
    </row>
    <row r="771" spans="1:45" s="484" customFormat="1" ht="14.5">
      <c r="A771" s="695" t="s">
        <v>1303</v>
      </c>
      <c r="B771" s="647"/>
      <c r="C771" s="644"/>
      <c r="D771" s="644"/>
      <c r="E771" s="493">
        <f t="shared" si="277"/>
        <v>0</v>
      </c>
      <c r="F771" s="763">
        <f t="shared" si="278"/>
        <v>1.5E-3</v>
      </c>
      <c r="G771" s="493">
        <f t="shared" si="279"/>
        <v>0</v>
      </c>
      <c r="H771" s="493">
        <f t="shared" si="281"/>
        <v>0</v>
      </c>
      <c r="I771" s="493">
        <f t="shared" si="281"/>
        <v>0</v>
      </c>
      <c r="J771" s="493">
        <f t="shared" si="281"/>
        <v>0</v>
      </c>
      <c r="K771" s="493">
        <f t="shared" si="281"/>
        <v>0</v>
      </c>
      <c r="L771" s="493">
        <f t="shared" si="281"/>
        <v>0</v>
      </c>
      <c r="M771" s="493">
        <f t="shared" si="281"/>
        <v>0</v>
      </c>
      <c r="N771" s="493">
        <f t="shared" si="281"/>
        <v>0</v>
      </c>
      <c r="O771" s="493">
        <f t="shared" si="281"/>
        <v>0</v>
      </c>
      <c r="P771" s="493">
        <f t="shared" si="281"/>
        <v>0</v>
      </c>
      <c r="Q771" s="493">
        <f t="shared" si="281"/>
        <v>0</v>
      </c>
      <c r="R771" s="493">
        <f t="shared" si="270"/>
        <v>0</v>
      </c>
      <c r="S771" s="493">
        <f t="shared" si="271"/>
        <v>0</v>
      </c>
      <c r="T771" s="794"/>
      <c r="V771" s="641">
        <f t="shared" si="272"/>
        <v>0</v>
      </c>
      <c r="W771" s="488"/>
      <c r="X771" s="1016"/>
      <c r="Y771" s="675"/>
      <c r="Z771" s="767"/>
      <c r="AA771" s="675"/>
      <c r="AB771" s="767"/>
      <c r="AC771" s="675"/>
      <c r="AD771" s="767"/>
      <c r="AE771" s="675"/>
      <c r="AF771" s="767"/>
      <c r="AL771" s="489"/>
      <c r="AM771" s="489"/>
      <c r="AN771" s="489"/>
      <c r="AO771" s="489"/>
      <c r="AP771" s="489"/>
      <c r="AQ771" s="489"/>
      <c r="AR771" s="489"/>
      <c r="AS771" s="489"/>
    </row>
    <row r="772" spans="1:45" s="484" customFormat="1" ht="14.5">
      <c r="A772" s="695" t="s">
        <v>1304</v>
      </c>
      <c r="B772" s="647"/>
      <c r="C772" s="644"/>
      <c r="D772" s="644"/>
      <c r="E772" s="493">
        <f t="shared" si="277"/>
        <v>2311472.8471875</v>
      </c>
      <c r="F772" s="763">
        <f t="shared" si="278"/>
        <v>1.5E-3</v>
      </c>
      <c r="G772" s="493">
        <f t="shared" si="279"/>
        <v>0</v>
      </c>
      <c r="H772" s="493">
        <f t="shared" si="281"/>
        <v>0</v>
      </c>
      <c r="I772" s="493">
        <f t="shared" si="281"/>
        <v>0</v>
      </c>
      <c r="J772" s="493">
        <f t="shared" si="281"/>
        <v>0</v>
      </c>
      <c r="K772" s="493">
        <f t="shared" si="281"/>
        <v>0</v>
      </c>
      <c r="L772" s="493">
        <f t="shared" si="281"/>
        <v>0</v>
      </c>
      <c r="M772" s="493">
        <f t="shared" si="281"/>
        <v>0</v>
      </c>
      <c r="N772" s="493">
        <f t="shared" si="281"/>
        <v>0</v>
      </c>
      <c r="O772" s="493">
        <f t="shared" si="281"/>
        <v>0</v>
      </c>
      <c r="P772" s="493">
        <f t="shared" si="281"/>
        <v>0</v>
      </c>
      <c r="Q772" s="493">
        <f t="shared" si="281"/>
        <v>0</v>
      </c>
      <c r="R772" s="493">
        <f t="shared" si="270"/>
        <v>0</v>
      </c>
      <c r="S772" s="493">
        <f t="shared" si="271"/>
        <v>0</v>
      </c>
      <c r="T772" s="794"/>
      <c r="V772" s="641">
        <f t="shared" si="272"/>
        <v>0</v>
      </c>
      <c r="W772" s="488"/>
      <c r="X772" s="1016"/>
      <c r="Y772" s="675"/>
      <c r="Z772" s="767"/>
      <c r="AA772" s="675"/>
      <c r="AB772" s="767"/>
      <c r="AC772" s="675"/>
      <c r="AD772" s="767"/>
      <c r="AE772" s="675"/>
      <c r="AF772" s="767"/>
      <c r="AL772" s="489"/>
      <c r="AM772" s="489"/>
      <c r="AN772" s="489"/>
      <c r="AO772" s="489"/>
      <c r="AP772" s="489"/>
      <c r="AQ772" s="489"/>
      <c r="AR772" s="489"/>
      <c r="AS772" s="489"/>
    </row>
    <row r="773" spans="1:45" s="484" customFormat="1" ht="14.5">
      <c r="A773" s="695" t="s">
        <v>1305</v>
      </c>
      <c r="B773" s="647"/>
      <c r="C773" s="644"/>
      <c r="D773" s="644"/>
      <c r="E773" s="493">
        <f t="shared" si="277"/>
        <v>0</v>
      </c>
      <c r="F773" s="763">
        <f t="shared" si="278"/>
        <v>1.75E-3</v>
      </c>
      <c r="G773" s="493">
        <f t="shared" si="279"/>
        <v>0</v>
      </c>
      <c r="H773" s="493">
        <f t="shared" si="281"/>
        <v>0</v>
      </c>
      <c r="I773" s="493">
        <f t="shared" si="281"/>
        <v>0</v>
      </c>
      <c r="J773" s="493">
        <f t="shared" si="281"/>
        <v>0</v>
      </c>
      <c r="K773" s="493">
        <f t="shared" si="281"/>
        <v>0</v>
      </c>
      <c r="L773" s="493">
        <f t="shared" si="281"/>
        <v>0</v>
      </c>
      <c r="M773" s="493">
        <f t="shared" si="281"/>
        <v>0</v>
      </c>
      <c r="N773" s="493">
        <f t="shared" si="281"/>
        <v>0</v>
      </c>
      <c r="O773" s="493">
        <f t="shared" si="281"/>
        <v>0</v>
      </c>
      <c r="P773" s="493">
        <f t="shared" si="281"/>
        <v>0</v>
      </c>
      <c r="Q773" s="493">
        <f t="shared" si="281"/>
        <v>0</v>
      </c>
      <c r="R773" s="493">
        <f t="shared" si="270"/>
        <v>0</v>
      </c>
      <c r="S773" s="493">
        <f t="shared" si="271"/>
        <v>0</v>
      </c>
      <c r="T773" s="794"/>
      <c r="V773" s="641">
        <f t="shared" si="272"/>
        <v>0</v>
      </c>
      <c r="W773" s="488"/>
      <c r="X773" s="1016"/>
      <c r="Y773" s="675"/>
      <c r="Z773" s="767"/>
      <c r="AA773" s="675"/>
      <c r="AB773" s="767"/>
      <c r="AC773" s="675"/>
      <c r="AD773" s="767"/>
      <c r="AE773" s="675"/>
      <c r="AF773" s="767"/>
      <c r="AL773" s="489"/>
      <c r="AM773" s="489"/>
      <c r="AN773" s="489"/>
      <c r="AO773" s="489"/>
      <c r="AP773" s="489"/>
      <c r="AQ773" s="489"/>
      <c r="AR773" s="489"/>
      <c r="AS773" s="489"/>
    </row>
    <row r="774" spans="1:45" s="484" customFormat="1" ht="14.5">
      <c r="A774" s="695" t="s">
        <v>1306</v>
      </c>
      <c r="B774" s="647"/>
      <c r="C774" s="644"/>
      <c r="D774" s="644"/>
      <c r="E774" s="493">
        <f t="shared" si="277"/>
        <v>0</v>
      </c>
      <c r="F774" s="763">
        <f t="shared" si="278"/>
        <v>6.8999999999999999E-3</v>
      </c>
      <c r="G774" s="493">
        <f t="shared" si="279"/>
        <v>21494384.410662498</v>
      </c>
      <c r="H774" s="493">
        <f t="shared" si="281"/>
        <v>21723218.6272</v>
      </c>
      <c r="I774" s="493">
        <f t="shared" si="281"/>
        <v>21723218.6272</v>
      </c>
      <c r="J774" s="493">
        <f t="shared" si="281"/>
        <v>21723218.6272</v>
      </c>
      <c r="K774" s="493">
        <f t="shared" si="281"/>
        <v>21723218.6272</v>
      </c>
      <c r="L774" s="493">
        <f t="shared" si="281"/>
        <v>21723218.6272</v>
      </c>
      <c r="M774" s="493">
        <f t="shared" si="281"/>
        <v>21723218.6272</v>
      </c>
      <c r="N774" s="493">
        <f t="shared" si="281"/>
        <v>21723218.6272</v>
      </c>
      <c r="O774" s="493">
        <f t="shared" si="281"/>
        <v>21723218.6272</v>
      </c>
      <c r="P774" s="493">
        <f t="shared" si="281"/>
        <v>21723218.6272</v>
      </c>
      <c r="Q774" s="493">
        <f t="shared" si="281"/>
        <v>21723218.6272</v>
      </c>
      <c r="R774" s="493">
        <f t="shared" si="270"/>
        <v>21723218.6272</v>
      </c>
      <c r="S774" s="493">
        <f t="shared" si="271"/>
        <v>21723218.6272</v>
      </c>
      <c r="T774" s="794"/>
      <c r="V774" s="641">
        <f t="shared" si="272"/>
        <v>260678623.52640006</v>
      </c>
      <c r="W774" s="488"/>
      <c r="X774" s="1016"/>
      <c r="Y774" s="675"/>
      <c r="Z774" s="767"/>
      <c r="AA774" s="675"/>
      <c r="AB774" s="767"/>
      <c r="AC774" s="675"/>
      <c r="AD774" s="767"/>
      <c r="AE774" s="675"/>
      <c r="AF774" s="767"/>
      <c r="AL774" s="489"/>
      <c r="AM774" s="489"/>
      <c r="AN774" s="489"/>
      <c r="AO774" s="489"/>
      <c r="AP774" s="489"/>
      <c r="AQ774" s="489"/>
      <c r="AR774" s="489"/>
      <c r="AS774" s="489"/>
    </row>
    <row r="775" spans="1:45" s="484" customFormat="1" ht="14.5">
      <c r="A775" s="695" t="s">
        <v>1307</v>
      </c>
      <c r="B775" s="647"/>
      <c r="C775" s="644"/>
      <c r="D775" s="644"/>
      <c r="E775" s="493">
        <f t="shared" si="277"/>
        <v>0</v>
      </c>
      <c r="F775" s="763">
        <f t="shared" si="278"/>
        <v>1.4999999999999999E-2</v>
      </c>
      <c r="G775" s="493">
        <f t="shared" si="279"/>
        <v>0</v>
      </c>
      <c r="H775" s="493">
        <f t="shared" si="281"/>
        <v>0</v>
      </c>
      <c r="I775" s="493">
        <f t="shared" si="281"/>
        <v>0</v>
      </c>
      <c r="J775" s="493">
        <f t="shared" si="281"/>
        <v>0</v>
      </c>
      <c r="K775" s="493">
        <f t="shared" si="281"/>
        <v>0</v>
      </c>
      <c r="L775" s="493">
        <f t="shared" si="281"/>
        <v>0</v>
      </c>
      <c r="M775" s="493">
        <f t="shared" si="281"/>
        <v>0</v>
      </c>
      <c r="N775" s="493">
        <f t="shared" si="281"/>
        <v>0</v>
      </c>
      <c r="O775" s="493">
        <f t="shared" si="281"/>
        <v>0</v>
      </c>
      <c r="P775" s="493">
        <f t="shared" si="281"/>
        <v>0</v>
      </c>
      <c r="Q775" s="493">
        <f t="shared" si="281"/>
        <v>0</v>
      </c>
      <c r="R775" s="493">
        <f t="shared" si="270"/>
        <v>0</v>
      </c>
      <c r="S775" s="493">
        <f t="shared" si="271"/>
        <v>0</v>
      </c>
      <c r="T775" s="794"/>
      <c r="V775" s="641">
        <f t="shared" si="272"/>
        <v>0</v>
      </c>
      <c r="W775" s="488"/>
      <c r="X775" s="1016"/>
      <c r="Y775" s="675"/>
      <c r="Z775" s="767"/>
      <c r="AA775" s="675"/>
      <c r="AB775" s="767"/>
      <c r="AC775" s="675"/>
      <c r="AD775" s="767"/>
      <c r="AE775" s="675"/>
      <c r="AF775" s="767"/>
      <c r="AL775" s="489"/>
      <c r="AM775" s="489"/>
      <c r="AN775" s="489"/>
      <c r="AO775" s="489"/>
      <c r="AP775" s="489"/>
      <c r="AQ775" s="489"/>
      <c r="AR775" s="489"/>
      <c r="AS775" s="489"/>
    </row>
    <row r="776" spans="1:45" s="484" customFormat="1" ht="14.5">
      <c r="A776" s="695" t="s">
        <v>1308</v>
      </c>
      <c r="B776" s="647"/>
      <c r="C776" s="644"/>
      <c r="D776" s="644"/>
      <c r="E776" s="493">
        <f t="shared" si="277"/>
        <v>26725329.663681701</v>
      </c>
      <c r="F776" s="763">
        <f t="shared" si="278"/>
        <v>1.5E-3</v>
      </c>
      <c r="G776" s="493">
        <f t="shared" si="279"/>
        <v>0</v>
      </c>
      <c r="H776" s="493">
        <f t="shared" ref="H776:Q777" si="282">(G331+H331)/2*$F776/12</f>
        <v>0</v>
      </c>
      <c r="I776" s="493">
        <f t="shared" si="282"/>
        <v>0</v>
      </c>
      <c r="J776" s="493">
        <f t="shared" si="282"/>
        <v>0</v>
      </c>
      <c r="K776" s="493">
        <f t="shared" si="282"/>
        <v>0</v>
      </c>
      <c r="L776" s="493">
        <f t="shared" si="282"/>
        <v>0</v>
      </c>
      <c r="M776" s="493">
        <f t="shared" si="282"/>
        <v>0</v>
      </c>
      <c r="N776" s="493">
        <f t="shared" si="282"/>
        <v>0</v>
      </c>
      <c r="O776" s="493">
        <f t="shared" si="282"/>
        <v>0</v>
      </c>
      <c r="P776" s="493">
        <f t="shared" si="282"/>
        <v>0</v>
      </c>
      <c r="Q776" s="493">
        <f t="shared" si="282"/>
        <v>0</v>
      </c>
      <c r="R776" s="493">
        <f t="shared" si="270"/>
        <v>0</v>
      </c>
      <c r="S776" s="493">
        <f t="shared" si="271"/>
        <v>0</v>
      </c>
      <c r="T776" s="794"/>
      <c r="V776" s="641">
        <f t="shared" si="272"/>
        <v>0</v>
      </c>
      <c r="W776" s="488"/>
      <c r="X776" s="1016"/>
      <c r="Y776" s="675"/>
      <c r="Z776" s="767"/>
      <c r="AA776" s="675"/>
      <c r="AB776" s="767"/>
      <c r="AC776" s="675"/>
      <c r="AD776" s="767"/>
      <c r="AE776" s="675"/>
      <c r="AF776" s="767"/>
      <c r="AL776" s="489"/>
      <c r="AM776" s="489"/>
      <c r="AN776" s="489"/>
      <c r="AO776" s="489"/>
      <c r="AP776" s="489"/>
      <c r="AQ776" s="489"/>
      <c r="AR776" s="489"/>
      <c r="AS776" s="489"/>
    </row>
    <row r="777" spans="1:45" s="484" customFormat="1" ht="14.5">
      <c r="A777" s="695" t="s">
        <v>1309</v>
      </c>
      <c r="B777" s="647"/>
      <c r="C777" s="644"/>
      <c r="D777" s="644"/>
      <c r="E777" s="493">
        <f t="shared" si="277"/>
        <v>0</v>
      </c>
      <c r="F777" s="763">
        <f t="shared" si="278"/>
        <v>8.1799999999999998E-3</v>
      </c>
      <c r="G777" s="493">
        <f t="shared" si="279"/>
        <v>0</v>
      </c>
      <c r="H777" s="493">
        <f t="shared" si="282"/>
        <v>0</v>
      </c>
      <c r="I777" s="493">
        <f t="shared" si="282"/>
        <v>0</v>
      </c>
      <c r="J777" s="493">
        <f t="shared" si="282"/>
        <v>0</v>
      </c>
      <c r="K777" s="493">
        <f t="shared" si="282"/>
        <v>0</v>
      </c>
      <c r="L777" s="493">
        <f t="shared" si="282"/>
        <v>0</v>
      </c>
      <c r="M777" s="493">
        <f t="shared" si="282"/>
        <v>0</v>
      </c>
      <c r="N777" s="493">
        <f t="shared" si="282"/>
        <v>0</v>
      </c>
      <c r="O777" s="493">
        <f t="shared" si="282"/>
        <v>0</v>
      </c>
      <c r="P777" s="493">
        <f t="shared" si="282"/>
        <v>0</v>
      </c>
      <c r="Q777" s="493">
        <f t="shared" si="282"/>
        <v>0</v>
      </c>
      <c r="R777" s="493">
        <f t="shared" si="270"/>
        <v>0</v>
      </c>
      <c r="S777" s="493">
        <f t="shared" si="271"/>
        <v>0</v>
      </c>
      <c r="T777" s="794"/>
      <c r="V777" s="641">
        <f t="shared" si="272"/>
        <v>0</v>
      </c>
      <c r="W777" s="488"/>
      <c r="X777" s="1016"/>
      <c r="Y777" s="675"/>
      <c r="Z777" s="767"/>
      <c r="AA777" s="675"/>
      <c r="AB777" s="767"/>
      <c r="AC777" s="675"/>
      <c r="AD777" s="767"/>
      <c r="AE777" s="675"/>
      <c r="AF777" s="767"/>
      <c r="AL777" s="489"/>
      <c r="AM777" s="489"/>
      <c r="AN777" s="489"/>
      <c r="AO777" s="489"/>
      <c r="AP777" s="489"/>
      <c r="AQ777" s="489"/>
      <c r="AR777" s="489"/>
      <c r="AS777" s="489"/>
    </row>
    <row r="778" spans="1:45" s="484" customFormat="1" ht="14.5">
      <c r="A778" s="695"/>
      <c r="B778" s="647"/>
      <c r="C778" s="644"/>
      <c r="D778" s="644"/>
      <c r="E778" s="644"/>
      <c r="F778" s="768"/>
      <c r="G778" s="493"/>
      <c r="H778" s="493"/>
      <c r="I778" s="493"/>
      <c r="J778" s="493"/>
      <c r="K778" s="493"/>
      <c r="L778" s="493"/>
      <c r="M778" s="493"/>
      <c r="N778" s="493"/>
      <c r="O778" s="493"/>
      <c r="P778" s="493"/>
      <c r="Q778" s="493"/>
      <c r="R778" s="493"/>
      <c r="S778" s="493"/>
      <c r="T778" s="794"/>
      <c r="V778" s="641">
        <f t="shared" si="272"/>
        <v>0</v>
      </c>
      <c r="W778" s="488"/>
      <c r="X778" s="1016"/>
      <c r="Y778" s="675"/>
      <c r="Z778" s="767"/>
      <c r="AA778" s="675"/>
      <c r="AB778" s="767"/>
      <c r="AC778" s="675"/>
      <c r="AD778" s="767"/>
      <c r="AE778" s="675"/>
      <c r="AF778" s="767"/>
      <c r="AL778" s="489"/>
      <c r="AM778" s="489"/>
      <c r="AN778" s="489"/>
      <c r="AO778" s="489"/>
      <c r="AP778" s="489"/>
      <c r="AQ778" s="489"/>
      <c r="AR778" s="489"/>
      <c r="AS778" s="489"/>
    </row>
    <row r="779" spans="1:45" s="484" customFormat="1">
      <c r="A779" s="490" t="s">
        <v>1144</v>
      </c>
      <c r="B779" s="653"/>
      <c r="C779" s="654"/>
      <c r="D779" s="654">
        <f>SUM(D743:D758)</f>
        <v>0</v>
      </c>
      <c r="E779" s="654">
        <f>SUM(E743:E778)</f>
        <v>133691128.02724002</v>
      </c>
      <c r="F779" s="707"/>
      <c r="G779" s="654">
        <f>SUM(G743:G778)</f>
        <v>566743796.75471437</v>
      </c>
      <c r="H779" s="654">
        <f t="shared" ref="H779:Q779" si="283">SUM(H743:H778)</f>
        <v>746802575.991961</v>
      </c>
      <c r="I779" s="654">
        <f t="shared" si="283"/>
        <v>849521325.99196076</v>
      </c>
      <c r="J779" s="654">
        <f t="shared" si="283"/>
        <v>968458825.99196064</v>
      </c>
      <c r="K779" s="654">
        <f t="shared" si="283"/>
        <v>1078385909.325294</v>
      </c>
      <c r="L779" s="654">
        <f t="shared" si="283"/>
        <v>1184708825.9919605</v>
      </c>
      <c r="M779" s="654">
        <f t="shared" si="283"/>
        <v>1296437992.6586273</v>
      </c>
      <c r="N779" s="654">
        <f t="shared" si="283"/>
        <v>1397354659.3252938</v>
      </c>
      <c r="O779" s="654">
        <f t="shared" si="283"/>
        <v>1487458825.9919605</v>
      </c>
      <c r="P779" s="654">
        <f t="shared" si="283"/>
        <v>1577562992.6586268</v>
      </c>
      <c r="Q779" s="654">
        <f t="shared" si="283"/>
        <v>1649646325.9919605</v>
      </c>
      <c r="R779" s="654">
        <f>SUM(R743:R778)</f>
        <v>1703708825.9919603</v>
      </c>
      <c r="S779" s="654">
        <f>SUM(S743:S778)</f>
        <v>1757771325.9919603</v>
      </c>
      <c r="T779" s="816"/>
      <c r="V779" s="654">
        <f>SUM(V743:V778)</f>
        <v>15697818411.903528</v>
      </c>
      <c r="W779" s="708"/>
      <c r="X779" s="1017"/>
      <c r="Y779" s="718" t="e">
        <f>SUM(Y743:Y760)</f>
        <v>#REF!</v>
      </c>
      <c r="Z779" s="708" t="e">
        <f>Y779/V779-1</f>
        <v>#REF!</v>
      </c>
      <c r="AA779" s="718" t="e">
        <f>SUM(AA743:AA758)</f>
        <v>#REF!</v>
      </c>
      <c r="AB779" s="708" t="e">
        <f>+AA779/Y779-1</f>
        <v>#REF!</v>
      </c>
      <c r="AC779" s="718" t="e">
        <f>SUM(AC743:AC758)</f>
        <v>#REF!</v>
      </c>
      <c r="AD779" s="708" t="e">
        <f>+AC779/AA779-1</f>
        <v>#REF!</v>
      </c>
      <c r="AE779" s="718" t="e">
        <f>SUM(AE743:AE758)</f>
        <v>#REF!</v>
      </c>
      <c r="AF779" s="708" t="e">
        <f>+AE779/AC779-1</f>
        <v>#REF!</v>
      </c>
      <c r="AL779" s="489"/>
      <c r="AM779" s="489"/>
      <c r="AN779" s="489"/>
      <c r="AO779" s="489"/>
      <c r="AP779" s="489"/>
      <c r="AQ779" s="489"/>
      <c r="AR779" s="489"/>
      <c r="AS779" s="489"/>
    </row>
    <row r="780" spans="1:45" s="484" customFormat="1">
      <c r="A780" s="499"/>
      <c r="B780" s="773"/>
      <c r="C780" s="774"/>
      <c r="D780" s="774"/>
      <c r="E780" s="774"/>
      <c r="F780" s="733"/>
      <c r="G780" s="774"/>
      <c r="H780" s="774">
        <v>0</v>
      </c>
      <c r="I780" s="774">
        <v>102718750</v>
      </c>
      <c r="J780" s="774">
        <v>221656249.99999988</v>
      </c>
      <c r="K780" s="774">
        <v>331583333.33333325</v>
      </c>
      <c r="L780" s="774">
        <v>437906249.99999976</v>
      </c>
      <c r="M780" s="774">
        <v>549635416.66666651</v>
      </c>
      <c r="N780" s="774">
        <v>650552083.33333302</v>
      </c>
      <c r="O780" s="774">
        <v>740656249.99999976</v>
      </c>
      <c r="P780" s="774">
        <v>830760416.66666603</v>
      </c>
      <c r="Q780" s="774">
        <v>902843749.99999976</v>
      </c>
      <c r="R780" s="774">
        <v>956906249.99999952</v>
      </c>
      <c r="S780" s="774">
        <v>1010968749.9999995</v>
      </c>
      <c r="T780" s="827"/>
      <c r="V780" s="774"/>
      <c r="W780" s="775"/>
      <c r="X780" s="1030"/>
      <c r="Y780" s="776"/>
      <c r="Z780" s="775"/>
      <c r="AA780" s="776"/>
      <c r="AB780" s="775"/>
      <c r="AC780" s="776"/>
      <c r="AD780" s="775"/>
      <c r="AE780" s="776"/>
      <c r="AF780" s="775"/>
      <c r="AL780" s="489"/>
      <c r="AM780" s="489"/>
      <c r="AN780" s="489"/>
      <c r="AO780" s="489"/>
      <c r="AP780" s="489"/>
      <c r="AQ780" s="489"/>
      <c r="AR780" s="489"/>
      <c r="AS780" s="489"/>
    </row>
    <row r="781" spans="1:45" s="484" customFormat="1">
      <c r="A781" s="490" t="s">
        <v>1338</v>
      </c>
      <c r="B781" s="633"/>
      <c r="C781" s="634"/>
      <c r="D781" s="689"/>
      <c r="E781" s="689"/>
      <c r="F781" s="691"/>
      <c r="G781" s="690">
        <v>42735</v>
      </c>
      <c r="H781" s="690">
        <v>42736</v>
      </c>
      <c r="I781" s="690">
        <v>42768</v>
      </c>
      <c r="J781" s="690">
        <v>42800</v>
      </c>
      <c r="K781" s="690">
        <v>42832</v>
      </c>
      <c r="L781" s="690">
        <v>42864</v>
      </c>
      <c r="M781" s="690">
        <v>42896</v>
      </c>
      <c r="N781" s="690">
        <v>42928</v>
      </c>
      <c r="O781" s="690">
        <v>42960</v>
      </c>
      <c r="P781" s="690">
        <v>42992</v>
      </c>
      <c r="Q781" s="690">
        <v>43024</v>
      </c>
      <c r="R781" s="690">
        <v>43056</v>
      </c>
      <c r="S781" s="690">
        <v>43088</v>
      </c>
      <c r="T781" s="822"/>
      <c r="V781" s="690" t="s">
        <v>1159</v>
      </c>
      <c r="W781" s="692"/>
      <c r="X781" s="1022"/>
      <c r="Y781" s="693"/>
      <c r="Z781" s="693"/>
      <c r="AA781" s="694"/>
      <c r="AB781" s="694"/>
      <c r="AC781" s="694"/>
      <c r="AD781" s="694"/>
      <c r="AE781" s="694"/>
      <c r="AF781" s="694"/>
      <c r="AL781" s="489"/>
      <c r="AM781" s="489"/>
      <c r="AN781" s="489"/>
      <c r="AO781" s="489"/>
      <c r="AP781" s="489"/>
      <c r="AQ781" s="489"/>
      <c r="AR781" s="489"/>
      <c r="AS781" s="489"/>
    </row>
    <row r="782" spans="1:45" s="484" customFormat="1">
      <c r="A782" s="695" t="s">
        <v>1275</v>
      </c>
      <c r="B782" s="638"/>
      <c r="C782" s="639"/>
      <c r="D782" s="639"/>
      <c r="E782" s="493">
        <f>(0+E336)/2*$F782/12</f>
        <v>1453283.1348000001</v>
      </c>
      <c r="F782" s="763">
        <f>+F743</f>
        <v>0.02</v>
      </c>
      <c r="G782" s="493">
        <f>(E336+G336)/2*$F782/12</f>
        <v>2898617.2146195997</v>
      </c>
      <c r="H782" s="493">
        <f>(G336+H336)/2*$F782/12</f>
        <v>2890668.1596392002</v>
      </c>
      <c r="I782" s="493">
        <f t="shared" ref="I782:Q782" si="284">(H336+I336)/2*$F782/12</f>
        <v>2890668.1596392002</v>
      </c>
      <c r="J782" s="493">
        <f t="shared" si="284"/>
        <v>2890668.1596392002</v>
      </c>
      <c r="K782" s="493">
        <f t="shared" si="284"/>
        <v>2890668.1596392002</v>
      </c>
      <c r="L782" s="493">
        <f t="shared" si="284"/>
        <v>2890668.1596392002</v>
      </c>
      <c r="M782" s="493">
        <f t="shared" si="284"/>
        <v>2890668.1596392002</v>
      </c>
      <c r="N782" s="493">
        <f t="shared" ref="N782:P801" si="285">(M336+N336)/2*$F782/12</f>
        <v>2890668.1596392002</v>
      </c>
      <c r="O782" s="493">
        <f t="shared" si="285"/>
        <v>2890668.1596392002</v>
      </c>
      <c r="P782" s="493">
        <f t="shared" si="285"/>
        <v>2890668.1596392002</v>
      </c>
      <c r="Q782" s="493">
        <f t="shared" si="284"/>
        <v>2890668.1596392002</v>
      </c>
      <c r="R782" s="493">
        <f t="shared" ref="R782:R816" si="286">(Q336+R336)/2*$F782/12</f>
        <v>2890668.1596392002</v>
      </c>
      <c r="S782" s="493">
        <f t="shared" ref="S782:S816" si="287">(R336+S336)/2*$F782/12</f>
        <v>2890668.1596392002</v>
      </c>
      <c r="T782" s="794"/>
      <c r="V782" s="641">
        <f t="shared" ref="V782:V817" si="288">SUM(H782:U782)</f>
        <v>34688017.91567041</v>
      </c>
      <c r="W782" s="704"/>
      <c r="X782" s="1015"/>
      <c r="Y782" s="664">
        <f t="shared" ref="Y782:Y801" si="289">(Y362+V362)/2*Z782</f>
        <v>0</v>
      </c>
      <c r="Z782" s="764">
        <v>0.02</v>
      </c>
      <c r="AA782" s="664">
        <f t="shared" ref="AA782:AA801" si="290">(AA362+Y362)/2*AB782</f>
        <v>0</v>
      </c>
      <c r="AB782" s="764">
        <v>0.02</v>
      </c>
      <c r="AC782" s="664">
        <f t="shared" ref="AC782:AC801" si="291">(AC362+AA362)/2*AD782</f>
        <v>0</v>
      </c>
      <c r="AD782" s="764">
        <v>0.02</v>
      </c>
      <c r="AE782" s="664">
        <f t="shared" ref="AE782:AE801" si="292">(AE362+AC362)/2*AF782</f>
        <v>0</v>
      </c>
      <c r="AF782" s="764">
        <v>0.02</v>
      </c>
      <c r="AL782" s="489"/>
      <c r="AM782" s="489"/>
      <c r="AN782" s="489"/>
      <c r="AO782" s="489"/>
      <c r="AP782" s="489"/>
      <c r="AQ782" s="489"/>
      <c r="AR782" s="489"/>
      <c r="AS782" s="489"/>
    </row>
    <row r="783" spans="1:45" s="484" customFormat="1" ht="14.5">
      <c r="A783" s="695" t="s">
        <v>1276</v>
      </c>
      <c r="B783" s="647"/>
      <c r="C783" s="644"/>
      <c r="D783" s="644"/>
      <c r="E783" s="493">
        <f t="shared" ref="E783:E816" si="293">(0+E337)/2*$F783/12</f>
        <v>14219983.64231771</v>
      </c>
      <c r="F783" s="763">
        <f t="shared" ref="F783:F816" si="294">+F744</f>
        <v>1.2500000000000001E-2</v>
      </c>
      <c r="G783" s="493">
        <f t="shared" ref="G783:G816" si="295">(E337+G337)/2*$F783/12</f>
        <v>28393300.12865917</v>
      </c>
      <c r="H783" s="493">
        <f t="shared" ref="H783:Q798" si="296">(G337+H337)/2*$F783/12</f>
        <v>28678924.639349584</v>
      </c>
      <c r="I783" s="493">
        <f t="shared" si="296"/>
        <v>29343507.972682919</v>
      </c>
      <c r="J783" s="493">
        <f t="shared" si="296"/>
        <v>30008091.306016251</v>
      </c>
      <c r="K783" s="493">
        <f t="shared" si="296"/>
        <v>30672674.639349584</v>
      </c>
      <c r="L783" s="493">
        <f t="shared" si="296"/>
        <v>31337257.972682919</v>
      </c>
      <c r="M783" s="493">
        <f t="shared" si="296"/>
        <v>32001841.306016251</v>
      </c>
      <c r="N783" s="493">
        <f t="shared" si="285"/>
        <v>32599966.306016251</v>
      </c>
      <c r="O783" s="493">
        <f t="shared" si="285"/>
        <v>33164862.139349584</v>
      </c>
      <c r="P783" s="493">
        <f t="shared" si="285"/>
        <v>33729757.972682916</v>
      </c>
      <c r="Q783" s="493">
        <f t="shared" si="296"/>
        <v>34161737.139349587</v>
      </c>
      <c r="R783" s="493">
        <f t="shared" si="286"/>
        <v>34494028.806016251</v>
      </c>
      <c r="S783" s="493">
        <f t="shared" si="287"/>
        <v>34826320.472682916</v>
      </c>
      <c r="T783" s="794"/>
      <c r="V783" s="641">
        <f t="shared" si="288"/>
        <v>385018970.67219496</v>
      </c>
      <c r="W783" s="765"/>
      <c r="X783" s="1016"/>
      <c r="Y783" s="675">
        <f t="shared" si="289"/>
        <v>0</v>
      </c>
      <c r="Z783" s="766">
        <v>0.02</v>
      </c>
      <c r="AA783" s="675">
        <f t="shared" si="290"/>
        <v>0</v>
      </c>
      <c r="AB783" s="766">
        <v>0.02</v>
      </c>
      <c r="AC783" s="675">
        <f t="shared" si="291"/>
        <v>0</v>
      </c>
      <c r="AD783" s="766">
        <v>0.02</v>
      </c>
      <c r="AE783" s="675">
        <f t="shared" si="292"/>
        <v>0</v>
      </c>
      <c r="AF783" s="766">
        <v>0.02</v>
      </c>
      <c r="AL783" s="489"/>
      <c r="AM783" s="489"/>
      <c r="AN783" s="489"/>
      <c r="AO783" s="489"/>
      <c r="AP783" s="489"/>
      <c r="AQ783" s="489"/>
      <c r="AR783" s="489"/>
      <c r="AS783" s="489"/>
    </row>
    <row r="784" spans="1:45" s="484" customFormat="1">
      <c r="A784" s="695" t="s">
        <v>1277</v>
      </c>
      <c r="B784" s="638"/>
      <c r="C784" s="639"/>
      <c r="D784" s="639"/>
      <c r="E784" s="493">
        <f t="shared" si="293"/>
        <v>504187.21462500002</v>
      </c>
      <c r="F784" s="763">
        <f t="shared" si="294"/>
        <v>1.2500000000000001E-2</v>
      </c>
      <c r="G784" s="493">
        <f t="shared" si="295"/>
        <v>1025505.503550301</v>
      </c>
      <c r="H784" s="493">
        <f t="shared" si="296"/>
        <v>1042636.5778506021</v>
      </c>
      <c r="I784" s="493">
        <f t="shared" si="296"/>
        <v>1042636.5778506021</v>
      </c>
      <c r="J784" s="493">
        <f t="shared" si="296"/>
        <v>1042636.5778506021</v>
      </c>
      <c r="K784" s="493">
        <f t="shared" si="296"/>
        <v>1042636.5778506021</v>
      </c>
      <c r="L784" s="493">
        <f t="shared" si="296"/>
        <v>1042636.5778506021</v>
      </c>
      <c r="M784" s="493">
        <f t="shared" si="296"/>
        <v>1042636.5778506021</v>
      </c>
      <c r="N784" s="493">
        <f t="shared" si="285"/>
        <v>1042636.5778506021</v>
      </c>
      <c r="O784" s="493">
        <f t="shared" si="285"/>
        <v>1042636.5778506021</v>
      </c>
      <c r="P784" s="493">
        <f t="shared" si="285"/>
        <v>1042636.5778506021</v>
      </c>
      <c r="Q784" s="493">
        <f t="shared" si="296"/>
        <v>1042636.5778506021</v>
      </c>
      <c r="R784" s="493">
        <f t="shared" si="286"/>
        <v>1042636.5778506021</v>
      </c>
      <c r="S784" s="493">
        <f t="shared" si="287"/>
        <v>1042636.5778506021</v>
      </c>
      <c r="T784" s="794"/>
      <c r="V784" s="641">
        <f t="shared" si="288"/>
        <v>12511638.934207229</v>
      </c>
      <c r="W784" s="713"/>
      <c r="X784" s="1015"/>
      <c r="Y784" s="675">
        <f t="shared" si="289"/>
        <v>0</v>
      </c>
      <c r="Z784" s="766">
        <v>1.2500000000000001E-2</v>
      </c>
      <c r="AA784" s="675">
        <f t="shared" si="290"/>
        <v>0</v>
      </c>
      <c r="AB784" s="766">
        <v>1.2500000000000001E-2</v>
      </c>
      <c r="AC784" s="675">
        <f t="shared" si="291"/>
        <v>0</v>
      </c>
      <c r="AD784" s="766">
        <v>1.2500000000000001E-2</v>
      </c>
      <c r="AE784" s="675">
        <f t="shared" si="292"/>
        <v>0</v>
      </c>
      <c r="AF784" s="766">
        <v>1.2500000000000001E-2</v>
      </c>
      <c r="AL784" s="489"/>
      <c r="AM784" s="489"/>
      <c r="AN784" s="489"/>
      <c r="AO784" s="489"/>
      <c r="AP784" s="489"/>
      <c r="AQ784" s="489"/>
      <c r="AR784" s="489"/>
      <c r="AS784" s="489"/>
    </row>
    <row r="785" spans="1:45" s="484" customFormat="1" ht="14.5">
      <c r="A785" s="695" t="s">
        <v>1278</v>
      </c>
      <c r="B785" s="647"/>
      <c r="C785" s="644"/>
      <c r="D785" s="644"/>
      <c r="E785" s="493">
        <f t="shared" si="293"/>
        <v>0</v>
      </c>
      <c r="F785" s="763">
        <f t="shared" si="294"/>
        <v>1.2500000000000001E-2</v>
      </c>
      <c r="G785" s="493">
        <f t="shared" si="295"/>
        <v>0</v>
      </c>
      <c r="H785" s="493">
        <f t="shared" si="296"/>
        <v>0</v>
      </c>
      <c r="I785" s="493">
        <f t="shared" si="296"/>
        <v>0</v>
      </c>
      <c r="J785" s="493">
        <f t="shared" si="296"/>
        <v>0</v>
      </c>
      <c r="K785" s="493">
        <f t="shared" si="296"/>
        <v>0</v>
      </c>
      <c r="L785" s="493">
        <f t="shared" si="296"/>
        <v>0</v>
      </c>
      <c r="M785" s="493">
        <f t="shared" si="296"/>
        <v>0</v>
      </c>
      <c r="N785" s="493">
        <f t="shared" si="285"/>
        <v>0</v>
      </c>
      <c r="O785" s="493">
        <f t="shared" si="285"/>
        <v>0</v>
      </c>
      <c r="P785" s="493">
        <f t="shared" si="285"/>
        <v>0</v>
      </c>
      <c r="Q785" s="493">
        <f t="shared" si="296"/>
        <v>0</v>
      </c>
      <c r="R785" s="493">
        <f t="shared" si="286"/>
        <v>0</v>
      </c>
      <c r="S785" s="493">
        <f t="shared" si="287"/>
        <v>0</v>
      </c>
      <c r="T785" s="794"/>
      <c r="V785" s="641">
        <f t="shared" si="288"/>
        <v>0</v>
      </c>
      <c r="W785" s="765"/>
      <c r="X785" s="1016"/>
      <c r="Y785" s="675">
        <f t="shared" si="289"/>
        <v>0</v>
      </c>
      <c r="Z785" s="766">
        <v>1.2500000000000001E-2</v>
      </c>
      <c r="AA785" s="675">
        <f t="shared" si="290"/>
        <v>0</v>
      </c>
      <c r="AB785" s="766">
        <v>1.2500000000000001E-2</v>
      </c>
      <c r="AC785" s="675">
        <f t="shared" si="291"/>
        <v>0</v>
      </c>
      <c r="AD785" s="766">
        <v>1.2500000000000001E-2</v>
      </c>
      <c r="AE785" s="675">
        <f t="shared" si="292"/>
        <v>0</v>
      </c>
      <c r="AF785" s="766">
        <v>1.2500000000000001E-2</v>
      </c>
      <c r="AL785" s="489"/>
      <c r="AM785" s="489"/>
      <c r="AN785" s="489"/>
      <c r="AO785" s="489"/>
      <c r="AP785" s="489"/>
      <c r="AQ785" s="489"/>
      <c r="AR785" s="489"/>
      <c r="AS785" s="489"/>
    </row>
    <row r="786" spans="1:45" s="484" customFormat="1">
      <c r="A786" s="695" t="s">
        <v>1279</v>
      </c>
      <c r="B786" s="638"/>
      <c r="C786" s="639"/>
      <c r="D786" s="639"/>
      <c r="E786" s="493">
        <f t="shared" si="293"/>
        <v>12341299.4346125</v>
      </c>
      <c r="F786" s="763">
        <f t="shared" si="294"/>
        <v>0.03</v>
      </c>
      <c r="G786" s="493">
        <f t="shared" si="295"/>
        <v>60660415.197825484</v>
      </c>
      <c r="H786" s="493">
        <f t="shared" si="296"/>
        <v>108600731.52642596</v>
      </c>
      <c r="I786" s="493">
        <f t="shared" si="296"/>
        <v>132525731.52642596</v>
      </c>
      <c r="J786" s="493">
        <f t="shared" si="296"/>
        <v>156450731.52642593</v>
      </c>
      <c r="K786" s="493">
        <f t="shared" si="296"/>
        <v>180375731.52642593</v>
      </c>
      <c r="L786" s="493">
        <f t="shared" si="296"/>
        <v>204300731.52642593</v>
      </c>
      <c r="M786" s="493">
        <f t="shared" si="296"/>
        <v>228225731.52642593</v>
      </c>
      <c r="N786" s="493">
        <f t="shared" si="285"/>
        <v>249758231.52642593</v>
      </c>
      <c r="O786" s="493">
        <f t="shared" si="285"/>
        <v>270094481.5264259</v>
      </c>
      <c r="P786" s="493">
        <f t="shared" si="285"/>
        <v>290430731.5264259</v>
      </c>
      <c r="Q786" s="493">
        <f t="shared" si="296"/>
        <v>305981981.5264259</v>
      </c>
      <c r="R786" s="493">
        <f t="shared" si="286"/>
        <v>317944481.5264259</v>
      </c>
      <c r="S786" s="493">
        <f t="shared" si="287"/>
        <v>329906981.5264259</v>
      </c>
      <c r="T786" s="794"/>
      <c r="V786" s="641">
        <f t="shared" si="288"/>
        <v>2774596278.317111</v>
      </c>
      <c r="W786" s="713"/>
      <c r="X786" s="1015"/>
      <c r="Y786" s="675">
        <f t="shared" si="289"/>
        <v>143425084.09090909</v>
      </c>
      <c r="Z786" s="766">
        <f>1%/1.1</f>
        <v>9.0909090909090905E-3</v>
      </c>
      <c r="AA786" s="675">
        <f t="shared" si="290"/>
        <v>0</v>
      </c>
      <c r="AB786" s="766">
        <f>1%/1.1</f>
        <v>9.0909090909090905E-3</v>
      </c>
      <c r="AC786" s="675">
        <f t="shared" si="291"/>
        <v>0</v>
      </c>
      <c r="AD786" s="766">
        <f>1%/1.1</f>
        <v>9.0909090909090905E-3</v>
      </c>
      <c r="AE786" s="675">
        <f t="shared" si="292"/>
        <v>0</v>
      </c>
      <c r="AF786" s="766">
        <f>1%/1.1</f>
        <v>9.0909090909090905E-3</v>
      </c>
      <c r="AL786" s="489"/>
      <c r="AM786" s="489"/>
      <c r="AN786" s="489"/>
      <c r="AO786" s="489"/>
      <c r="AP786" s="489"/>
      <c r="AQ786" s="489"/>
      <c r="AR786" s="489"/>
      <c r="AS786" s="489"/>
    </row>
    <row r="787" spans="1:45" s="484" customFormat="1" ht="14.5">
      <c r="A787" s="695" t="s">
        <v>1280</v>
      </c>
      <c r="B787" s="647"/>
      <c r="C787" s="644"/>
      <c r="D787" s="644"/>
      <c r="E787" s="493">
        <f t="shared" si="293"/>
        <v>4767203.810906251</v>
      </c>
      <c r="F787" s="763">
        <f t="shared" si="294"/>
        <v>1.2500000000000001E-2</v>
      </c>
      <c r="G787" s="493">
        <f t="shared" si="295"/>
        <v>11841280.099723319</v>
      </c>
      <c r="H787" s="493">
        <f t="shared" si="296"/>
        <v>17471069.244300801</v>
      </c>
      <c r="I787" s="493">
        <f t="shared" si="296"/>
        <v>24116902.577634137</v>
      </c>
      <c r="J787" s="493">
        <f t="shared" si="296"/>
        <v>30762735.910967469</v>
      </c>
      <c r="K787" s="493">
        <f t="shared" si="296"/>
        <v>37408569.244300805</v>
      </c>
      <c r="L787" s="493">
        <f t="shared" si="296"/>
        <v>44054402.577634133</v>
      </c>
      <c r="M787" s="493">
        <f t="shared" si="296"/>
        <v>50700235.910967469</v>
      </c>
      <c r="N787" s="493">
        <f t="shared" si="285"/>
        <v>56681485.910967469</v>
      </c>
      <c r="O787" s="493">
        <f t="shared" si="285"/>
        <v>62330444.244300805</v>
      </c>
      <c r="P787" s="493">
        <f t="shared" si="285"/>
        <v>67979402.577634141</v>
      </c>
      <c r="Q787" s="493">
        <f t="shared" si="296"/>
        <v>72299194.244300812</v>
      </c>
      <c r="R787" s="493">
        <f t="shared" si="286"/>
        <v>75622110.910967484</v>
      </c>
      <c r="S787" s="493">
        <f t="shared" si="287"/>
        <v>78945027.577634141</v>
      </c>
      <c r="T787" s="794"/>
      <c r="V787" s="641">
        <f t="shared" si="288"/>
        <v>618371580.93160963</v>
      </c>
      <c r="W787" s="765"/>
      <c r="X787" s="1016"/>
      <c r="Y787" s="675">
        <f t="shared" si="289"/>
        <v>136451047.5</v>
      </c>
      <c r="Z787" s="766">
        <v>1.2500000000000001E-2</v>
      </c>
      <c r="AA787" s="675">
        <f t="shared" si="290"/>
        <v>0</v>
      </c>
      <c r="AB787" s="766">
        <v>1.2500000000000001E-2</v>
      </c>
      <c r="AC787" s="675">
        <f t="shared" si="291"/>
        <v>0</v>
      </c>
      <c r="AD787" s="766">
        <v>1.2500000000000001E-2</v>
      </c>
      <c r="AE787" s="675">
        <f t="shared" si="292"/>
        <v>0</v>
      </c>
      <c r="AF787" s="766">
        <v>1.2500000000000001E-2</v>
      </c>
      <c r="AL787" s="489"/>
      <c r="AM787" s="489"/>
      <c r="AN787" s="489"/>
      <c r="AO787" s="489"/>
      <c r="AP787" s="489"/>
      <c r="AQ787" s="489"/>
      <c r="AR787" s="489"/>
      <c r="AS787" s="489"/>
    </row>
    <row r="788" spans="1:45" s="484" customFormat="1">
      <c r="A788" s="695" t="s">
        <v>1281</v>
      </c>
      <c r="B788" s="638"/>
      <c r="C788" s="639"/>
      <c r="D788" s="639"/>
      <c r="E788" s="493">
        <f t="shared" si="293"/>
        <v>336295.73893499997</v>
      </c>
      <c r="F788" s="763">
        <f t="shared" si="294"/>
        <v>8.9999999999999993E-3</v>
      </c>
      <c r="G788" s="493">
        <f t="shared" si="295"/>
        <v>672016.06652834837</v>
      </c>
      <c r="H788" s="493">
        <f t="shared" si="296"/>
        <v>910690.65518669691</v>
      </c>
      <c r="I788" s="493">
        <f t="shared" si="296"/>
        <v>1389190.6551866969</v>
      </c>
      <c r="J788" s="493">
        <f t="shared" si="296"/>
        <v>1867690.6551866969</v>
      </c>
      <c r="K788" s="493">
        <f t="shared" si="296"/>
        <v>2346190.6551866969</v>
      </c>
      <c r="L788" s="493">
        <f t="shared" si="296"/>
        <v>2824690.6551866964</v>
      </c>
      <c r="M788" s="493">
        <f t="shared" si="296"/>
        <v>3303190.6551866964</v>
      </c>
      <c r="N788" s="493">
        <f t="shared" si="285"/>
        <v>3733840.6551866964</v>
      </c>
      <c r="O788" s="493">
        <f t="shared" si="285"/>
        <v>4140565.6551866964</v>
      </c>
      <c r="P788" s="493">
        <f t="shared" si="285"/>
        <v>4547290.6551866969</v>
      </c>
      <c r="Q788" s="493">
        <f t="shared" si="296"/>
        <v>4858315.6551866969</v>
      </c>
      <c r="R788" s="493">
        <f t="shared" si="286"/>
        <v>5097565.6551866969</v>
      </c>
      <c r="S788" s="493">
        <f t="shared" si="287"/>
        <v>5336815.6551866969</v>
      </c>
      <c r="T788" s="794"/>
      <c r="V788" s="641">
        <f t="shared" si="288"/>
        <v>40356037.862240359</v>
      </c>
      <c r="W788" s="713"/>
      <c r="X788" s="1015"/>
      <c r="Y788" s="675">
        <f t="shared" si="289"/>
        <v>0</v>
      </c>
      <c r="Z788" s="766">
        <v>1.2500000000000001E-2</v>
      </c>
      <c r="AA788" s="675">
        <f t="shared" si="290"/>
        <v>0</v>
      </c>
      <c r="AB788" s="766">
        <v>1.2500000000000001E-2</v>
      </c>
      <c r="AC788" s="675">
        <f t="shared" si="291"/>
        <v>0</v>
      </c>
      <c r="AD788" s="766">
        <v>1.2500000000000001E-2</v>
      </c>
      <c r="AE788" s="675">
        <f t="shared" si="292"/>
        <v>0</v>
      </c>
      <c r="AF788" s="766">
        <v>1.2500000000000001E-2</v>
      </c>
      <c r="AL788" s="489"/>
      <c r="AM788" s="489"/>
      <c r="AN788" s="489"/>
      <c r="AO788" s="489"/>
      <c r="AP788" s="489"/>
      <c r="AQ788" s="489"/>
      <c r="AR788" s="489"/>
      <c r="AS788" s="489"/>
    </row>
    <row r="789" spans="1:45" s="484" customFormat="1" ht="14.5">
      <c r="A789" s="695" t="s">
        <v>1282</v>
      </c>
      <c r="B789" s="647"/>
      <c r="C789" s="644"/>
      <c r="D789" s="644"/>
      <c r="E789" s="493">
        <f t="shared" si="293"/>
        <v>0</v>
      </c>
      <c r="F789" s="763">
        <f t="shared" si="294"/>
        <v>0</v>
      </c>
      <c r="G789" s="493">
        <f t="shared" si="295"/>
        <v>0</v>
      </c>
      <c r="H789" s="493">
        <f t="shared" si="296"/>
        <v>0</v>
      </c>
      <c r="I789" s="493">
        <f t="shared" si="296"/>
        <v>0</v>
      </c>
      <c r="J789" s="493">
        <f t="shared" si="296"/>
        <v>0</v>
      </c>
      <c r="K789" s="493">
        <f t="shared" si="296"/>
        <v>0</v>
      </c>
      <c r="L789" s="493">
        <f t="shared" si="296"/>
        <v>0</v>
      </c>
      <c r="M789" s="493">
        <f t="shared" si="296"/>
        <v>0</v>
      </c>
      <c r="N789" s="493">
        <f t="shared" si="285"/>
        <v>0</v>
      </c>
      <c r="O789" s="493">
        <f t="shared" si="285"/>
        <v>0</v>
      </c>
      <c r="P789" s="493">
        <f t="shared" si="285"/>
        <v>0</v>
      </c>
      <c r="Q789" s="493">
        <f t="shared" si="296"/>
        <v>0</v>
      </c>
      <c r="R789" s="493">
        <f t="shared" si="286"/>
        <v>0</v>
      </c>
      <c r="S789" s="493">
        <f t="shared" si="287"/>
        <v>0</v>
      </c>
      <c r="T789" s="794"/>
      <c r="V789" s="641">
        <f t="shared" si="288"/>
        <v>0</v>
      </c>
      <c r="W789" s="765"/>
      <c r="X789" s="1016"/>
      <c r="Y789" s="675">
        <f t="shared" si="289"/>
        <v>996875000</v>
      </c>
      <c r="Z789" s="766">
        <v>1.2500000000000001E-2</v>
      </c>
      <c r="AA789" s="675">
        <f t="shared" si="290"/>
        <v>0</v>
      </c>
      <c r="AB789" s="766">
        <v>1.2500000000000001E-2</v>
      </c>
      <c r="AC789" s="675">
        <f t="shared" si="291"/>
        <v>0</v>
      </c>
      <c r="AD789" s="766">
        <v>1.2500000000000001E-2</v>
      </c>
      <c r="AE789" s="675">
        <f t="shared" si="292"/>
        <v>0</v>
      </c>
      <c r="AF789" s="766">
        <v>1.2500000000000001E-2</v>
      </c>
      <c r="AL789" s="489"/>
      <c r="AM789" s="489"/>
      <c r="AN789" s="489"/>
      <c r="AO789" s="489"/>
      <c r="AP789" s="489"/>
      <c r="AQ789" s="489"/>
      <c r="AR789" s="489"/>
      <c r="AS789" s="489"/>
    </row>
    <row r="790" spans="1:45" s="484" customFormat="1">
      <c r="A790" s="695" t="s">
        <v>1283</v>
      </c>
      <c r="B790" s="638"/>
      <c r="C790" s="639"/>
      <c r="D790" s="639"/>
      <c r="E790" s="493">
        <f t="shared" si="293"/>
        <v>0</v>
      </c>
      <c r="F790" s="763">
        <f t="shared" si="294"/>
        <v>0</v>
      </c>
      <c r="G790" s="493">
        <f t="shared" si="295"/>
        <v>0</v>
      </c>
      <c r="H790" s="493">
        <f t="shared" si="296"/>
        <v>0</v>
      </c>
      <c r="I790" s="493">
        <f t="shared" si="296"/>
        <v>0</v>
      </c>
      <c r="J790" s="493">
        <f t="shared" si="296"/>
        <v>0</v>
      </c>
      <c r="K790" s="493">
        <f t="shared" si="296"/>
        <v>0</v>
      </c>
      <c r="L790" s="493">
        <f t="shared" si="296"/>
        <v>0</v>
      </c>
      <c r="M790" s="493">
        <f t="shared" si="296"/>
        <v>0</v>
      </c>
      <c r="N790" s="493">
        <f t="shared" si="285"/>
        <v>0</v>
      </c>
      <c r="O790" s="493">
        <f t="shared" si="285"/>
        <v>0</v>
      </c>
      <c r="P790" s="493">
        <f t="shared" si="285"/>
        <v>0</v>
      </c>
      <c r="Q790" s="493">
        <f t="shared" si="296"/>
        <v>0</v>
      </c>
      <c r="R790" s="493">
        <f t="shared" si="286"/>
        <v>0</v>
      </c>
      <c r="S790" s="493">
        <f t="shared" si="287"/>
        <v>0</v>
      </c>
      <c r="T790" s="794"/>
      <c r="V790" s="641">
        <f t="shared" si="288"/>
        <v>0</v>
      </c>
      <c r="W790" s="713"/>
      <c r="X790" s="1015"/>
      <c r="Y790" s="675">
        <f t="shared" si="289"/>
        <v>0</v>
      </c>
      <c r="Z790" s="766">
        <v>1.2500000000000001E-2</v>
      </c>
      <c r="AA790" s="675">
        <f t="shared" si="290"/>
        <v>0</v>
      </c>
      <c r="AB790" s="766">
        <v>1.2500000000000001E-2</v>
      </c>
      <c r="AC790" s="675">
        <f t="shared" si="291"/>
        <v>0</v>
      </c>
      <c r="AD790" s="766">
        <v>1.2500000000000001E-2</v>
      </c>
      <c r="AE790" s="675">
        <f t="shared" si="292"/>
        <v>0</v>
      </c>
      <c r="AF790" s="766">
        <v>1.2500000000000001E-2</v>
      </c>
      <c r="AL790" s="489"/>
      <c r="AM790" s="489"/>
      <c r="AN790" s="489"/>
      <c r="AO790" s="489"/>
      <c r="AP790" s="489"/>
      <c r="AQ790" s="489"/>
      <c r="AR790" s="489"/>
      <c r="AS790" s="489"/>
    </row>
    <row r="791" spans="1:45" s="484" customFormat="1" ht="14.5">
      <c r="A791" s="695" t="s">
        <v>1284</v>
      </c>
      <c r="B791" s="647"/>
      <c r="C791" s="644"/>
      <c r="D791" s="644"/>
      <c r="E791" s="493">
        <f t="shared" si="293"/>
        <v>1992443.3377624999</v>
      </c>
      <c r="F791" s="763">
        <f t="shared" si="294"/>
        <v>1.4999999999999999E-2</v>
      </c>
      <c r="G791" s="493">
        <f t="shared" si="295"/>
        <v>8662818.953394115</v>
      </c>
      <c r="H791" s="493">
        <f t="shared" si="296"/>
        <v>17328251.231263231</v>
      </c>
      <c r="I791" s="493">
        <f t="shared" si="296"/>
        <v>25303251.231263224</v>
      </c>
      <c r="J791" s="493">
        <f t="shared" si="296"/>
        <v>33278251.231263224</v>
      </c>
      <c r="K791" s="493">
        <f t="shared" si="296"/>
        <v>41253251.231263228</v>
      </c>
      <c r="L791" s="493">
        <f t="shared" si="296"/>
        <v>49228251.231263228</v>
      </c>
      <c r="M791" s="493">
        <f t="shared" si="296"/>
        <v>57203251.231263228</v>
      </c>
      <c r="N791" s="493">
        <f t="shared" si="285"/>
        <v>64380751.23126322</v>
      </c>
      <c r="O791" s="493">
        <f t="shared" si="285"/>
        <v>71159501.23126322</v>
      </c>
      <c r="P791" s="493">
        <f t="shared" si="285"/>
        <v>77938251.23126322</v>
      </c>
      <c r="Q791" s="493">
        <f t="shared" si="296"/>
        <v>83122001.23126322</v>
      </c>
      <c r="R791" s="493">
        <f t="shared" si="286"/>
        <v>87109501.231263235</v>
      </c>
      <c r="S791" s="493">
        <f t="shared" si="287"/>
        <v>91097001.231263235</v>
      </c>
      <c r="T791" s="794"/>
      <c r="V791" s="641">
        <f t="shared" si="288"/>
        <v>698401514.77515876</v>
      </c>
      <c r="W791" s="765"/>
      <c r="X791" s="1016"/>
      <c r="Y791" s="675">
        <f t="shared" si="289"/>
        <v>0</v>
      </c>
      <c r="Z791" s="766">
        <v>1.2500000000000001E-2</v>
      </c>
      <c r="AA791" s="675">
        <f t="shared" si="290"/>
        <v>0</v>
      </c>
      <c r="AB791" s="766">
        <v>1.2500000000000001E-2</v>
      </c>
      <c r="AC791" s="675">
        <f t="shared" si="291"/>
        <v>0</v>
      </c>
      <c r="AD791" s="766">
        <v>1.2500000000000001E-2</v>
      </c>
      <c r="AE791" s="675">
        <f t="shared" si="292"/>
        <v>0</v>
      </c>
      <c r="AF791" s="766">
        <v>1.2500000000000001E-2</v>
      </c>
      <c r="AL791" s="489"/>
      <c r="AM791" s="489"/>
      <c r="AN791" s="489"/>
      <c r="AO791" s="489"/>
      <c r="AP791" s="489"/>
      <c r="AQ791" s="489"/>
      <c r="AR791" s="489"/>
      <c r="AS791" s="489"/>
    </row>
    <row r="792" spans="1:45" s="484" customFormat="1">
      <c r="A792" s="695" t="s">
        <v>1285</v>
      </c>
      <c r="B792" s="638"/>
      <c r="C792" s="639"/>
      <c r="D792" s="639"/>
      <c r="E792" s="493">
        <f t="shared" si="293"/>
        <v>21488694.667506251</v>
      </c>
      <c r="F792" s="763">
        <f t="shared" si="294"/>
        <v>1.4999999999999999E-2</v>
      </c>
      <c r="G792" s="493">
        <f t="shared" si="295"/>
        <v>53664421.855601609</v>
      </c>
      <c r="H792" s="493">
        <f t="shared" si="296"/>
        <v>68338954.376190707</v>
      </c>
      <c r="I792" s="493">
        <f t="shared" si="296"/>
        <v>76313954.376190707</v>
      </c>
      <c r="J792" s="493">
        <f t="shared" si="296"/>
        <v>84288954.376190707</v>
      </c>
      <c r="K792" s="493">
        <f t="shared" si="296"/>
        <v>92263954.376190722</v>
      </c>
      <c r="L792" s="493">
        <f t="shared" si="296"/>
        <v>100238954.37619072</v>
      </c>
      <c r="M792" s="493">
        <f t="shared" si="296"/>
        <v>108213954.37619072</v>
      </c>
      <c r="N792" s="493">
        <f t="shared" si="285"/>
        <v>115391454.37619072</v>
      </c>
      <c r="O792" s="493">
        <f t="shared" si="285"/>
        <v>122170204.37619072</v>
      </c>
      <c r="P792" s="493">
        <f t="shared" si="285"/>
        <v>128948954.37619072</v>
      </c>
      <c r="Q792" s="493">
        <f t="shared" si="296"/>
        <v>134132704.37619072</v>
      </c>
      <c r="R792" s="493">
        <f t="shared" si="286"/>
        <v>138120204.37619072</v>
      </c>
      <c r="S792" s="493">
        <f t="shared" si="287"/>
        <v>142107704.37619072</v>
      </c>
      <c r="T792" s="794"/>
      <c r="V792" s="641">
        <f t="shared" si="288"/>
        <v>1310529952.5142884</v>
      </c>
      <c r="W792" s="713"/>
      <c r="X792" s="1015"/>
      <c r="Y792" s="675">
        <f t="shared" si="289"/>
        <v>11291600395.121351</v>
      </c>
      <c r="Z792" s="766">
        <v>1.2500000000000001E-2</v>
      </c>
      <c r="AA792" s="675">
        <f t="shared" si="290"/>
        <v>9027389492.0019989</v>
      </c>
      <c r="AB792" s="766">
        <v>1.2500000000000001E-2</v>
      </c>
      <c r="AC792" s="675">
        <f t="shared" si="291"/>
        <v>13164943009.169579</v>
      </c>
      <c r="AD792" s="766">
        <v>1.2500000000000001E-2</v>
      </c>
      <c r="AE792" s="675">
        <f t="shared" si="292"/>
        <v>17772673062.378933</v>
      </c>
      <c r="AF792" s="766">
        <v>1.2500000000000001E-2</v>
      </c>
      <c r="AL792" s="489"/>
      <c r="AM792" s="489"/>
      <c r="AN792" s="489"/>
      <c r="AO792" s="489"/>
      <c r="AP792" s="489"/>
      <c r="AQ792" s="489"/>
      <c r="AR792" s="489"/>
      <c r="AS792" s="489"/>
    </row>
    <row r="793" spans="1:45" s="484" customFormat="1" ht="14.5">
      <c r="A793" s="695" t="s">
        <v>1286</v>
      </c>
      <c r="B793" s="647"/>
      <c r="C793" s="644"/>
      <c r="D793" s="644"/>
      <c r="E793" s="493">
        <f t="shared" si="293"/>
        <v>1476427.8101510415</v>
      </c>
      <c r="F793" s="763">
        <f t="shared" si="294"/>
        <v>1.2500000000000001E-2</v>
      </c>
      <c r="G793" s="493">
        <f t="shared" si="295"/>
        <v>2920726.8024632502</v>
      </c>
      <c r="H793" s="493">
        <f t="shared" si="296"/>
        <v>2888597.984624417</v>
      </c>
      <c r="I793" s="493">
        <f t="shared" si="296"/>
        <v>2888597.984624417</v>
      </c>
      <c r="J793" s="493">
        <f t="shared" si="296"/>
        <v>2888597.984624417</v>
      </c>
      <c r="K793" s="493">
        <f t="shared" si="296"/>
        <v>2888597.984624417</v>
      </c>
      <c r="L793" s="493">
        <f t="shared" si="296"/>
        <v>2888597.984624417</v>
      </c>
      <c r="M793" s="493">
        <f t="shared" si="296"/>
        <v>2888597.984624417</v>
      </c>
      <c r="N793" s="493">
        <f t="shared" si="285"/>
        <v>2888597.984624417</v>
      </c>
      <c r="O793" s="493">
        <f t="shared" si="285"/>
        <v>2888597.984624417</v>
      </c>
      <c r="P793" s="493">
        <f t="shared" si="285"/>
        <v>2888597.984624417</v>
      </c>
      <c r="Q793" s="493">
        <f t="shared" si="296"/>
        <v>2888597.984624417</v>
      </c>
      <c r="R793" s="493">
        <f t="shared" si="286"/>
        <v>2888597.984624417</v>
      </c>
      <c r="S793" s="493">
        <f t="shared" si="287"/>
        <v>2888597.984624417</v>
      </c>
      <c r="T793" s="794"/>
      <c r="V793" s="641">
        <f t="shared" si="288"/>
        <v>34663175.815492995</v>
      </c>
      <c r="W793" s="765"/>
      <c r="X793" s="1016"/>
      <c r="Y793" s="675" t="e">
        <f t="shared" si="289"/>
        <v>#REF!</v>
      </c>
      <c r="Z793" s="766">
        <f>1%/1.1</f>
        <v>9.0909090909090905E-3</v>
      </c>
      <c r="AA793" s="675" t="e">
        <f t="shared" si="290"/>
        <v>#REF!</v>
      </c>
      <c r="AB793" s="766">
        <f>1%/1.1</f>
        <v>9.0909090909090905E-3</v>
      </c>
      <c r="AC793" s="675" t="e">
        <f t="shared" si="291"/>
        <v>#REF!</v>
      </c>
      <c r="AD793" s="766">
        <f>1%/1.1</f>
        <v>9.0909090909090905E-3</v>
      </c>
      <c r="AE793" s="675" t="e">
        <f t="shared" si="292"/>
        <v>#REF!</v>
      </c>
      <c r="AF793" s="766">
        <f>1%/1.1</f>
        <v>9.0909090909090905E-3</v>
      </c>
      <c r="AL793" s="489"/>
      <c r="AM793" s="489"/>
      <c r="AN793" s="489"/>
      <c r="AO793" s="489"/>
      <c r="AP793" s="489"/>
      <c r="AQ793" s="489"/>
      <c r="AR793" s="489"/>
      <c r="AS793" s="489"/>
    </row>
    <row r="794" spans="1:45" s="484" customFormat="1">
      <c r="A794" s="695" t="s">
        <v>1287</v>
      </c>
      <c r="B794" s="638"/>
      <c r="C794" s="639"/>
      <c r="D794" s="639"/>
      <c r="E794" s="493">
        <f t="shared" si="293"/>
        <v>0</v>
      </c>
      <c r="F794" s="763">
        <f t="shared" si="294"/>
        <v>1.2500000000000001E-2</v>
      </c>
      <c r="G794" s="493">
        <f t="shared" si="295"/>
        <v>0</v>
      </c>
      <c r="H794" s="493">
        <f t="shared" si="296"/>
        <v>0</v>
      </c>
      <c r="I794" s="493">
        <f t="shared" si="296"/>
        <v>0</v>
      </c>
      <c r="J794" s="493">
        <f t="shared" si="296"/>
        <v>0</v>
      </c>
      <c r="K794" s="493">
        <f t="shared" si="296"/>
        <v>0</v>
      </c>
      <c r="L794" s="493">
        <f t="shared" si="296"/>
        <v>0</v>
      </c>
      <c r="M794" s="493">
        <f t="shared" si="296"/>
        <v>0</v>
      </c>
      <c r="N794" s="493">
        <f t="shared" si="285"/>
        <v>0</v>
      </c>
      <c r="O794" s="493">
        <f t="shared" si="285"/>
        <v>0</v>
      </c>
      <c r="P794" s="493">
        <f t="shared" si="285"/>
        <v>0</v>
      </c>
      <c r="Q794" s="493">
        <f t="shared" si="296"/>
        <v>0</v>
      </c>
      <c r="R794" s="493">
        <f t="shared" si="286"/>
        <v>0</v>
      </c>
      <c r="S794" s="493">
        <f t="shared" si="287"/>
        <v>0</v>
      </c>
      <c r="T794" s="794"/>
      <c r="V794" s="641">
        <f t="shared" si="288"/>
        <v>0</v>
      </c>
      <c r="W794" s="713"/>
      <c r="X794" s="1015"/>
      <c r="Y794" s="675">
        <f t="shared" si="289"/>
        <v>1.51275</v>
      </c>
      <c r="Z794" s="766">
        <v>1.5E-3</v>
      </c>
      <c r="AA794" s="675">
        <f t="shared" si="290"/>
        <v>0</v>
      </c>
      <c r="AB794" s="766">
        <v>1.5E-3</v>
      </c>
      <c r="AC794" s="675">
        <f t="shared" si="291"/>
        <v>0</v>
      </c>
      <c r="AD794" s="766">
        <v>1.5E-3</v>
      </c>
      <c r="AE794" s="675">
        <f t="shared" si="292"/>
        <v>0</v>
      </c>
      <c r="AF794" s="766">
        <v>1.5E-3</v>
      </c>
      <c r="AL794" s="489"/>
      <c r="AM794" s="489"/>
      <c r="AN794" s="489"/>
      <c r="AO794" s="489"/>
      <c r="AP794" s="489"/>
      <c r="AQ794" s="489"/>
      <c r="AR794" s="489"/>
      <c r="AS794" s="489"/>
    </row>
    <row r="795" spans="1:45" s="484" customFormat="1" ht="14.5">
      <c r="A795" s="695" t="s">
        <v>1288</v>
      </c>
      <c r="B795" s="647"/>
      <c r="C795" s="644"/>
      <c r="D795" s="644"/>
      <c r="E795" s="493">
        <f t="shared" si="293"/>
        <v>0</v>
      </c>
      <c r="F795" s="763">
        <f t="shared" si="294"/>
        <v>1.75E-3</v>
      </c>
      <c r="G795" s="493">
        <f t="shared" si="295"/>
        <v>0</v>
      </c>
      <c r="H795" s="493">
        <f t="shared" si="296"/>
        <v>0</v>
      </c>
      <c r="I795" s="493">
        <f t="shared" si="296"/>
        <v>0</v>
      </c>
      <c r="J795" s="493">
        <f t="shared" si="296"/>
        <v>0</v>
      </c>
      <c r="K795" s="493">
        <f t="shared" si="296"/>
        <v>0</v>
      </c>
      <c r="L795" s="493">
        <f t="shared" si="296"/>
        <v>0</v>
      </c>
      <c r="M795" s="493">
        <f t="shared" si="296"/>
        <v>0</v>
      </c>
      <c r="N795" s="493">
        <f t="shared" si="285"/>
        <v>0</v>
      </c>
      <c r="O795" s="493">
        <f t="shared" si="285"/>
        <v>0</v>
      </c>
      <c r="P795" s="493">
        <f t="shared" si="285"/>
        <v>0</v>
      </c>
      <c r="Q795" s="493">
        <f t="shared" si="296"/>
        <v>0</v>
      </c>
      <c r="R795" s="493">
        <f t="shared" si="286"/>
        <v>0</v>
      </c>
      <c r="S795" s="493">
        <f t="shared" si="287"/>
        <v>0</v>
      </c>
      <c r="T795" s="794"/>
      <c r="V795" s="641">
        <f t="shared" si="288"/>
        <v>0</v>
      </c>
      <c r="W795" s="765"/>
      <c r="X795" s="1016"/>
      <c r="Y795" s="675">
        <f t="shared" si="289"/>
        <v>0</v>
      </c>
      <c r="Z795" s="766">
        <v>1.2500000000000001E-2</v>
      </c>
      <c r="AA795" s="675">
        <f t="shared" si="290"/>
        <v>0</v>
      </c>
      <c r="AB795" s="766">
        <v>1.2500000000000001E-2</v>
      </c>
      <c r="AC795" s="675">
        <f t="shared" si="291"/>
        <v>0</v>
      </c>
      <c r="AD795" s="766">
        <v>1.2500000000000001E-2</v>
      </c>
      <c r="AE795" s="675">
        <f t="shared" si="292"/>
        <v>0</v>
      </c>
      <c r="AF795" s="766">
        <v>1.2500000000000001E-2</v>
      </c>
      <c r="AL795" s="489"/>
      <c r="AM795" s="489"/>
      <c r="AN795" s="489"/>
      <c r="AO795" s="489"/>
      <c r="AP795" s="489"/>
      <c r="AQ795" s="489"/>
      <c r="AR795" s="489"/>
      <c r="AS795" s="489"/>
    </row>
    <row r="796" spans="1:45" s="484" customFormat="1">
      <c r="A796" s="695" t="s">
        <v>1289</v>
      </c>
      <c r="B796" s="647"/>
      <c r="C796" s="648"/>
      <c r="D796" s="639"/>
      <c r="E796" s="493">
        <f t="shared" si="293"/>
        <v>12588388.934887499</v>
      </c>
      <c r="F796" s="763">
        <f t="shared" si="294"/>
        <v>1.125E-2</v>
      </c>
      <c r="G796" s="493">
        <f t="shared" si="295"/>
        <v>38053958.273349844</v>
      </c>
      <c r="H796" s="493">
        <f t="shared" si="296"/>
        <v>53921763.676924683</v>
      </c>
      <c r="I796" s="493">
        <f t="shared" si="296"/>
        <v>59903013.676924683</v>
      </c>
      <c r="J796" s="493">
        <f t="shared" si="296"/>
        <v>65884263.676924698</v>
      </c>
      <c r="K796" s="493">
        <f t="shared" si="296"/>
        <v>71865513.676924691</v>
      </c>
      <c r="L796" s="493">
        <f t="shared" si="296"/>
        <v>77846763.676924691</v>
      </c>
      <c r="M796" s="493">
        <f t="shared" si="296"/>
        <v>83828013.676924691</v>
      </c>
      <c r="N796" s="493">
        <f t="shared" si="285"/>
        <v>89211138.676924691</v>
      </c>
      <c r="O796" s="493">
        <f t="shared" si="285"/>
        <v>94295201.176924691</v>
      </c>
      <c r="P796" s="493">
        <f t="shared" si="285"/>
        <v>99379263.676924691</v>
      </c>
      <c r="Q796" s="493">
        <f t="shared" si="296"/>
        <v>103267076.17692469</v>
      </c>
      <c r="R796" s="493">
        <f t="shared" si="286"/>
        <v>106257701.17692469</v>
      </c>
      <c r="S796" s="493">
        <f t="shared" si="287"/>
        <v>109248326.17692469</v>
      </c>
      <c r="T796" s="794"/>
      <c r="V796" s="641">
        <f t="shared" si="288"/>
        <v>1014908039.1230963</v>
      </c>
      <c r="W796" s="713"/>
      <c r="X796" s="1015"/>
      <c r="Y796" s="675">
        <f t="shared" si="289"/>
        <v>0</v>
      </c>
      <c r="Z796" s="766">
        <v>3.0000000000000001E-3</v>
      </c>
      <c r="AA796" s="675">
        <f t="shared" si="290"/>
        <v>0</v>
      </c>
      <c r="AB796" s="766">
        <v>3.0000000000000001E-3</v>
      </c>
      <c r="AC796" s="675">
        <f t="shared" si="291"/>
        <v>0</v>
      </c>
      <c r="AD796" s="766">
        <v>3.0000000000000001E-3</v>
      </c>
      <c r="AE796" s="675">
        <f t="shared" si="292"/>
        <v>0</v>
      </c>
      <c r="AF796" s="766">
        <v>3.0000000000000001E-3</v>
      </c>
      <c r="AL796" s="489"/>
      <c r="AM796" s="489"/>
      <c r="AN796" s="489"/>
      <c r="AO796" s="489"/>
      <c r="AP796" s="489"/>
      <c r="AQ796" s="489"/>
      <c r="AR796" s="489"/>
      <c r="AS796" s="489"/>
    </row>
    <row r="797" spans="1:45" s="484" customFormat="1" ht="14.5">
      <c r="A797" s="695" t="s">
        <v>1290</v>
      </c>
      <c r="B797" s="647"/>
      <c r="C797" s="644"/>
      <c r="D797" s="644"/>
      <c r="E797" s="493">
        <f t="shared" si="293"/>
        <v>0</v>
      </c>
      <c r="F797" s="763">
        <f t="shared" si="294"/>
        <v>1.5E-3</v>
      </c>
      <c r="G797" s="493">
        <f t="shared" si="295"/>
        <v>0</v>
      </c>
      <c r="H797" s="493">
        <f t="shared" si="296"/>
        <v>0</v>
      </c>
      <c r="I797" s="493">
        <f t="shared" si="296"/>
        <v>0</v>
      </c>
      <c r="J797" s="493">
        <f t="shared" si="296"/>
        <v>0</v>
      </c>
      <c r="K797" s="493">
        <f t="shared" si="296"/>
        <v>0</v>
      </c>
      <c r="L797" s="493">
        <f t="shared" si="296"/>
        <v>0</v>
      </c>
      <c r="M797" s="493">
        <f t="shared" si="296"/>
        <v>0</v>
      </c>
      <c r="N797" s="493">
        <f t="shared" si="285"/>
        <v>0</v>
      </c>
      <c r="O797" s="493">
        <f t="shared" si="285"/>
        <v>0</v>
      </c>
      <c r="P797" s="493">
        <f t="shared" si="285"/>
        <v>0</v>
      </c>
      <c r="Q797" s="493">
        <f t="shared" si="296"/>
        <v>0</v>
      </c>
      <c r="R797" s="493">
        <f t="shared" si="286"/>
        <v>0</v>
      </c>
      <c r="S797" s="493">
        <f t="shared" si="287"/>
        <v>0</v>
      </c>
      <c r="T797" s="794"/>
      <c r="V797" s="641">
        <f t="shared" si="288"/>
        <v>0</v>
      </c>
      <c r="W797" s="488"/>
      <c r="X797" s="1016"/>
      <c r="Y797" s="675">
        <f t="shared" si="289"/>
        <v>0</v>
      </c>
      <c r="Z797" s="767">
        <v>6.8000000000000005E-4</v>
      </c>
      <c r="AA797" s="675">
        <f t="shared" si="290"/>
        <v>0</v>
      </c>
      <c r="AB797" s="767">
        <v>6.8000000000000005E-4</v>
      </c>
      <c r="AC797" s="675">
        <f t="shared" si="291"/>
        <v>0</v>
      </c>
      <c r="AD797" s="767">
        <v>6.8000000000000005E-4</v>
      </c>
      <c r="AE797" s="675">
        <f t="shared" si="292"/>
        <v>0</v>
      </c>
      <c r="AF797" s="767">
        <v>6.8000000000000005E-4</v>
      </c>
      <c r="AL797" s="489"/>
      <c r="AM797" s="489"/>
      <c r="AN797" s="489"/>
      <c r="AO797" s="489"/>
      <c r="AP797" s="489"/>
      <c r="AQ797" s="489"/>
      <c r="AR797" s="489"/>
      <c r="AS797" s="489"/>
    </row>
    <row r="798" spans="1:45" s="484" customFormat="1">
      <c r="A798" s="695" t="s">
        <v>1291</v>
      </c>
      <c r="B798" s="647"/>
      <c r="C798" s="648"/>
      <c r="D798" s="639"/>
      <c r="E798" s="493">
        <f t="shared" si="293"/>
        <v>0</v>
      </c>
      <c r="F798" s="763">
        <f t="shared" si="294"/>
        <v>1.4999999999999999E-2</v>
      </c>
      <c r="G798" s="493">
        <f t="shared" si="295"/>
        <v>0</v>
      </c>
      <c r="H798" s="493">
        <f t="shared" si="296"/>
        <v>0</v>
      </c>
      <c r="I798" s="493">
        <f t="shared" si="296"/>
        <v>0</v>
      </c>
      <c r="J798" s="493">
        <f t="shared" si="296"/>
        <v>0</v>
      </c>
      <c r="K798" s="493">
        <f t="shared" si="296"/>
        <v>0</v>
      </c>
      <c r="L798" s="493">
        <f t="shared" si="296"/>
        <v>0</v>
      </c>
      <c r="M798" s="493">
        <f t="shared" si="296"/>
        <v>0</v>
      </c>
      <c r="N798" s="493">
        <f t="shared" si="285"/>
        <v>0</v>
      </c>
      <c r="O798" s="493">
        <f t="shared" si="285"/>
        <v>0</v>
      </c>
      <c r="P798" s="493">
        <f t="shared" si="285"/>
        <v>0</v>
      </c>
      <c r="Q798" s="493">
        <f t="shared" si="296"/>
        <v>0</v>
      </c>
      <c r="R798" s="493">
        <f t="shared" si="286"/>
        <v>0</v>
      </c>
      <c r="S798" s="493">
        <f t="shared" si="287"/>
        <v>0</v>
      </c>
      <c r="T798" s="794"/>
      <c r="V798" s="641">
        <f t="shared" si="288"/>
        <v>0</v>
      </c>
      <c r="W798" s="713"/>
      <c r="X798" s="1015"/>
      <c r="Y798" s="675">
        <f t="shared" si="289"/>
        <v>0</v>
      </c>
      <c r="Z798" s="767">
        <v>7.5000000000000002E-4</v>
      </c>
      <c r="AA798" s="675">
        <f t="shared" si="290"/>
        <v>0</v>
      </c>
      <c r="AB798" s="767">
        <v>7.5000000000000002E-4</v>
      </c>
      <c r="AC798" s="675">
        <f t="shared" si="291"/>
        <v>0</v>
      </c>
      <c r="AD798" s="767">
        <v>7.5000000000000002E-4</v>
      </c>
      <c r="AE798" s="675">
        <f t="shared" si="292"/>
        <v>0</v>
      </c>
      <c r="AF798" s="767">
        <v>7.5000000000000002E-4</v>
      </c>
      <c r="AL798" s="489"/>
      <c r="AM798" s="489"/>
      <c r="AN798" s="489"/>
      <c r="AO798" s="489"/>
      <c r="AP798" s="489"/>
      <c r="AQ798" s="489"/>
      <c r="AR798" s="489"/>
      <c r="AS798" s="489"/>
    </row>
    <row r="799" spans="1:45" s="484" customFormat="1" ht="14.5">
      <c r="A799" s="695" t="s">
        <v>1292</v>
      </c>
      <c r="B799" s="647"/>
      <c r="C799" s="644"/>
      <c r="D799" s="644"/>
      <c r="E799" s="493">
        <f t="shared" si="293"/>
        <v>0</v>
      </c>
      <c r="F799" s="763">
        <f t="shared" si="294"/>
        <v>1.4999999999999999E-2</v>
      </c>
      <c r="G799" s="493">
        <f t="shared" si="295"/>
        <v>0</v>
      </c>
      <c r="H799" s="493">
        <f t="shared" ref="H799:Q814" si="297">(G353+H353)/2*$F799/12</f>
        <v>0</v>
      </c>
      <c r="I799" s="493">
        <f t="shared" si="297"/>
        <v>0</v>
      </c>
      <c r="J799" s="493">
        <f t="shared" si="297"/>
        <v>0</v>
      </c>
      <c r="K799" s="493">
        <f t="shared" si="297"/>
        <v>0</v>
      </c>
      <c r="L799" s="493">
        <f t="shared" si="297"/>
        <v>0</v>
      </c>
      <c r="M799" s="493">
        <f t="shared" si="297"/>
        <v>0</v>
      </c>
      <c r="N799" s="493">
        <f t="shared" si="285"/>
        <v>0</v>
      </c>
      <c r="O799" s="493">
        <f t="shared" si="285"/>
        <v>0</v>
      </c>
      <c r="P799" s="493">
        <f t="shared" si="285"/>
        <v>0</v>
      </c>
      <c r="Q799" s="493">
        <f t="shared" si="297"/>
        <v>0</v>
      </c>
      <c r="R799" s="493">
        <f t="shared" si="286"/>
        <v>0</v>
      </c>
      <c r="S799" s="493">
        <f t="shared" si="287"/>
        <v>0</v>
      </c>
      <c r="T799" s="794"/>
      <c r="V799" s="641">
        <f t="shared" si="288"/>
        <v>0</v>
      </c>
      <c r="W799" s="488"/>
      <c r="X799" s="1016"/>
      <c r="Y799" s="675">
        <f t="shared" si="289"/>
        <v>0</v>
      </c>
      <c r="Z799" s="767">
        <f>0.3%/1.1</f>
        <v>2.7272727272727271E-3</v>
      </c>
      <c r="AA799" s="675">
        <f t="shared" si="290"/>
        <v>0</v>
      </c>
      <c r="AB799" s="767">
        <f>0.3%/1.1</f>
        <v>2.7272727272727271E-3</v>
      </c>
      <c r="AC799" s="675">
        <f t="shared" si="291"/>
        <v>0</v>
      </c>
      <c r="AD799" s="767">
        <f>0.3%/1.1</f>
        <v>2.7272727272727271E-3</v>
      </c>
      <c r="AE799" s="675">
        <f t="shared" si="292"/>
        <v>0</v>
      </c>
      <c r="AF799" s="767">
        <f>0.3%/1.1</f>
        <v>2.7272727272727271E-3</v>
      </c>
      <c r="AL799" s="489"/>
      <c r="AM799" s="489"/>
      <c r="AN799" s="489"/>
      <c r="AO799" s="489"/>
      <c r="AP799" s="489"/>
      <c r="AQ799" s="489"/>
      <c r="AR799" s="489"/>
      <c r="AS799" s="489"/>
    </row>
    <row r="800" spans="1:45" s="484" customFormat="1" ht="14.5">
      <c r="A800" s="695" t="s">
        <v>1293</v>
      </c>
      <c r="B800" s="647"/>
      <c r="C800" s="644"/>
      <c r="D800" s="644"/>
      <c r="E800" s="493">
        <f t="shared" si="293"/>
        <v>0</v>
      </c>
      <c r="F800" s="763">
        <f t="shared" si="294"/>
        <v>1.4999999999999999E-2</v>
      </c>
      <c r="G800" s="493">
        <f t="shared" si="295"/>
        <v>0</v>
      </c>
      <c r="H800" s="493">
        <f t="shared" si="297"/>
        <v>0</v>
      </c>
      <c r="I800" s="493">
        <f t="shared" si="297"/>
        <v>0</v>
      </c>
      <c r="J800" s="493">
        <f t="shared" si="297"/>
        <v>0</v>
      </c>
      <c r="K800" s="493">
        <f t="shared" si="297"/>
        <v>0</v>
      </c>
      <c r="L800" s="493">
        <f t="shared" si="297"/>
        <v>0</v>
      </c>
      <c r="M800" s="493">
        <f t="shared" si="297"/>
        <v>0</v>
      </c>
      <c r="N800" s="493">
        <f t="shared" si="285"/>
        <v>0</v>
      </c>
      <c r="O800" s="493">
        <f t="shared" si="285"/>
        <v>0</v>
      </c>
      <c r="P800" s="493">
        <f t="shared" si="285"/>
        <v>0</v>
      </c>
      <c r="Q800" s="493">
        <f t="shared" si="297"/>
        <v>0</v>
      </c>
      <c r="R800" s="493">
        <f t="shared" si="286"/>
        <v>0</v>
      </c>
      <c r="S800" s="493">
        <f t="shared" si="287"/>
        <v>0</v>
      </c>
      <c r="T800" s="794"/>
      <c r="V800" s="641">
        <f t="shared" si="288"/>
        <v>0</v>
      </c>
      <c r="W800" s="488"/>
      <c r="X800" s="1016"/>
      <c r="Y800" s="675">
        <f t="shared" si="289"/>
        <v>0</v>
      </c>
      <c r="Z800" s="767">
        <f>0.3%/1.1</f>
        <v>2.7272727272727271E-3</v>
      </c>
      <c r="AA800" s="675">
        <f t="shared" si="290"/>
        <v>0</v>
      </c>
      <c r="AB800" s="767">
        <f>0.3%/1.1</f>
        <v>2.7272727272727271E-3</v>
      </c>
      <c r="AC800" s="675">
        <f t="shared" si="291"/>
        <v>0</v>
      </c>
      <c r="AD800" s="767">
        <f>0.3%/1.1</f>
        <v>2.7272727272727271E-3</v>
      </c>
      <c r="AE800" s="675">
        <f t="shared" si="292"/>
        <v>0</v>
      </c>
      <c r="AF800" s="767">
        <f>0.3%/1.1</f>
        <v>2.7272727272727271E-3</v>
      </c>
      <c r="AL800" s="489"/>
      <c r="AM800" s="489"/>
      <c r="AN800" s="489"/>
      <c r="AO800" s="489"/>
      <c r="AP800" s="489"/>
      <c r="AQ800" s="489"/>
      <c r="AR800" s="489"/>
      <c r="AS800" s="489"/>
    </row>
    <row r="801" spans="1:45" s="484" customFormat="1" ht="14.5">
      <c r="A801" s="695" t="s">
        <v>1294</v>
      </c>
      <c r="B801" s="647"/>
      <c r="C801" s="644"/>
      <c r="D801" s="644"/>
      <c r="E801" s="493">
        <f t="shared" si="293"/>
        <v>12776623.375148749</v>
      </c>
      <c r="F801" s="763">
        <f t="shared" si="294"/>
        <v>6.4999999999999997E-3</v>
      </c>
      <c r="G801" s="493">
        <f t="shared" si="295"/>
        <v>29317676.332283244</v>
      </c>
      <c r="H801" s="493">
        <f t="shared" si="297"/>
        <v>35673980.914268993</v>
      </c>
      <c r="I801" s="493">
        <f t="shared" si="297"/>
        <v>40857730.914268993</v>
      </c>
      <c r="J801" s="493">
        <f t="shared" si="297"/>
        <v>46041480.914268993</v>
      </c>
      <c r="K801" s="493">
        <f t="shared" si="297"/>
        <v>51225230.914268993</v>
      </c>
      <c r="L801" s="493">
        <f t="shared" si="297"/>
        <v>56408980.914268993</v>
      </c>
      <c r="M801" s="493">
        <f t="shared" si="297"/>
        <v>61592730.914268993</v>
      </c>
      <c r="N801" s="493">
        <f t="shared" si="285"/>
        <v>66258105.914268993</v>
      </c>
      <c r="O801" s="493">
        <f t="shared" si="285"/>
        <v>70664293.414268985</v>
      </c>
      <c r="P801" s="493">
        <f t="shared" si="285"/>
        <v>75070480.914268985</v>
      </c>
      <c r="Q801" s="493">
        <f t="shared" si="297"/>
        <v>78439918.414268985</v>
      </c>
      <c r="R801" s="493">
        <f t="shared" si="286"/>
        <v>81031793.414268985</v>
      </c>
      <c r="S801" s="493">
        <f t="shared" si="287"/>
        <v>83623668.414268985</v>
      </c>
      <c r="T801" s="794"/>
      <c r="V801" s="641">
        <f t="shared" si="288"/>
        <v>746888395.97122777</v>
      </c>
      <c r="W801" s="488"/>
      <c r="X801" s="1016"/>
      <c r="Y801" s="675">
        <f t="shared" si="289"/>
        <v>0</v>
      </c>
      <c r="Z801" s="767">
        <f>0.3%/1.1</f>
        <v>2.7272727272727271E-3</v>
      </c>
      <c r="AA801" s="675">
        <f t="shared" si="290"/>
        <v>0</v>
      </c>
      <c r="AB801" s="767">
        <f>0.3%/1.1</f>
        <v>2.7272727272727271E-3</v>
      </c>
      <c r="AC801" s="675">
        <f t="shared" si="291"/>
        <v>0</v>
      </c>
      <c r="AD801" s="767">
        <f>0.3%/1.1</f>
        <v>2.7272727272727271E-3</v>
      </c>
      <c r="AE801" s="675">
        <f t="shared" si="292"/>
        <v>0</v>
      </c>
      <c r="AF801" s="767">
        <f>0.3%/1.1</f>
        <v>2.7272727272727271E-3</v>
      </c>
      <c r="AL801" s="489"/>
      <c r="AM801" s="489"/>
      <c r="AN801" s="489"/>
      <c r="AO801" s="489"/>
      <c r="AP801" s="489"/>
      <c r="AQ801" s="489"/>
      <c r="AR801" s="489"/>
      <c r="AS801" s="489"/>
    </row>
    <row r="802" spans="1:45" s="484" customFormat="1" ht="14.5">
      <c r="A802" s="695" t="s">
        <v>1295</v>
      </c>
      <c r="B802" s="647"/>
      <c r="C802" s="644"/>
      <c r="D802" s="644"/>
      <c r="E802" s="493">
        <f t="shared" si="293"/>
        <v>10247964.218997916</v>
      </c>
      <c r="F802" s="763">
        <f t="shared" si="294"/>
        <v>6.4999999999999997E-3</v>
      </c>
      <c r="G802" s="493">
        <f t="shared" si="295"/>
        <v>24832931.398968875</v>
      </c>
      <c r="H802" s="493">
        <f t="shared" si="297"/>
        <v>29688309.359941918</v>
      </c>
      <c r="I802" s="493">
        <f t="shared" si="297"/>
        <v>30725059.359941918</v>
      </c>
      <c r="J802" s="493">
        <f t="shared" si="297"/>
        <v>31761809.359941918</v>
      </c>
      <c r="K802" s="493">
        <f t="shared" si="297"/>
        <v>32798559.359941918</v>
      </c>
      <c r="L802" s="493">
        <f t="shared" si="297"/>
        <v>33835309.359941922</v>
      </c>
      <c r="M802" s="493">
        <f t="shared" si="297"/>
        <v>34872059.359941922</v>
      </c>
      <c r="N802" s="493">
        <f t="shared" si="297"/>
        <v>35805134.359941922</v>
      </c>
      <c r="O802" s="493">
        <f t="shared" si="297"/>
        <v>36686371.859941922</v>
      </c>
      <c r="P802" s="493">
        <f t="shared" si="297"/>
        <v>37567609.359941922</v>
      </c>
      <c r="Q802" s="493">
        <f t="shared" si="297"/>
        <v>38241496.859941922</v>
      </c>
      <c r="R802" s="493">
        <f t="shared" si="286"/>
        <v>38759871.859941922</v>
      </c>
      <c r="S802" s="493">
        <f t="shared" si="287"/>
        <v>39278246.859941922</v>
      </c>
      <c r="T802" s="794"/>
      <c r="V802" s="641">
        <f t="shared" si="288"/>
        <v>420019837.31930298</v>
      </c>
      <c r="W802" s="488"/>
      <c r="X802" s="1016"/>
      <c r="Y802" s="675"/>
      <c r="Z802" s="767"/>
      <c r="AA802" s="675"/>
      <c r="AB802" s="767"/>
      <c r="AC802" s="675"/>
      <c r="AD802" s="767"/>
      <c r="AE802" s="675"/>
      <c r="AF802" s="767"/>
      <c r="AL802" s="489"/>
      <c r="AM802" s="489"/>
      <c r="AN802" s="489"/>
      <c r="AO802" s="489"/>
      <c r="AP802" s="489"/>
      <c r="AQ802" s="489"/>
      <c r="AR802" s="489"/>
      <c r="AS802" s="489"/>
    </row>
    <row r="803" spans="1:45" s="484" customFormat="1" ht="14.5">
      <c r="A803" s="695" t="s">
        <v>1296</v>
      </c>
      <c r="B803" s="647"/>
      <c r="C803" s="644"/>
      <c r="D803" s="644"/>
      <c r="E803" s="493">
        <f t="shared" si="293"/>
        <v>2396798.8322899998</v>
      </c>
      <c r="F803" s="763">
        <f t="shared" si="294"/>
        <v>3.0000000000000001E-3</v>
      </c>
      <c r="G803" s="493">
        <f t="shared" si="295"/>
        <v>4783105.0946890377</v>
      </c>
      <c r="H803" s="493">
        <f t="shared" si="297"/>
        <v>4772612.5247980747</v>
      </c>
      <c r="I803" s="493">
        <f t="shared" si="297"/>
        <v>4772612.5247980747</v>
      </c>
      <c r="J803" s="493">
        <f t="shared" si="297"/>
        <v>4772612.5247980747</v>
      </c>
      <c r="K803" s="493">
        <f t="shared" si="297"/>
        <v>4772612.5247980747</v>
      </c>
      <c r="L803" s="493">
        <f t="shared" si="297"/>
        <v>4772612.5247980747</v>
      </c>
      <c r="M803" s="493">
        <f t="shared" si="297"/>
        <v>4772612.5247980747</v>
      </c>
      <c r="N803" s="493">
        <f t="shared" si="297"/>
        <v>4772612.5247980747</v>
      </c>
      <c r="O803" s="493">
        <f t="shared" si="297"/>
        <v>4772612.5247980747</v>
      </c>
      <c r="P803" s="493">
        <f t="shared" si="297"/>
        <v>4772612.5247980747</v>
      </c>
      <c r="Q803" s="493">
        <f t="shared" si="297"/>
        <v>4772612.5247980747</v>
      </c>
      <c r="R803" s="493">
        <f t="shared" si="286"/>
        <v>4772612.5247980747</v>
      </c>
      <c r="S803" s="493">
        <f t="shared" si="287"/>
        <v>4772612.5247980747</v>
      </c>
      <c r="T803" s="794"/>
      <c r="V803" s="641">
        <f t="shared" si="288"/>
        <v>57271350.297576882</v>
      </c>
      <c r="W803" s="488"/>
      <c r="X803" s="1016"/>
      <c r="Y803" s="675"/>
      <c r="Z803" s="767"/>
      <c r="AA803" s="675"/>
      <c r="AB803" s="767"/>
      <c r="AC803" s="675"/>
      <c r="AD803" s="767"/>
      <c r="AE803" s="675"/>
      <c r="AF803" s="767"/>
      <c r="AL803" s="489"/>
      <c r="AM803" s="489"/>
      <c r="AN803" s="489"/>
      <c r="AO803" s="489"/>
      <c r="AP803" s="489"/>
      <c r="AQ803" s="489"/>
      <c r="AR803" s="489"/>
      <c r="AS803" s="489"/>
    </row>
    <row r="804" spans="1:45" s="484" customFormat="1" ht="14.5">
      <c r="A804" s="695" t="s">
        <v>1297</v>
      </c>
      <c r="B804" s="647"/>
      <c r="C804" s="644"/>
      <c r="D804" s="644"/>
      <c r="E804" s="493">
        <f t="shared" si="293"/>
        <v>2877927.2871966665</v>
      </c>
      <c r="F804" s="763">
        <f t="shared" si="294"/>
        <v>6.8000000000000005E-4</v>
      </c>
      <c r="G804" s="493">
        <f t="shared" si="295"/>
        <v>5780123.9513254799</v>
      </c>
      <c r="H804" s="493">
        <f t="shared" si="297"/>
        <v>5804393.3282576278</v>
      </c>
      <c r="I804" s="493">
        <f t="shared" si="297"/>
        <v>5804393.3282576278</v>
      </c>
      <c r="J804" s="493">
        <f t="shared" si="297"/>
        <v>5804393.3282576278</v>
      </c>
      <c r="K804" s="493">
        <f t="shared" si="297"/>
        <v>5804393.3282576278</v>
      </c>
      <c r="L804" s="493">
        <f t="shared" si="297"/>
        <v>5804393.3282576278</v>
      </c>
      <c r="M804" s="493">
        <f t="shared" si="297"/>
        <v>5804393.3282576278</v>
      </c>
      <c r="N804" s="493">
        <f t="shared" si="297"/>
        <v>5804393.3282576278</v>
      </c>
      <c r="O804" s="493">
        <f t="shared" si="297"/>
        <v>5804393.3282576278</v>
      </c>
      <c r="P804" s="493">
        <f t="shared" si="297"/>
        <v>5804393.3282576278</v>
      </c>
      <c r="Q804" s="493">
        <f t="shared" si="297"/>
        <v>5804393.3282576278</v>
      </c>
      <c r="R804" s="493">
        <f t="shared" si="286"/>
        <v>5804393.3282576278</v>
      </c>
      <c r="S804" s="493">
        <f t="shared" si="287"/>
        <v>5804393.3282576278</v>
      </c>
      <c r="T804" s="794"/>
      <c r="V804" s="641">
        <f t="shared" si="288"/>
        <v>69652719.939091533</v>
      </c>
      <c r="W804" s="488"/>
      <c r="X804" s="1016"/>
      <c r="Y804" s="675"/>
      <c r="Z804" s="767"/>
      <c r="AA804" s="675"/>
      <c r="AB804" s="767"/>
      <c r="AC804" s="675"/>
      <c r="AD804" s="767"/>
      <c r="AE804" s="675"/>
      <c r="AF804" s="767"/>
      <c r="AL804" s="489"/>
      <c r="AM804" s="489"/>
      <c r="AN804" s="489"/>
      <c r="AO804" s="489"/>
      <c r="AP804" s="489"/>
      <c r="AQ804" s="489"/>
      <c r="AR804" s="489"/>
      <c r="AS804" s="489"/>
    </row>
    <row r="805" spans="1:45" s="484" customFormat="1" ht="14.5">
      <c r="A805" s="695" t="s">
        <v>1298</v>
      </c>
      <c r="B805" s="647"/>
      <c r="C805" s="644"/>
      <c r="D805" s="644"/>
      <c r="E805" s="493">
        <f t="shared" si="293"/>
        <v>0</v>
      </c>
      <c r="F805" s="763">
        <f t="shared" si="294"/>
        <v>6.8000000000000005E-4</v>
      </c>
      <c r="G805" s="493">
        <f t="shared" si="295"/>
        <v>0</v>
      </c>
      <c r="H805" s="493">
        <f t="shared" si="297"/>
        <v>0</v>
      </c>
      <c r="I805" s="493">
        <f t="shared" si="297"/>
        <v>0</v>
      </c>
      <c r="J805" s="493">
        <f t="shared" si="297"/>
        <v>0</v>
      </c>
      <c r="K805" s="493">
        <f t="shared" si="297"/>
        <v>0</v>
      </c>
      <c r="L805" s="493">
        <f t="shared" si="297"/>
        <v>0</v>
      </c>
      <c r="M805" s="493">
        <f t="shared" si="297"/>
        <v>0</v>
      </c>
      <c r="N805" s="493">
        <f t="shared" si="297"/>
        <v>0</v>
      </c>
      <c r="O805" s="493">
        <f t="shared" si="297"/>
        <v>0</v>
      </c>
      <c r="P805" s="493">
        <f t="shared" si="297"/>
        <v>0</v>
      </c>
      <c r="Q805" s="493">
        <f t="shared" si="297"/>
        <v>0</v>
      </c>
      <c r="R805" s="493">
        <f t="shared" si="286"/>
        <v>0</v>
      </c>
      <c r="S805" s="493">
        <f t="shared" si="287"/>
        <v>0</v>
      </c>
      <c r="T805" s="794"/>
      <c r="V805" s="641">
        <f t="shared" si="288"/>
        <v>0</v>
      </c>
      <c r="W805" s="488"/>
      <c r="X805" s="1016"/>
      <c r="Y805" s="675"/>
      <c r="Z805" s="767"/>
      <c r="AA805" s="675"/>
      <c r="AB805" s="767"/>
      <c r="AC805" s="675"/>
      <c r="AD805" s="767"/>
      <c r="AE805" s="675"/>
      <c r="AF805" s="767"/>
      <c r="AL805" s="489"/>
      <c r="AM805" s="489"/>
      <c r="AN805" s="489"/>
      <c r="AO805" s="489"/>
      <c r="AP805" s="489"/>
      <c r="AQ805" s="489"/>
      <c r="AR805" s="489"/>
      <c r="AS805" s="489"/>
    </row>
    <row r="806" spans="1:45" s="484" customFormat="1" ht="14.5">
      <c r="A806" s="695" t="s">
        <v>1299</v>
      </c>
      <c r="B806" s="647"/>
      <c r="C806" s="644"/>
      <c r="D806" s="644"/>
      <c r="E806" s="493">
        <f t="shared" si="293"/>
        <v>7221729.2153265001</v>
      </c>
      <c r="F806" s="763">
        <f t="shared" si="294"/>
        <v>2.7000000000000001E-3</v>
      </c>
      <c r="G806" s="493">
        <f t="shared" si="295"/>
        <v>14496250.045055481</v>
      </c>
      <c r="H806" s="493">
        <f t="shared" si="297"/>
        <v>14549041.659457957</v>
      </c>
      <c r="I806" s="493">
        <f t="shared" si="297"/>
        <v>14549041.659457957</v>
      </c>
      <c r="J806" s="493">
        <f t="shared" si="297"/>
        <v>14549041.659457957</v>
      </c>
      <c r="K806" s="493">
        <f t="shared" si="297"/>
        <v>14549041.659457957</v>
      </c>
      <c r="L806" s="493">
        <f t="shared" si="297"/>
        <v>14549041.659457957</v>
      </c>
      <c r="M806" s="493">
        <f t="shared" si="297"/>
        <v>14549041.659457957</v>
      </c>
      <c r="N806" s="493">
        <f t="shared" si="297"/>
        <v>14549041.659457957</v>
      </c>
      <c r="O806" s="493">
        <f t="shared" si="297"/>
        <v>14549041.659457957</v>
      </c>
      <c r="P806" s="493">
        <f t="shared" si="297"/>
        <v>14549041.659457957</v>
      </c>
      <c r="Q806" s="493">
        <f t="shared" si="297"/>
        <v>14549041.659457957</v>
      </c>
      <c r="R806" s="493">
        <f t="shared" si="286"/>
        <v>14549041.659457957</v>
      </c>
      <c r="S806" s="493">
        <f t="shared" si="287"/>
        <v>14549041.659457957</v>
      </c>
      <c r="T806" s="794"/>
      <c r="V806" s="641">
        <f t="shared" si="288"/>
        <v>174588499.91349545</v>
      </c>
      <c r="W806" s="488"/>
      <c r="X806" s="1016"/>
      <c r="Y806" s="675"/>
      <c r="Z806" s="767"/>
      <c r="AA806" s="675"/>
      <c r="AB806" s="767"/>
      <c r="AC806" s="675"/>
      <c r="AD806" s="767"/>
      <c r="AE806" s="675"/>
      <c r="AF806" s="767"/>
      <c r="AL806" s="489"/>
      <c r="AM806" s="489"/>
      <c r="AN806" s="489"/>
      <c r="AO806" s="489"/>
      <c r="AP806" s="489"/>
      <c r="AQ806" s="489"/>
      <c r="AR806" s="489"/>
      <c r="AS806" s="489"/>
    </row>
    <row r="807" spans="1:45" s="484" customFormat="1" ht="14.5">
      <c r="A807" s="695" t="s">
        <v>1300</v>
      </c>
      <c r="B807" s="647"/>
      <c r="C807" s="644"/>
      <c r="D807" s="644"/>
      <c r="E807" s="493">
        <f t="shared" si="293"/>
        <v>0</v>
      </c>
      <c r="F807" s="763">
        <f t="shared" si="294"/>
        <v>8.1999999999999998E-4</v>
      </c>
      <c r="G807" s="493">
        <f t="shared" si="295"/>
        <v>0</v>
      </c>
      <c r="H807" s="493">
        <f t="shared" si="297"/>
        <v>0</v>
      </c>
      <c r="I807" s="493">
        <f t="shared" si="297"/>
        <v>0</v>
      </c>
      <c r="J807" s="493">
        <f t="shared" si="297"/>
        <v>0</v>
      </c>
      <c r="K807" s="493">
        <f t="shared" si="297"/>
        <v>0</v>
      </c>
      <c r="L807" s="493">
        <f t="shared" si="297"/>
        <v>0</v>
      </c>
      <c r="M807" s="493">
        <f t="shared" si="297"/>
        <v>0</v>
      </c>
      <c r="N807" s="493">
        <f t="shared" si="297"/>
        <v>0</v>
      </c>
      <c r="O807" s="493">
        <f t="shared" si="297"/>
        <v>0</v>
      </c>
      <c r="P807" s="493">
        <f t="shared" si="297"/>
        <v>0</v>
      </c>
      <c r="Q807" s="493">
        <f t="shared" si="297"/>
        <v>0</v>
      </c>
      <c r="R807" s="493">
        <f t="shared" si="286"/>
        <v>0</v>
      </c>
      <c r="S807" s="493">
        <f t="shared" si="287"/>
        <v>0</v>
      </c>
      <c r="T807" s="794"/>
      <c r="V807" s="641">
        <f t="shared" si="288"/>
        <v>0</v>
      </c>
      <c r="W807" s="488"/>
      <c r="X807" s="1016"/>
      <c r="Y807" s="675"/>
      <c r="Z807" s="767"/>
      <c r="AA807" s="675"/>
      <c r="AB807" s="767"/>
      <c r="AC807" s="675"/>
      <c r="AD807" s="767"/>
      <c r="AE807" s="675"/>
      <c r="AF807" s="767"/>
      <c r="AL807" s="489"/>
      <c r="AM807" s="489"/>
      <c r="AN807" s="489"/>
      <c r="AO807" s="489"/>
      <c r="AP807" s="489"/>
      <c r="AQ807" s="489"/>
      <c r="AR807" s="489"/>
      <c r="AS807" s="489"/>
    </row>
    <row r="808" spans="1:45" s="484" customFormat="1" ht="14.5">
      <c r="A808" s="695" t="s">
        <v>1301</v>
      </c>
      <c r="B808" s="647"/>
      <c r="C808" s="644"/>
      <c r="D808" s="644"/>
      <c r="E808" s="493">
        <f t="shared" si="293"/>
        <v>0</v>
      </c>
      <c r="F808" s="763">
        <f t="shared" si="294"/>
        <v>6.9300000000000004E-3</v>
      </c>
      <c r="G808" s="493">
        <f t="shared" si="295"/>
        <v>0</v>
      </c>
      <c r="H808" s="493">
        <f t="shared" si="297"/>
        <v>0</v>
      </c>
      <c r="I808" s="493">
        <f t="shared" si="297"/>
        <v>0</v>
      </c>
      <c r="J808" s="493">
        <f t="shared" si="297"/>
        <v>0</v>
      </c>
      <c r="K808" s="493">
        <f t="shared" si="297"/>
        <v>0</v>
      </c>
      <c r="L808" s="493">
        <f t="shared" si="297"/>
        <v>0</v>
      </c>
      <c r="M808" s="493">
        <f t="shared" si="297"/>
        <v>0</v>
      </c>
      <c r="N808" s="493">
        <f t="shared" si="297"/>
        <v>0</v>
      </c>
      <c r="O808" s="493">
        <f t="shared" si="297"/>
        <v>0</v>
      </c>
      <c r="P808" s="493">
        <f t="shared" si="297"/>
        <v>0</v>
      </c>
      <c r="Q808" s="493">
        <f t="shared" si="297"/>
        <v>0</v>
      </c>
      <c r="R808" s="493">
        <f t="shared" si="286"/>
        <v>0</v>
      </c>
      <c r="S808" s="493">
        <f t="shared" si="287"/>
        <v>0</v>
      </c>
      <c r="T808" s="794"/>
      <c r="V808" s="641">
        <f t="shared" si="288"/>
        <v>0</v>
      </c>
      <c r="W808" s="488"/>
      <c r="X808" s="1016"/>
      <c r="Y808" s="675"/>
      <c r="Z808" s="767"/>
      <c r="AA808" s="675"/>
      <c r="AB808" s="767"/>
      <c r="AC808" s="675"/>
      <c r="AD808" s="767"/>
      <c r="AE808" s="675"/>
      <c r="AF808" s="767"/>
      <c r="AL808" s="489"/>
      <c r="AM808" s="489"/>
      <c r="AN808" s="489"/>
      <c r="AO808" s="489"/>
      <c r="AP808" s="489"/>
      <c r="AQ808" s="489"/>
      <c r="AR808" s="489"/>
      <c r="AS808" s="489"/>
    </row>
    <row r="809" spans="1:45" s="484" customFormat="1" ht="14.5">
      <c r="A809" s="695" t="s">
        <v>1302</v>
      </c>
      <c r="B809" s="647"/>
      <c r="C809" s="644"/>
      <c r="D809" s="644"/>
      <c r="E809" s="493">
        <f t="shared" si="293"/>
        <v>0</v>
      </c>
      <c r="F809" s="763">
        <f t="shared" si="294"/>
        <v>1.5E-3</v>
      </c>
      <c r="G809" s="493">
        <f t="shared" si="295"/>
        <v>0</v>
      </c>
      <c r="H809" s="493">
        <f t="shared" si="297"/>
        <v>0</v>
      </c>
      <c r="I809" s="493">
        <f t="shared" si="297"/>
        <v>0</v>
      </c>
      <c r="J809" s="493">
        <f t="shared" si="297"/>
        <v>0</v>
      </c>
      <c r="K809" s="493">
        <f t="shared" si="297"/>
        <v>0</v>
      </c>
      <c r="L809" s="493">
        <f t="shared" si="297"/>
        <v>0</v>
      </c>
      <c r="M809" s="493">
        <f t="shared" si="297"/>
        <v>0</v>
      </c>
      <c r="N809" s="493">
        <f t="shared" si="297"/>
        <v>0</v>
      </c>
      <c r="O809" s="493">
        <f t="shared" si="297"/>
        <v>0</v>
      </c>
      <c r="P809" s="493">
        <f t="shared" si="297"/>
        <v>0</v>
      </c>
      <c r="Q809" s="493">
        <f t="shared" si="297"/>
        <v>0</v>
      </c>
      <c r="R809" s="493">
        <f t="shared" si="286"/>
        <v>0</v>
      </c>
      <c r="S809" s="493">
        <f t="shared" si="287"/>
        <v>0</v>
      </c>
      <c r="T809" s="794"/>
      <c r="V809" s="641">
        <f t="shared" si="288"/>
        <v>0</v>
      </c>
      <c r="W809" s="488"/>
      <c r="X809" s="1016"/>
      <c r="Y809" s="675"/>
      <c r="Z809" s="767"/>
      <c r="AA809" s="675"/>
      <c r="AB809" s="767"/>
      <c r="AC809" s="675"/>
      <c r="AD809" s="767"/>
      <c r="AE809" s="675"/>
      <c r="AF809" s="767"/>
      <c r="AL809" s="489"/>
      <c r="AM809" s="489"/>
      <c r="AN809" s="489"/>
      <c r="AO809" s="489"/>
      <c r="AP809" s="489"/>
      <c r="AQ809" s="489"/>
      <c r="AR809" s="489"/>
      <c r="AS809" s="489"/>
    </row>
    <row r="810" spans="1:45" s="484" customFormat="1" ht="14.5">
      <c r="A810" s="695" t="s">
        <v>1303</v>
      </c>
      <c r="B810" s="647"/>
      <c r="C810" s="644"/>
      <c r="D810" s="644"/>
      <c r="E810" s="493">
        <f t="shared" si="293"/>
        <v>0</v>
      </c>
      <c r="F810" s="763">
        <f t="shared" si="294"/>
        <v>1.5E-3</v>
      </c>
      <c r="G810" s="493">
        <f t="shared" si="295"/>
        <v>0</v>
      </c>
      <c r="H810" s="493">
        <f t="shared" si="297"/>
        <v>0</v>
      </c>
      <c r="I810" s="493">
        <f t="shared" si="297"/>
        <v>0</v>
      </c>
      <c r="J810" s="493">
        <f t="shared" si="297"/>
        <v>0</v>
      </c>
      <c r="K810" s="493">
        <f t="shared" si="297"/>
        <v>0</v>
      </c>
      <c r="L810" s="493">
        <f t="shared" si="297"/>
        <v>0</v>
      </c>
      <c r="M810" s="493">
        <f t="shared" si="297"/>
        <v>0</v>
      </c>
      <c r="N810" s="493">
        <f t="shared" si="297"/>
        <v>0</v>
      </c>
      <c r="O810" s="493">
        <f t="shared" si="297"/>
        <v>0</v>
      </c>
      <c r="P810" s="493">
        <f t="shared" si="297"/>
        <v>0</v>
      </c>
      <c r="Q810" s="493">
        <f t="shared" si="297"/>
        <v>0</v>
      </c>
      <c r="R810" s="493">
        <f t="shared" si="286"/>
        <v>0</v>
      </c>
      <c r="S810" s="493">
        <f t="shared" si="287"/>
        <v>0</v>
      </c>
      <c r="T810" s="794"/>
      <c r="V810" s="641">
        <f t="shared" si="288"/>
        <v>0</v>
      </c>
      <c r="W810" s="488"/>
      <c r="X810" s="1016"/>
      <c r="Y810" s="675"/>
      <c r="Z810" s="767"/>
      <c r="AA810" s="675"/>
      <c r="AB810" s="767"/>
      <c r="AC810" s="675"/>
      <c r="AD810" s="767"/>
      <c r="AE810" s="675"/>
      <c r="AF810" s="767"/>
      <c r="AL810" s="489"/>
      <c r="AM810" s="489"/>
      <c r="AN810" s="489"/>
      <c r="AO810" s="489"/>
      <c r="AP810" s="489"/>
      <c r="AQ810" s="489"/>
      <c r="AR810" s="489"/>
      <c r="AS810" s="489"/>
    </row>
    <row r="811" spans="1:45" s="484" customFormat="1" ht="14.5">
      <c r="A811" s="695" t="s">
        <v>1304</v>
      </c>
      <c r="B811" s="647"/>
      <c r="C811" s="644"/>
      <c r="D811" s="644"/>
      <c r="E811" s="493">
        <f t="shared" si="293"/>
        <v>0</v>
      </c>
      <c r="F811" s="763">
        <f t="shared" si="294"/>
        <v>1.5E-3</v>
      </c>
      <c r="G811" s="493">
        <f t="shared" si="295"/>
        <v>0</v>
      </c>
      <c r="H811" s="493">
        <f t="shared" si="297"/>
        <v>0</v>
      </c>
      <c r="I811" s="493">
        <f t="shared" si="297"/>
        <v>0</v>
      </c>
      <c r="J811" s="493">
        <f t="shared" si="297"/>
        <v>0</v>
      </c>
      <c r="K811" s="493">
        <f t="shared" si="297"/>
        <v>0</v>
      </c>
      <c r="L811" s="493">
        <f t="shared" si="297"/>
        <v>0</v>
      </c>
      <c r="M811" s="493">
        <f t="shared" si="297"/>
        <v>0</v>
      </c>
      <c r="N811" s="493">
        <f t="shared" si="297"/>
        <v>0</v>
      </c>
      <c r="O811" s="493">
        <f t="shared" si="297"/>
        <v>0</v>
      </c>
      <c r="P811" s="493">
        <f t="shared" si="297"/>
        <v>0</v>
      </c>
      <c r="Q811" s="493">
        <f t="shared" si="297"/>
        <v>0</v>
      </c>
      <c r="R811" s="493">
        <f t="shared" si="286"/>
        <v>0</v>
      </c>
      <c r="S811" s="493">
        <f t="shared" si="287"/>
        <v>0</v>
      </c>
      <c r="T811" s="794"/>
      <c r="V811" s="641">
        <f t="shared" si="288"/>
        <v>0</v>
      </c>
      <c r="W811" s="488"/>
      <c r="X811" s="1016"/>
      <c r="Y811" s="675"/>
      <c r="Z811" s="767"/>
      <c r="AA811" s="675"/>
      <c r="AB811" s="767"/>
      <c r="AC811" s="675"/>
      <c r="AD811" s="767"/>
      <c r="AE811" s="675"/>
      <c r="AF811" s="767"/>
      <c r="AL811" s="489"/>
      <c r="AM811" s="489"/>
      <c r="AN811" s="489"/>
      <c r="AO811" s="489"/>
      <c r="AP811" s="489"/>
      <c r="AQ811" s="489"/>
      <c r="AR811" s="489"/>
      <c r="AS811" s="489"/>
    </row>
    <row r="812" spans="1:45" s="484" customFormat="1" ht="14.5">
      <c r="A812" s="695" t="s">
        <v>1305</v>
      </c>
      <c r="B812" s="647"/>
      <c r="C812" s="644"/>
      <c r="D812" s="644"/>
      <c r="E812" s="493">
        <f t="shared" si="293"/>
        <v>0</v>
      </c>
      <c r="F812" s="763">
        <f t="shared" si="294"/>
        <v>1.75E-3</v>
      </c>
      <c r="G812" s="493">
        <f t="shared" si="295"/>
        <v>2300777.390625</v>
      </c>
      <c r="H812" s="493">
        <f t="shared" si="297"/>
        <v>4601554.78125</v>
      </c>
      <c r="I812" s="493">
        <f t="shared" si="297"/>
        <v>4601554.78125</v>
      </c>
      <c r="J812" s="493">
        <f t="shared" si="297"/>
        <v>4601554.78125</v>
      </c>
      <c r="K812" s="493">
        <f t="shared" si="297"/>
        <v>4601554.78125</v>
      </c>
      <c r="L812" s="493">
        <f t="shared" si="297"/>
        <v>4601554.78125</v>
      </c>
      <c r="M812" s="493">
        <f t="shared" si="297"/>
        <v>4601554.78125</v>
      </c>
      <c r="N812" s="493">
        <f t="shared" si="297"/>
        <v>4601554.78125</v>
      </c>
      <c r="O812" s="493">
        <f t="shared" si="297"/>
        <v>4601554.78125</v>
      </c>
      <c r="P812" s="493">
        <f t="shared" si="297"/>
        <v>4601554.78125</v>
      </c>
      <c r="Q812" s="493">
        <f t="shared" si="297"/>
        <v>4601554.78125</v>
      </c>
      <c r="R812" s="493">
        <f t="shared" si="286"/>
        <v>4601554.78125</v>
      </c>
      <c r="S812" s="493">
        <f t="shared" si="287"/>
        <v>4601554.78125</v>
      </c>
      <c r="T812" s="794"/>
      <c r="V812" s="641">
        <f t="shared" si="288"/>
        <v>55218657.375</v>
      </c>
      <c r="W812" s="488"/>
      <c r="X812" s="1016"/>
      <c r="Y812" s="675"/>
      <c r="Z812" s="767"/>
      <c r="AA812" s="675"/>
      <c r="AB812" s="767"/>
      <c r="AC812" s="675"/>
      <c r="AD812" s="767"/>
      <c r="AE812" s="675"/>
      <c r="AF812" s="767"/>
      <c r="AL812" s="489"/>
      <c r="AM812" s="489"/>
      <c r="AN812" s="489"/>
      <c r="AO812" s="489"/>
      <c r="AP812" s="489"/>
      <c r="AQ812" s="489"/>
      <c r="AR812" s="489"/>
      <c r="AS812" s="489"/>
    </row>
    <row r="813" spans="1:45" s="484" customFormat="1" ht="14.5">
      <c r="A813" s="695" t="s">
        <v>1306</v>
      </c>
      <c r="B813" s="647"/>
      <c r="C813" s="644"/>
      <c r="D813" s="644"/>
      <c r="E813" s="493">
        <f t="shared" si="293"/>
        <v>3126436.92</v>
      </c>
      <c r="F813" s="763">
        <f t="shared" si="294"/>
        <v>6.8999999999999999E-3</v>
      </c>
      <c r="G813" s="493">
        <f t="shared" si="295"/>
        <v>9403185.1050000004</v>
      </c>
      <c r="H813" s="493">
        <f t="shared" si="297"/>
        <v>12553496.369999999</v>
      </c>
      <c r="I813" s="493">
        <f t="shared" si="297"/>
        <v>12553496.369999999</v>
      </c>
      <c r="J813" s="493">
        <f t="shared" si="297"/>
        <v>12553496.369999999</v>
      </c>
      <c r="K813" s="493">
        <f t="shared" si="297"/>
        <v>12553496.369999999</v>
      </c>
      <c r="L813" s="493">
        <f t="shared" si="297"/>
        <v>12553496.369999999</v>
      </c>
      <c r="M813" s="493">
        <f t="shared" si="297"/>
        <v>12553496.369999999</v>
      </c>
      <c r="N813" s="493">
        <f t="shared" si="297"/>
        <v>12553496.369999999</v>
      </c>
      <c r="O813" s="493">
        <f t="shared" si="297"/>
        <v>12553496.369999999</v>
      </c>
      <c r="P813" s="493">
        <f t="shared" si="297"/>
        <v>12553496.369999999</v>
      </c>
      <c r="Q813" s="493">
        <f t="shared" si="297"/>
        <v>12553496.369999999</v>
      </c>
      <c r="R813" s="493">
        <f t="shared" si="286"/>
        <v>12553496.369999999</v>
      </c>
      <c r="S813" s="493">
        <f t="shared" si="287"/>
        <v>12553496.369999999</v>
      </c>
      <c r="T813" s="794"/>
      <c r="V813" s="641">
        <f t="shared" si="288"/>
        <v>150641956.44000003</v>
      </c>
      <c r="W813" s="488"/>
      <c r="X813" s="1016"/>
      <c r="Y813" s="675"/>
      <c r="Z813" s="767"/>
      <c r="AA813" s="675"/>
      <c r="AB813" s="767"/>
      <c r="AC813" s="675"/>
      <c r="AD813" s="767"/>
      <c r="AE813" s="675"/>
      <c r="AF813" s="767"/>
      <c r="AL813" s="489"/>
      <c r="AM813" s="489"/>
      <c r="AN813" s="489"/>
      <c r="AO813" s="489"/>
      <c r="AP813" s="489"/>
      <c r="AQ813" s="489"/>
      <c r="AR813" s="489"/>
      <c r="AS813" s="489"/>
    </row>
    <row r="814" spans="1:45" s="484" customFormat="1" ht="14.5">
      <c r="A814" s="695" t="s">
        <v>1307</v>
      </c>
      <c r="B814" s="647"/>
      <c r="C814" s="644"/>
      <c r="D814" s="644"/>
      <c r="E814" s="493">
        <f t="shared" si="293"/>
        <v>0</v>
      </c>
      <c r="F814" s="763">
        <f t="shared" si="294"/>
        <v>1.4999999999999999E-2</v>
      </c>
      <c r="G814" s="493">
        <f t="shared" si="295"/>
        <v>0</v>
      </c>
      <c r="H814" s="493">
        <f t="shared" si="297"/>
        <v>0</v>
      </c>
      <c r="I814" s="493">
        <f t="shared" si="297"/>
        <v>0</v>
      </c>
      <c r="J814" s="493">
        <f t="shared" si="297"/>
        <v>0</v>
      </c>
      <c r="K814" s="493">
        <f t="shared" si="297"/>
        <v>0</v>
      </c>
      <c r="L814" s="493">
        <f t="shared" si="297"/>
        <v>0</v>
      </c>
      <c r="M814" s="493">
        <f t="shared" si="297"/>
        <v>0</v>
      </c>
      <c r="N814" s="493">
        <f t="shared" si="297"/>
        <v>0</v>
      </c>
      <c r="O814" s="493">
        <f t="shared" si="297"/>
        <v>0</v>
      </c>
      <c r="P814" s="493">
        <f t="shared" si="297"/>
        <v>0</v>
      </c>
      <c r="Q814" s="493">
        <f t="shared" si="297"/>
        <v>0</v>
      </c>
      <c r="R814" s="493">
        <f t="shared" si="286"/>
        <v>0</v>
      </c>
      <c r="S814" s="493">
        <f t="shared" si="287"/>
        <v>0</v>
      </c>
      <c r="T814" s="794"/>
      <c r="V814" s="641">
        <f t="shared" si="288"/>
        <v>0</v>
      </c>
      <c r="W814" s="488"/>
      <c r="X814" s="1016"/>
      <c r="Y814" s="675"/>
      <c r="Z814" s="767"/>
      <c r="AA814" s="675"/>
      <c r="AB814" s="767"/>
      <c r="AC814" s="675"/>
      <c r="AD814" s="767"/>
      <c r="AE814" s="675"/>
      <c r="AF814" s="767"/>
      <c r="AL814" s="489"/>
      <c r="AM814" s="489"/>
      <c r="AN814" s="489"/>
      <c r="AO814" s="489"/>
      <c r="AP814" s="489"/>
      <c r="AQ814" s="489"/>
      <c r="AR814" s="489"/>
      <c r="AS814" s="489"/>
    </row>
    <row r="815" spans="1:45" s="484" customFormat="1" ht="14.5">
      <c r="A815" s="695" t="s">
        <v>1308</v>
      </c>
      <c r="B815" s="647"/>
      <c r="C815" s="644"/>
      <c r="D815" s="644"/>
      <c r="E815" s="493">
        <f t="shared" si="293"/>
        <v>0</v>
      </c>
      <c r="F815" s="763">
        <f t="shared" si="294"/>
        <v>1.5E-3</v>
      </c>
      <c r="G815" s="493">
        <f t="shared" si="295"/>
        <v>0</v>
      </c>
      <c r="H815" s="493">
        <f t="shared" ref="H815:Q816" si="298">(G369+H369)/2*$F815/12</f>
        <v>4984375</v>
      </c>
      <c r="I815" s="493">
        <f t="shared" si="298"/>
        <v>9968750</v>
      </c>
      <c r="J815" s="493">
        <f t="shared" si="298"/>
        <v>9968750</v>
      </c>
      <c r="K815" s="493">
        <f t="shared" si="298"/>
        <v>9968750</v>
      </c>
      <c r="L815" s="493">
        <f t="shared" si="298"/>
        <v>9968750</v>
      </c>
      <c r="M815" s="493">
        <f t="shared" si="298"/>
        <v>9968750</v>
      </c>
      <c r="N815" s="493">
        <f t="shared" si="298"/>
        <v>14953125</v>
      </c>
      <c r="O815" s="493">
        <f t="shared" si="298"/>
        <v>19937500</v>
      </c>
      <c r="P815" s="493">
        <f t="shared" si="298"/>
        <v>19937500</v>
      </c>
      <c r="Q815" s="493">
        <f t="shared" si="298"/>
        <v>19937500</v>
      </c>
      <c r="R815" s="493">
        <f t="shared" si="286"/>
        <v>19937500</v>
      </c>
      <c r="S815" s="493">
        <f t="shared" si="287"/>
        <v>19937500</v>
      </c>
      <c r="T815" s="794"/>
      <c r="V815" s="641">
        <f t="shared" si="288"/>
        <v>169468750</v>
      </c>
      <c r="W815" s="488"/>
      <c r="X815" s="1016"/>
      <c r="Y815" s="675"/>
      <c r="Z815" s="767"/>
      <c r="AA815" s="675"/>
      <c r="AB815" s="767"/>
      <c r="AC815" s="675"/>
      <c r="AD815" s="767"/>
      <c r="AE815" s="675"/>
      <c r="AF815" s="767"/>
      <c r="AL815" s="489"/>
      <c r="AM815" s="489"/>
      <c r="AN815" s="489"/>
      <c r="AO815" s="489"/>
      <c r="AP815" s="489"/>
      <c r="AQ815" s="489"/>
      <c r="AR815" s="489"/>
      <c r="AS815" s="489"/>
    </row>
    <row r="816" spans="1:45" s="484" customFormat="1" ht="14.5">
      <c r="A816" s="695" t="s">
        <v>1309</v>
      </c>
      <c r="B816" s="647"/>
      <c r="C816" s="644"/>
      <c r="D816" s="644"/>
      <c r="E816" s="493">
        <f t="shared" si="293"/>
        <v>0</v>
      </c>
      <c r="F816" s="763">
        <f t="shared" si="294"/>
        <v>8.1799999999999998E-3</v>
      </c>
      <c r="G816" s="493">
        <f t="shared" si="295"/>
        <v>0</v>
      </c>
      <c r="H816" s="493">
        <f t="shared" si="298"/>
        <v>0</v>
      </c>
      <c r="I816" s="493">
        <f t="shared" si="298"/>
        <v>0</v>
      </c>
      <c r="J816" s="493">
        <f t="shared" si="298"/>
        <v>0</v>
      </c>
      <c r="K816" s="493">
        <f t="shared" si="298"/>
        <v>0</v>
      </c>
      <c r="L816" s="493">
        <f t="shared" si="298"/>
        <v>0</v>
      </c>
      <c r="M816" s="493">
        <f t="shared" si="298"/>
        <v>0</v>
      </c>
      <c r="N816" s="493">
        <f t="shared" si="298"/>
        <v>0</v>
      </c>
      <c r="O816" s="493">
        <f t="shared" si="298"/>
        <v>0</v>
      </c>
      <c r="P816" s="493">
        <f t="shared" si="298"/>
        <v>0</v>
      </c>
      <c r="Q816" s="493">
        <f t="shared" si="298"/>
        <v>0</v>
      </c>
      <c r="R816" s="493">
        <f t="shared" si="286"/>
        <v>0</v>
      </c>
      <c r="S816" s="493">
        <f t="shared" si="287"/>
        <v>0</v>
      </c>
      <c r="T816" s="794"/>
      <c r="V816" s="641">
        <f t="shared" si="288"/>
        <v>0</v>
      </c>
      <c r="W816" s="488"/>
      <c r="X816" s="1016"/>
      <c r="Y816" s="675"/>
      <c r="Z816" s="767"/>
      <c r="AA816" s="675"/>
      <c r="AB816" s="767"/>
      <c r="AC816" s="675"/>
      <c r="AD816" s="767"/>
      <c r="AE816" s="675"/>
      <c r="AF816" s="767"/>
      <c r="AL816" s="489"/>
      <c r="AM816" s="489"/>
      <c r="AN816" s="489"/>
      <c r="AO816" s="489"/>
      <c r="AP816" s="489"/>
      <c r="AQ816" s="489"/>
      <c r="AR816" s="489"/>
      <c r="AS816" s="489"/>
    </row>
    <row r="817" spans="1:45" s="484" customFormat="1" ht="14.5">
      <c r="A817" s="695"/>
      <c r="B817" s="647"/>
      <c r="C817" s="644"/>
      <c r="D817" s="644"/>
      <c r="E817" s="644"/>
      <c r="F817" s="768"/>
      <c r="G817" s="493"/>
      <c r="H817" s="493"/>
      <c r="I817" s="493"/>
      <c r="J817" s="493"/>
      <c r="K817" s="493"/>
      <c r="L817" s="493"/>
      <c r="M817" s="493"/>
      <c r="N817" s="493"/>
      <c r="O817" s="493"/>
      <c r="P817" s="493"/>
      <c r="Q817" s="493"/>
      <c r="R817" s="493"/>
      <c r="S817" s="493"/>
      <c r="T817" s="794"/>
      <c r="V817" s="641">
        <f t="shared" si="288"/>
        <v>0</v>
      </c>
      <c r="W817" s="488"/>
      <c r="X817" s="1016"/>
      <c r="Y817" s="675"/>
      <c r="Z817" s="767"/>
      <c r="AA817" s="675"/>
      <c r="AB817" s="767"/>
      <c r="AC817" s="675"/>
      <c r="AD817" s="767"/>
      <c r="AE817" s="675"/>
      <c r="AF817" s="767"/>
      <c r="AL817" s="489"/>
      <c r="AM817" s="489"/>
      <c r="AN817" s="489"/>
      <c r="AO817" s="489"/>
      <c r="AP817" s="489"/>
      <c r="AQ817" s="489"/>
      <c r="AR817" s="489"/>
      <c r="AS817" s="489"/>
    </row>
    <row r="818" spans="1:45" s="484" customFormat="1">
      <c r="A818" s="490" t="s">
        <v>1145</v>
      </c>
      <c r="B818" s="653"/>
      <c r="C818" s="654"/>
      <c r="D818" s="654">
        <f>SUM(D782:D797)</f>
        <v>0</v>
      </c>
      <c r="E818" s="654">
        <f>SUM(E782:E817)</f>
        <v>109815687.57546356</v>
      </c>
      <c r="F818" s="707"/>
      <c r="G818" s="654">
        <f>SUM(G782:G817)</f>
        <v>299707109.41366225</v>
      </c>
      <c r="H818" s="654">
        <f t="shared" ref="H818:Q818" si="299">SUM(H782:H817)</f>
        <v>414700052.00973046</v>
      </c>
      <c r="I818" s="654">
        <f t="shared" si="299"/>
        <v>479550093.67639714</v>
      </c>
      <c r="J818" s="654">
        <f t="shared" si="299"/>
        <v>539415760.34306383</v>
      </c>
      <c r="K818" s="654">
        <f t="shared" si="299"/>
        <v>599281427.00973046</v>
      </c>
      <c r="L818" s="654">
        <f t="shared" si="299"/>
        <v>659147093.6763972</v>
      </c>
      <c r="M818" s="654">
        <f t="shared" si="299"/>
        <v>719012760.34306383</v>
      </c>
      <c r="N818" s="654">
        <f t="shared" si="299"/>
        <v>777876235.34306383</v>
      </c>
      <c r="O818" s="654">
        <f t="shared" si="299"/>
        <v>833746427.00973046</v>
      </c>
      <c r="P818" s="654">
        <f t="shared" si="299"/>
        <v>884632243.67639709</v>
      </c>
      <c r="Q818" s="654">
        <f t="shared" si="299"/>
        <v>923544927.00973046</v>
      </c>
      <c r="R818" s="654">
        <f>SUM(R782:R817)</f>
        <v>953477760.34306371</v>
      </c>
      <c r="S818" s="654">
        <f>SUM(S782:S817)</f>
        <v>983410593.6763972</v>
      </c>
      <c r="T818" s="816"/>
      <c r="V818" s="654">
        <f>SUM(V782:V817)</f>
        <v>8767795374.1167641</v>
      </c>
      <c r="W818" s="708"/>
      <c r="X818" s="1017"/>
      <c r="Y818" s="718" t="e">
        <f>SUM(Y782:Y799)</f>
        <v>#REF!</v>
      </c>
      <c r="Z818" s="708" t="e">
        <f>Y818/V818-1</f>
        <v>#REF!</v>
      </c>
      <c r="AA818" s="718" t="e">
        <f>SUM(AA782:AA797)</f>
        <v>#REF!</v>
      </c>
      <c r="AB818" s="708" t="e">
        <f>+AA818/Y818-1</f>
        <v>#REF!</v>
      </c>
      <c r="AC818" s="718" t="e">
        <f>SUM(AC782:AC797)</f>
        <v>#REF!</v>
      </c>
      <c r="AD818" s="708" t="e">
        <f>+AC818/AA818-1</f>
        <v>#REF!</v>
      </c>
      <c r="AE818" s="718" t="e">
        <f>SUM(AE782:AE797)</f>
        <v>#REF!</v>
      </c>
      <c r="AF818" s="708" t="e">
        <f>+AE818/AC818-1</f>
        <v>#REF!</v>
      </c>
      <c r="AL818" s="489"/>
      <c r="AM818" s="489"/>
      <c r="AN818" s="489"/>
      <c r="AO818" s="489"/>
      <c r="AP818" s="489"/>
      <c r="AQ818" s="489"/>
      <c r="AR818" s="489"/>
      <c r="AS818" s="489"/>
    </row>
    <row r="819" spans="1:45" s="484" customFormat="1">
      <c r="A819" s="556"/>
      <c r="C819" s="778" t="s">
        <v>1339</v>
      </c>
      <c r="D819" s="778" t="s">
        <v>1340</v>
      </c>
      <c r="E819" s="600"/>
      <c r="F819" s="688" t="s">
        <v>1341</v>
      </c>
      <c r="H819" s="486"/>
      <c r="I819" s="486"/>
      <c r="J819" s="486"/>
      <c r="K819" s="486"/>
      <c r="L819" s="486"/>
      <c r="M819" s="486"/>
      <c r="N819" s="486"/>
      <c r="O819" s="486"/>
      <c r="P819" s="486"/>
      <c r="Q819" s="486"/>
      <c r="R819" s="486"/>
      <c r="S819" s="486"/>
      <c r="T819" s="786"/>
      <c r="W819" s="488"/>
      <c r="X819" s="1003"/>
      <c r="Y819" s="600"/>
    </row>
    <row r="820" spans="1:45" s="484" customFormat="1">
      <c r="A820" s="490" t="s">
        <v>1342</v>
      </c>
      <c r="B820" s="633"/>
      <c r="C820" s="634"/>
      <c r="D820" s="689"/>
      <c r="E820" s="689"/>
      <c r="F820" s="691"/>
      <c r="G820" s="690">
        <v>42735</v>
      </c>
      <c r="H820" s="690">
        <v>42736</v>
      </c>
      <c r="I820" s="690">
        <v>42768</v>
      </c>
      <c r="J820" s="690">
        <v>42800</v>
      </c>
      <c r="K820" s="690">
        <v>42832</v>
      </c>
      <c r="L820" s="690">
        <v>42864</v>
      </c>
      <c r="M820" s="690">
        <v>42896</v>
      </c>
      <c r="N820" s="690">
        <v>42928</v>
      </c>
      <c r="O820" s="690">
        <v>42960</v>
      </c>
      <c r="P820" s="690">
        <v>42992</v>
      </c>
      <c r="Q820" s="690">
        <v>43024</v>
      </c>
      <c r="R820" s="690">
        <v>43056</v>
      </c>
      <c r="S820" s="690">
        <v>43088</v>
      </c>
      <c r="T820" s="822"/>
      <c r="V820" s="690" t="s">
        <v>1159</v>
      </c>
      <c r="W820" s="692"/>
      <c r="X820" s="1022"/>
      <c r="Y820" s="693"/>
      <c r="Z820" s="693"/>
      <c r="AA820" s="694"/>
      <c r="AB820" s="694"/>
      <c r="AC820" s="694"/>
      <c r="AD820" s="694"/>
      <c r="AE820" s="694"/>
      <c r="AF820" s="694"/>
      <c r="AL820" s="489"/>
      <c r="AM820" s="489"/>
      <c r="AN820" s="489"/>
      <c r="AO820" s="489"/>
      <c r="AP820" s="489"/>
      <c r="AQ820" s="489"/>
      <c r="AR820" s="489"/>
      <c r="AS820" s="489"/>
    </row>
    <row r="821" spans="1:45" s="484" customFormat="1">
      <c r="A821" s="695" t="s">
        <v>1275</v>
      </c>
      <c r="B821" s="638"/>
      <c r="C821" s="639"/>
      <c r="D821" s="639"/>
      <c r="E821" s="493">
        <f>(0+E375)/2*$F821/12</f>
        <v>0</v>
      </c>
      <c r="F821" s="763">
        <f>+F782</f>
        <v>0.02</v>
      </c>
      <c r="G821" s="493">
        <f>(E375+G375)/2*$F821/12</f>
        <v>0</v>
      </c>
      <c r="H821" s="493">
        <f t="shared" ref="H821:Q836" si="300">(G375+H375)/2*$F821/12</f>
        <v>0</v>
      </c>
      <c r="I821" s="493">
        <f t="shared" si="300"/>
        <v>0</v>
      </c>
      <c r="J821" s="493">
        <f t="shared" si="300"/>
        <v>0</v>
      </c>
      <c r="K821" s="493">
        <f t="shared" si="300"/>
        <v>0</v>
      </c>
      <c r="L821" s="493">
        <f t="shared" si="300"/>
        <v>0</v>
      </c>
      <c r="M821" s="493">
        <f t="shared" si="300"/>
        <v>0</v>
      </c>
      <c r="N821" s="493">
        <f t="shared" ref="N821:P840" si="301">(M375+N375)/2*$F821/12</f>
        <v>0</v>
      </c>
      <c r="O821" s="493">
        <f t="shared" si="301"/>
        <v>0</v>
      </c>
      <c r="P821" s="493">
        <f t="shared" si="301"/>
        <v>0</v>
      </c>
      <c r="Q821" s="493">
        <f t="shared" si="300"/>
        <v>0</v>
      </c>
      <c r="R821" s="493">
        <f t="shared" ref="R821:R855" si="302">(Q375+R375)/2*$F821/12</f>
        <v>0</v>
      </c>
      <c r="S821" s="493">
        <f t="shared" ref="S821:S855" si="303">(R375+S375)/2*$F821/12</f>
        <v>0</v>
      </c>
      <c r="T821" s="794"/>
      <c r="V821" s="641">
        <f t="shared" ref="V821:V856" si="304">SUM(H821:U821)</f>
        <v>0</v>
      </c>
      <c r="W821" s="704"/>
      <c r="X821" s="1015"/>
      <c r="Y821" s="664">
        <f t="shared" ref="Y821:Y840" si="305">(Y401+V401)/2*Z821</f>
        <v>0</v>
      </c>
      <c r="Z821" s="764">
        <v>0.02</v>
      </c>
      <c r="AA821" s="664">
        <f t="shared" ref="AA821:AA840" si="306">(AA401+Y401)/2*AB821</f>
        <v>0</v>
      </c>
      <c r="AB821" s="764">
        <v>0.02</v>
      </c>
      <c r="AC821" s="664">
        <f t="shared" ref="AC821:AC840" si="307">(AC401+AA401)/2*AD821</f>
        <v>0</v>
      </c>
      <c r="AD821" s="764">
        <v>0.02</v>
      </c>
      <c r="AE821" s="664">
        <f t="shared" ref="AE821:AE840" si="308">(AE401+AC401)/2*AF821</f>
        <v>0</v>
      </c>
      <c r="AF821" s="764">
        <v>0.02</v>
      </c>
      <c r="AL821" s="489"/>
      <c r="AM821" s="489"/>
      <c r="AN821" s="489"/>
      <c r="AO821" s="489"/>
      <c r="AP821" s="489"/>
      <c r="AQ821" s="489"/>
      <c r="AR821" s="489"/>
      <c r="AS821" s="489"/>
    </row>
    <row r="822" spans="1:45" s="484" customFormat="1" ht="14.5">
      <c r="A822" s="695" t="s">
        <v>1276</v>
      </c>
      <c r="B822" s="647"/>
      <c r="C822" s="644"/>
      <c r="D822" s="644"/>
      <c r="E822" s="493">
        <f t="shared" ref="E822:E855" si="309">(0+E376)/2*$F822/12</f>
        <v>0</v>
      </c>
      <c r="F822" s="763">
        <f t="shared" ref="F822:F855" si="310">+F783</f>
        <v>1.2500000000000001E-2</v>
      </c>
      <c r="G822" s="493">
        <f t="shared" ref="G822:G855" si="311">(E376+G376)/2*$F822/12</f>
        <v>0</v>
      </c>
      <c r="H822" s="493">
        <f t="shared" si="300"/>
        <v>0</v>
      </c>
      <c r="I822" s="493">
        <f t="shared" si="300"/>
        <v>0</v>
      </c>
      <c r="J822" s="493">
        <f t="shared" si="300"/>
        <v>0</v>
      </c>
      <c r="K822" s="493">
        <f t="shared" si="300"/>
        <v>0</v>
      </c>
      <c r="L822" s="493">
        <f t="shared" si="300"/>
        <v>0</v>
      </c>
      <c r="M822" s="493">
        <f t="shared" si="300"/>
        <v>0</v>
      </c>
      <c r="N822" s="493">
        <f t="shared" si="301"/>
        <v>0</v>
      </c>
      <c r="O822" s="493">
        <f t="shared" si="301"/>
        <v>0</v>
      </c>
      <c r="P822" s="493">
        <f t="shared" si="301"/>
        <v>0</v>
      </c>
      <c r="Q822" s="493">
        <f t="shared" si="300"/>
        <v>0</v>
      </c>
      <c r="R822" s="493">
        <f t="shared" si="302"/>
        <v>0</v>
      </c>
      <c r="S822" s="493">
        <f t="shared" si="303"/>
        <v>0</v>
      </c>
      <c r="T822" s="794"/>
      <c r="V822" s="641">
        <f t="shared" si="304"/>
        <v>0</v>
      </c>
      <c r="W822" s="765"/>
      <c r="X822" s="1016"/>
      <c r="Y822" s="675">
        <f t="shared" si="305"/>
        <v>0</v>
      </c>
      <c r="Z822" s="766">
        <v>0.02</v>
      </c>
      <c r="AA822" s="675">
        <f t="shared" si="306"/>
        <v>0</v>
      </c>
      <c r="AB822" s="766">
        <v>0.02</v>
      </c>
      <c r="AC822" s="675">
        <f t="shared" si="307"/>
        <v>0</v>
      </c>
      <c r="AD822" s="766">
        <v>0.02</v>
      </c>
      <c r="AE822" s="675">
        <f t="shared" si="308"/>
        <v>0</v>
      </c>
      <c r="AF822" s="766">
        <v>0.02</v>
      </c>
      <c r="AL822" s="489"/>
      <c r="AM822" s="489"/>
      <c r="AN822" s="489"/>
      <c r="AO822" s="489"/>
      <c r="AP822" s="489"/>
      <c r="AQ822" s="489"/>
      <c r="AR822" s="489"/>
      <c r="AS822" s="489"/>
    </row>
    <row r="823" spans="1:45" s="484" customFormat="1">
      <c r="A823" s="695" t="s">
        <v>1277</v>
      </c>
      <c r="B823" s="638"/>
      <c r="C823" s="639"/>
      <c r="D823" s="639"/>
      <c r="E823" s="493">
        <f t="shared" si="309"/>
        <v>0</v>
      </c>
      <c r="F823" s="763">
        <f t="shared" si="310"/>
        <v>1.2500000000000001E-2</v>
      </c>
      <c r="G823" s="493">
        <f t="shared" si="311"/>
        <v>0</v>
      </c>
      <c r="H823" s="493">
        <f t="shared" si="300"/>
        <v>0</v>
      </c>
      <c r="I823" s="493">
        <f t="shared" si="300"/>
        <v>0</v>
      </c>
      <c r="J823" s="493">
        <f t="shared" si="300"/>
        <v>0</v>
      </c>
      <c r="K823" s="493">
        <f t="shared" si="300"/>
        <v>0</v>
      </c>
      <c r="L823" s="493">
        <f t="shared" si="300"/>
        <v>0</v>
      </c>
      <c r="M823" s="493">
        <f t="shared" si="300"/>
        <v>0</v>
      </c>
      <c r="N823" s="493">
        <f t="shared" si="301"/>
        <v>0</v>
      </c>
      <c r="O823" s="493">
        <f t="shared" si="301"/>
        <v>0</v>
      </c>
      <c r="P823" s="493">
        <f t="shared" si="301"/>
        <v>0</v>
      </c>
      <c r="Q823" s="493">
        <f t="shared" si="300"/>
        <v>0</v>
      </c>
      <c r="R823" s="493">
        <f t="shared" si="302"/>
        <v>0</v>
      </c>
      <c r="S823" s="493">
        <f t="shared" si="303"/>
        <v>0</v>
      </c>
      <c r="T823" s="794"/>
      <c r="V823" s="641">
        <f t="shared" si="304"/>
        <v>0</v>
      </c>
      <c r="W823" s="713"/>
      <c r="X823" s="1015"/>
      <c r="Y823" s="675">
        <f t="shared" si="305"/>
        <v>0</v>
      </c>
      <c r="Z823" s="766">
        <v>1.2500000000000001E-2</v>
      </c>
      <c r="AA823" s="675">
        <f t="shared" si="306"/>
        <v>0</v>
      </c>
      <c r="AB823" s="766">
        <v>1.2500000000000001E-2</v>
      </c>
      <c r="AC823" s="675">
        <f t="shared" si="307"/>
        <v>0</v>
      </c>
      <c r="AD823" s="766">
        <v>1.2500000000000001E-2</v>
      </c>
      <c r="AE823" s="675">
        <f t="shared" si="308"/>
        <v>0</v>
      </c>
      <c r="AF823" s="766">
        <v>1.2500000000000001E-2</v>
      </c>
      <c r="AL823" s="489"/>
      <c r="AM823" s="489"/>
      <c r="AN823" s="489"/>
      <c r="AO823" s="489"/>
      <c r="AP823" s="489"/>
      <c r="AQ823" s="489"/>
      <c r="AR823" s="489"/>
      <c r="AS823" s="489"/>
    </row>
    <row r="824" spans="1:45" s="484" customFormat="1" ht="14.5">
      <c r="A824" s="695" t="s">
        <v>1278</v>
      </c>
      <c r="B824" s="647"/>
      <c r="C824" s="644"/>
      <c r="D824" s="644"/>
      <c r="E824" s="493">
        <f t="shared" si="309"/>
        <v>0</v>
      </c>
      <c r="F824" s="763">
        <f t="shared" si="310"/>
        <v>1.2500000000000001E-2</v>
      </c>
      <c r="G824" s="493">
        <f t="shared" si="311"/>
        <v>0</v>
      </c>
      <c r="H824" s="493">
        <f t="shared" si="300"/>
        <v>0</v>
      </c>
      <c r="I824" s="493">
        <f t="shared" si="300"/>
        <v>0</v>
      </c>
      <c r="J824" s="493">
        <f t="shared" si="300"/>
        <v>0</v>
      </c>
      <c r="K824" s="493">
        <f t="shared" si="300"/>
        <v>0</v>
      </c>
      <c r="L824" s="493">
        <f t="shared" si="300"/>
        <v>0</v>
      </c>
      <c r="M824" s="493">
        <f t="shared" si="300"/>
        <v>0</v>
      </c>
      <c r="N824" s="493">
        <f t="shared" si="301"/>
        <v>0</v>
      </c>
      <c r="O824" s="493">
        <f t="shared" si="301"/>
        <v>0</v>
      </c>
      <c r="P824" s="493">
        <f t="shared" si="301"/>
        <v>0</v>
      </c>
      <c r="Q824" s="493">
        <f t="shared" si="300"/>
        <v>0</v>
      </c>
      <c r="R824" s="493">
        <f t="shared" si="302"/>
        <v>0</v>
      </c>
      <c r="S824" s="493">
        <f t="shared" si="303"/>
        <v>0</v>
      </c>
      <c r="T824" s="794"/>
      <c r="V824" s="641">
        <f t="shared" si="304"/>
        <v>0</v>
      </c>
      <c r="W824" s="765"/>
      <c r="X824" s="1016"/>
      <c r="Y824" s="675">
        <f t="shared" si="305"/>
        <v>0</v>
      </c>
      <c r="Z824" s="766">
        <v>1.2500000000000001E-2</v>
      </c>
      <c r="AA824" s="675">
        <f t="shared" si="306"/>
        <v>0</v>
      </c>
      <c r="AB824" s="766">
        <v>1.2500000000000001E-2</v>
      </c>
      <c r="AC824" s="675">
        <f t="shared" si="307"/>
        <v>0</v>
      </c>
      <c r="AD824" s="766">
        <v>1.2500000000000001E-2</v>
      </c>
      <c r="AE824" s="675">
        <f t="shared" si="308"/>
        <v>0</v>
      </c>
      <c r="AF824" s="766">
        <v>1.2500000000000001E-2</v>
      </c>
      <c r="AL824" s="489"/>
      <c r="AM824" s="489"/>
      <c r="AN824" s="489"/>
      <c r="AO824" s="489"/>
      <c r="AP824" s="489"/>
      <c r="AQ824" s="489"/>
      <c r="AR824" s="489"/>
      <c r="AS824" s="489"/>
    </row>
    <row r="825" spans="1:45" s="484" customFormat="1">
      <c r="A825" s="695" t="s">
        <v>1279</v>
      </c>
      <c r="B825" s="638"/>
      <c r="C825" s="639"/>
      <c r="D825" s="639"/>
      <c r="E825" s="493">
        <f t="shared" si="309"/>
        <v>0</v>
      </c>
      <c r="F825" s="763">
        <f t="shared" si="310"/>
        <v>0.03</v>
      </c>
      <c r="G825" s="493">
        <f t="shared" si="311"/>
        <v>0</v>
      </c>
      <c r="H825" s="493">
        <f t="shared" si="300"/>
        <v>0</v>
      </c>
      <c r="I825" s="493">
        <f t="shared" si="300"/>
        <v>0</v>
      </c>
      <c r="J825" s="493">
        <f t="shared" si="300"/>
        <v>0</v>
      </c>
      <c r="K825" s="493">
        <f t="shared" si="300"/>
        <v>0</v>
      </c>
      <c r="L825" s="493">
        <f t="shared" si="300"/>
        <v>0</v>
      </c>
      <c r="M825" s="493">
        <f t="shared" si="300"/>
        <v>0</v>
      </c>
      <c r="N825" s="493">
        <f t="shared" si="301"/>
        <v>0</v>
      </c>
      <c r="O825" s="493">
        <f t="shared" si="301"/>
        <v>0</v>
      </c>
      <c r="P825" s="493">
        <f t="shared" si="301"/>
        <v>0</v>
      </c>
      <c r="Q825" s="493">
        <f t="shared" si="300"/>
        <v>0</v>
      </c>
      <c r="R825" s="493">
        <f t="shared" si="302"/>
        <v>0</v>
      </c>
      <c r="S825" s="493">
        <f t="shared" si="303"/>
        <v>0</v>
      </c>
      <c r="T825" s="794"/>
      <c r="V825" s="641">
        <f t="shared" si="304"/>
        <v>0</v>
      </c>
      <c r="W825" s="713"/>
      <c r="X825" s="1015"/>
      <c r="Y825" s="675">
        <f t="shared" si="305"/>
        <v>0</v>
      </c>
      <c r="Z825" s="766">
        <f>1%/1.1</f>
        <v>9.0909090909090905E-3</v>
      </c>
      <c r="AA825" s="675">
        <f t="shared" si="306"/>
        <v>0</v>
      </c>
      <c r="AB825" s="766">
        <f>1%/1.1</f>
        <v>9.0909090909090905E-3</v>
      </c>
      <c r="AC825" s="675">
        <f t="shared" si="307"/>
        <v>0</v>
      </c>
      <c r="AD825" s="766">
        <f>1%/1.1</f>
        <v>9.0909090909090905E-3</v>
      </c>
      <c r="AE825" s="675">
        <f t="shared" si="308"/>
        <v>0</v>
      </c>
      <c r="AF825" s="766">
        <f>1%/1.1</f>
        <v>9.0909090909090905E-3</v>
      </c>
      <c r="AL825" s="489"/>
      <c r="AM825" s="489"/>
      <c r="AN825" s="489"/>
      <c r="AO825" s="489"/>
      <c r="AP825" s="489"/>
      <c r="AQ825" s="489"/>
      <c r="AR825" s="489"/>
      <c r="AS825" s="489"/>
    </row>
    <row r="826" spans="1:45" s="484" customFormat="1" ht="14.5">
      <c r="A826" s="695" t="s">
        <v>1280</v>
      </c>
      <c r="B826" s="647"/>
      <c r="C826" s="644"/>
      <c r="D826" s="644"/>
      <c r="E826" s="493">
        <f t="shared" si="309"/>
        <v>0</v>
      </c>
      <c r="F826" s="763">
        <f t="shared" si="310"/>
        <v>1.2500000000000001E-2</v>
      </c>
      <c r="G826" s="493">
        <f t="shared" si="311"/>
        <v>0</v>
      </c>
      <c r="H826" s="493">
        <f t="shared" si="300"/>
        <v>0</v>
      </c>
      <c r="I826" s="493">
        <f t="shared" si="300"/>
        <v>0</v>
      </c>
      <c r="J826" s="493">
        <f t="shared" si="300"/>
        <v>0</v>
      </c>
      <c r="K826" s="493">
        <f t="shared" si="300"/>
        <v>0</v>
      </c>
      <c r="L826" s="493">
        <f t="shared" si="300"/>
        <v>0</v>
      </c>
      <c r="M826" s="493">
        <f t="shared" si="300"/>
        <v>0</v>
      </c>
      <c r="N826" s="493">
        <f t="shared" si="301"/>
        <v>0</v>
      </c>
      <c r="O826" s="493">
        <f t="shared" si="301"/>
        <v>0</v>
      </c>
      <c r="P826" s="493">
        <f t="shared" si="301"/>
        <v>0</v>
      </c>
      <c r="Q826" s="493">
        <f t="shared" si="300"/>
        <v>0</v>
      </c>
      <c r="R826" s="493">
        <f t="shared" si="302"/>
        <v>0</v>
      </c>
      <c r="S826" s="493">
        <f t="shared" si="303"/>
        <v>0</v>
      </c>
      <c r="T826" s="794"/>
      <c r="V826" s="641">
        <f t="shared" si="304"/>
        <v>0</v>
      </c>
      <c r="W826" s="765"/>
      <c r="X826" s="1016"/>
      <c r="Y826" s="675">
        <f t="shared" si="305"/>
        <v>0</v>
      </c>
      <c r="Z826" s="766">
        <v>1.2500000000000001E-2</v>
      </c>
      <c r="AA826" s="675">
        <f t="shared" si="306"/>
        <v>0</v>
      </c>
      <c r="AB826" s="766">
        <v>1.2500000000000001E-2</v>
      </c>
      <c r="AC826" s="675">
        <f t="shared" si="307"/>
        <v>0</v>
      </c>
      <c r="AD826" s="766">
        <v>1.2500000000000001E-2</v>
      </c>
      <c r="AE826" s="675">
        <f t="shared" si="308"/>
        <v>0</v>
      </c>
      <c r="AF826" s="766">
        <v>1.2500000000000001E-2</v>
      </c>
      <c r="AL826" s="489"/>
      <c r="AM826" s="489"/>
      <c r="AN826" s="489"/>
      <c r="AO826" s="489"/>
      <c r="AP826" s="489"/>
      <c r="AQ826" s="489"/>
      <c r="AR826" s="489"/>
      <c r="AS826" s="489"/>
    </row>
    <row r="827" spans="1:45" s="484" customFormat="1">
      <c r="A827" s="695" t="s">
        <v>1281</v>
      </c>
      <c r="B827" s="638"/>
      <c r="C827" s="639"/>
      <c r="D827" s="639"/>
      <c r="E827" s="493">
        <f t="shared" si="309"/>
        <v>0</v>
      </c>
      <c r="F827" s="763">
        <f t="shared" si="310"/>
        <v>8.9999999999999993E-3</v>
      </c>
      <c r="G827" s="493">
        <f t="shared" si="311"/>
        <v>0</v>
      </c>
      <c r="H827" s="493">
        <f t="shared" si="300"/>
        <v>0</v>
      </c>
      <c r="I827" s="493">
        <f t="shared" si="300"/>
        <v>0</v>
      </c>
      <c r="J827" s="493">
        <f t="shared" si="300"/>
        <v>0</v>
      </c>
      <c r="K827" s="493">
        <f t="shared" si="300"/>
        <v>0</v>
      </c>
      <c r="L827" s="493">
        <f t="shared" si="300"/>
        <v>0</v>
      </c>
      <c r="M827" s="493">
        <f t="shared" si="300"/>
        <v>0</v>
      </c>
      <c r="N827" s="493">
        <f t="shared" si="301"/>
        <v>0</v>
      </c>
      <c r="O827" s="493">
        <f t="shared" si="301"/>
        <v>0</v>
      </c>
      <c r="P827" s="493">
        <f t="shared" si="301"/>
        <v>0</v>
      </c>
      <c r="Q827" s="493">
        <f t="shared" si="300"/>
        <v>0</v>
      </c>
      <c r="R827" s="493">
        <f t="shared" si="302"/>
        <v>0</v>
      </c>
      <c r="S827" s="493">
        <f t="shared" si="303"/>
        <v>0</v>
      </c>
      <c r="T827" s="794"/>
      <c r="V827" s="641">
        <f t="shared" si="304"/>
        <v>0</v>
      </c>
      <c r="W827" s="713"/>
      <c r="X827" s="1015"/>
      <c r="Y827" s="675">
        <f t="shared" si="305"/>
        <v>0</v>
      </c>
      <c r="Z827" s="766">
        <v>1.2500000000000001E-2</v>
      </c>
      <c r="AA827" s="675">
        <f t="shared" si="306"/>
        <v>0</v>
      </c>
      <c r="AB827" s="766">
        <v>1.2500000000000001E-2</v>
      </c>
      <c r="AC827" s="675">
        <f t="shared" si="307"/>
        <v>0</v>
      </c>
      <c r="AD827" s="766">
        <v>1.2500000000000001E-2</v>
      </c>
      <c r="AE827" s="675">
        <f t="shared" si="308"/>
        <v>0</v>
      </c>
      <c r="AF827" s="766">
        <v>1.2500000000000001E-2</v>
      </c>
      <c r="AL827" s="489"/>
      <c r="AM827" s="489"/>
      <c r="AN827" s="489"/>
      <c r="AO827" s="489"/>
      <c r="AP827" s="489"/>
      <c r="AQ827" s="489"/>
      <c r="AR827" s="489"/>
      <c r="AS827" s="489"/>
    </row>
    <row r="828" spans="1:45" s="484" customFormat="1" ht="14.5">
      <c r="A828" s="695" t="s">
        <v>1282</v>
      </c>
      <c r="B828" s="647"/>
      <c r="C828" s="644"/>
      <c r="D828" s="644"/>
      <c r="E828" s="493">
        <f t="shared" si="309"/>
        <v>0</v>
      </c>
      <c r="F828" s="763">
        <f t="shared" si="310"/>
        <v>0</v>
      </c>
      <c r="G828" s="493">
        <f t="shared" si="311"/>
        <v>0</v>
      </c>
      <c r="H828" s="493">
        <f t="shared" si="300"/>
        <v>0</v>
      </c>
      <c r="I828" s="493">
        <f t="shared" si="300"/>
        <v>0</v>
      </c>
      <c r="J828" s="493">
        <f t="shared" si="300"/>
        <v>0</v>
      </c>
      <c r="K828" s="493">
        <f t="shared" si="300"/>
        <v>0</v>
      </c>
      <c r="L828" s="493">
        <f t="shared" si="300"/>
        <v>0</v>
      </c>
      <c r="M828" s="493">
        <f t="shared" si="300"/>
        <v>0</v>
      </c>
      <c r="N828" s="493">
        <f t="shared" si="301"/>
        <v>0</v>
      </c>
      <c r="O828" s="493">
        <f t="shared" si="301"/>
        <v>0</v>
      </c>
      <c r="P828" s="493">
        <f t="shared" si="301"/>
        <v>0</v>
      </c>
      <c r="Q828" s="493">
        <f t="shared" si="300"/>
        <v>0</v>
      </c>
      <c r="R828" s="493">
        <f t="shared" si="302"/>
        <v>0</v>
      </c>
      <c r="S828" s="493">
        <f t="shared" si="303"/>
        <v>0</v>
      </c>
      <c r="T828" s="794"/>
      <c r="V828" s="641">
        <f t="shared" si="304"/>
        <v>0</v>
      </c>
      <c r="W828" s="765"/>
      <c r="X828" s="1016"/>
      <c r="Y828" s="675">
        <f t="shared" si="305"/>
        <v>0</v>
      </c>
      <c r="Z828" s="766">
        <v>1.2500000000000001E-2</v>
      </c>
      <c r="AA828" s="675">
        <f t="shared" si="306"/>
        <v>0</v>
      </c>
      <c r="AB828" s="766">
        <v>1.2500000000000001E-2</v>
      </c>
      <c r="AC828" s="675">
        <f t="shared" si="307"/>
        <v>0</v>
      </c>
      <c r="AD828" s="766">
        <v>1.2500000000000001E-2</v>
      </c>
      <c r="AE828" s="675">
        <f t="shared" si="308"/>
        <v>0</v>
      </c>
      <c r="AF828" s="766">
        <v>1.2500000000000001E-2</v>
      </c>
      <c r="AL828" s="489"/>
      <c r="AM828" s="489"/>
      <c r="AN828" s="489"/>
      <c r="AO828" s="489"/>
      <c r="AP828" s="489"/>
      <c r="AQ828" s="489"/>
      <c r="AR828" s="489"/>
      <c r="AS828" s="489"/>
    </row>
    <row r="829" spans="1:45" s="484" customFormat="1">
      <c r="A829" s="695" t="s">
        <v>1283</v>
      </c>
      <c r="B829" s="638"/>
      <c r="C829" s="639"/>
      <c r="D829" s="639"/>
      <c r="E829" s="493">
        <f t="shared" si="309"/>
        <v>0</v>
      </c>
      <c r="F829" s="763">
        <f t="shared" si="310"/>
        <v>0</v>
      </c>
      <c r="G829" s="493">
        <f t="shared" si="311"/>
        <v>0</v>
      </c>
      <c r="H829" s="493">
        <f t="shared" si="300"/>
        <v>0</v>
      </c>
      <c r="I829" s="493">
        <f t="shared" si="300"/>
        <v>0</v>
      </c>
      <c r="J829" s="493">
        <f t="shared" si="300"/>
        <v>0</v>
      </c>
      <c r="K829" s="493">
        <f t="shared" si="300"/>
        <v>0</v>
      </c>
      <c r="L829" s="493">
        <f t="shared" si="300"/>
        <v>0</v>
      </c>
      <c r="M829" s="493">
        <f t="shared" si="300"/>
        <v>0</v>
      </c>
      <c r="N829" s="493">
        <f t="shared" si="301"/>
        <v>0</v>
      </c>
      <c r="O829" s="493">
        <f t="shared" si="301"/>
        <v>0</v>
      </c>
      <c r="P829" s="493">
        <f t="shared" si="301"/>
        <v>0</v>
      </c>
      <c r="Q829" s="493">
        <f t="shared" si="300"/>
        <v>0</v>
      </c>
      <c r="R829" s="493">
        <f t="shared" si="302"/>
        <v>0</v>
      </c>
      <c r="S829" s="493">
        <f t="shared" si="303"/>
        <v>0</v>
      </c>
      <c r="T829" s="794"/>
      <c r="V829" s="641">
        <f t="shared" si="304"/>
        <v>0</v>
      </c>
      <c r="W829" s="713"/>
      <c r="X829" s="1015"/>
      <c r="Y829" s="675">
        <f t="shared" si="305"/>
        <v>2607220928.4635</v>
      </c>
      <c r="Z829" s="766">
        <v>1.2500000000000001E-2</v>
      </c>
      <c r="AA829" s="675">
        <f t="shared" si="306"/>
        <v>0</v>
      </c>
      <c r="AB829" s="766">
        <v>1.2500000000000001E-2</v>
      </c>
      <c r="AC829" s="675">
        <f t="shared" si="307"/>
        <v>0</v>
      </c>
      <c r="AD829" s="766">
        <v>1.2500000000000001E-2</v>
      </c>
      <c r="AE829" s="675">
        <f t="shared" si="308"/>
        <v>0</v>
      </c>
      <c r="AF829" s="766">
        <v>1.2500000000000001E-2</v>
      </c>
      <c r="AL829" s="489"/>
      <c r="AM829" s="489"/>
      <c r="AN829" s="489"/>
      <c r="AO829" s="489"/>
      <c r="AP829" s="489"/>
      <c r="AQ829" s="489"/>
      <c r="AR829" s="489"/>
      <c r="AS829" s="489"/>
    </row>
    <row r="830" spans="1:45" s="484" customFormat="1" ht="14.5">
      <c r="A830" s="695" t="s">
        <v>1284</v>
      </c>
      <c r="B830" s="647"/>
      <c r="C830" s="644"/>
      <c r="D830" s="644"/>
      <c r="E830" s="493">
        <f t="shared" si="309"/>
        <v>0</v>
      </c>
      <c r="F830" s="763">
        <f t="shared" si="310"/>
        <v>1.4999999999999999E-2</v>
      </c>
      <c r="G830" s="493">
        <f t="shared" si="311"/>
        <v>0</v>
      </c>
      <c r="H830" s="493">
        <f t="shared" si="300"/>
        <v>0</v>
      </c>
      <c r="I830" s="493">
        <f t="shared" si="300"/>
        <v>0</v>
      </c>
      <c r="J830" s="493">
        <f t="shared" si="300"/>
        <v>0</v>
      </c>
      <c r="K830" s="493">
        <f t="shared" si="300"/>
        <v>0</v>
      </c>
      <c r="L830" s="493">
        <f t="shared" si="300"/>
        <v>0</v>
      </c>
      <c r="M830" s="493">
        <f t="shared" si="300"/>
        <v>0</v>
      </c>
      <c r="N830" s="493">
        <f t="shared" si="301"/>
        <v>0</v>
      </c>
      <c r="O830" s="493">
        <f t="shared" si="301"/>
        <v>0</v>
      </c>
      <c r="P830" s="493">
        <f t="shared" si="301"/>
        <v>0</v>
      </c>
      <c r="Q830" s="493">
        <f t="shared" si="300"/>
        <v>0</v>
      </c>
      <c r="R830" s="493">
        <f t="shared" si="302"/>
        <v>0</v>
      </c>
      <c r="S830" s="493">
        <f t="shared" si="303"/>
        <v>0</v>
      </c>
      <c r="T830" s="794"/>
      <c r="V830" s="641">
        <f t="shared" si="304"/>
        <v>0</v>
      </c>
      <c r="W830" s="765"/>
      <c r="X830" s="1016"/>
      <c r="Y830" s="675">
        <f t="shared" si="305"/>
        <v>0</v>
      </c>
      <c r="Z830" s="766">
        <v>1.2500000000000001E-2</v>
      </c>
      <c r="AA830" s="675">
        <f t="shared" si="306"/>
        <v>0</v>
      </c>
      <c r="AB830" s="766">
        <v>1.2500000000000001E-2</v>
      </c>
      <c r="AC830" s="675">
        <f t="shared" si="307"/>
        <v>0</v>
      </c>
      <c r="AD830" s="766">
        <v>1.2500000000000001E-2</v>
      </c>
      <c r="AE830" s="675">
        <f t="shared" si="308"/>
        <v>0</v>
      </c>
      <c r="AF830" s="766">
        <v>1.2500000000000001E-2</v>
      </c>
      <c r="AL830" s="489"/>
      <c r="AM830" s="489"/>
      <c r="AN830" s="489"/>
      <c r="AO830" s="489"/>
      <c r="AP830" s="489"/>
      <c r="AQ830" s="489"/>
      <c r="AR830" s="489"/>
      <c r="AS830" s="489"/>
    </row>
    <row r="831" spans="1:45" s="484" customFormat="1">
      <c r="A831" s="695" t="s">
        <v>1285</v>
      </c>
      <c r="B831" s="638"/>
      <c r="C831" s="639"/>
      <c r="D831" s="639"/>
      <c r="E831" s="493">
        <f t="shared" si="309"/>
        <v>0</v>
      </c>
      <c r="F831" s="763">
        <f t="shared" si="310"/>
        <v>1.4999999999999999E-2</v>
      </c>
      <c r="G831" s="493">
        <f t="shared" si="311"/>
        <v>0</v>
      </c>
      <c r="H831" s="493">
        <f t="shared" si="300"/>
        <v>0</v>
      </c>
      <c r="I831" s="493">
        <f t="shared" si="300"/>
        <v>0</v>
      </c>
      <c r="J831" s="493">
        <f t="shared" si="300"/>
        <v>0</v>
      </c>
      <c r="K831" s="493">
        <f t="shared" si="300"/>
        <v>0</v>
      </c>
      <c r="L831" s="493">
        <f t="shared" si="300"/>
        <v>0</v>
      </c>
      <c r="M831" s="493">
        <f t="shared" si="300"/>
        <v>0</v>
      </c>
      <c r="N831" s="493">
        <f t="shared" si="301"/>
        <v>0</v>
      </c>
      <c r="O831" s="493">
        <f t="shared" si="301"/>
        <v>0</v>
      </c>
      <c r="P831" s="493">
        <f t="shared" si="301"/>
        <v>0</v>
      </c>
      <c r="Q831" s="493">
        <f t="shared" si="300"/>
        <v>0</v>
      </c>
      <c r="R831" s="493">
        <f t="shared" si="302"/>
        <v>0</v>
      </c>
      <c r="S831" s="493">
        <f t="shared" si="303"/>
        <v>0</v>
      </c>
      <c r="T831" s="794"/>
      <c r="V831" s="641">
        <f t="shared" si="304"/>
        <v>0</v>
      </c>
      <c r="W831" s="713"/>
      <c r="X831" s="1015"/>
      <c r="Y831" s="675">
        <f t="shared" si="305"/>
        <v>2607220928.4635</v>
      </c>
      <c r="Z831" s="766">
        <v>1.2500000000000001E-2</v>
      </c>
      <c r="AA831" s="675">
        <f t="shared" si="306"/>
        <v>0</v>
      </c>
      <c r="AB831" s="766">
        <v>1.2500000000000001E-2</v>
      </c>
      <c r="AC831" s="675">
        <f t="shared" si="307"/>
        <v>0</v>
      </c>
      <c r="AD831" s="766">
        <v>1.2500000000000001E-2</v>
      </c>
      <c r="AE831" s="675">
        <f t="shared" si="308"/>
        <v>0</v>
      </c>
      <c r="AF831" s="766">
        <v>1.2500000000000001E-2</v>
      </c>
      <c r="AL831" s="489"/>
      <c r="AM831" s="489"/>
      <c r="AN831" s="489"/>
      <c r="AO831" s="489"/>
      <c r="AP831" s="489"/>
      <c r="AQ831" s="489"/>
      <c r="AR831" s="489"/>
      <c r="AS831" s="489"/>
    </row>
    <row r="832" spans="1:45" s="484" customFormat="1" ht="14.5">
      <c r="A832" s="695" t="s">
        <v>1286</v>
      </c>
      <c r="B832" s="647"/>
      <c r="C832" s="644"/>
      <c r="D832" s="644"/>
      <c r="E832" s="493">
        <f t="shared" si="309"/>
        <v>0</v>
      </c>
      <c r="F832" s="763">
        <f t="shared" si="310"/>
        <v>1.2500000000000001E-2</v>
      </c>
      <c r="G832" s="493">
        <f t="shared" si="311"/>
        <v>0</v>
      </c>
      <c r="H832" s="493">
        <f t="shared" si="300"/>
        <v>0</v>
      </c>
      <c r="I832" s="493">
        <f t="shared" si="300"/>
        <v>0</v>
      </c>
      <c r="J832" s="493">
        <f t="shared" si="300"/>
        <v>0</v>
      </c>
      <c r="K832" s="493">
        <f t="shared" si="300"/>
        <v>0</v>
      </c>
      <c r="L832" s="493">
        <f t="shared" si="300"/>
        <v>0</v>
      </c>
      <c r="M832" s="493">
        <f t="shared" si="300"/>
        <v>0</v>
      </c>
      <c r="N832" s="493">
        <f t="shared" si="301"/>
        <v>0</v>
      </c>
      <c r="O832" s="493">
        <f t="shared" si="301"/>
        <v>0</v>
      </c>
      <c r="P832" s="493">
        <f t="shared" si="301"/>
        <v>0</v>
      </c>
      <c r="Q832" s="493">
        <f t="shared" si="300"/>
        <v>0</v>
      </c>
      <c r="R832" s="493">
        <f t="shared" si="302"/>
        <v>0</v>
      </c>
      <c r="S832" s="493">
        <f t="shared" si="303"/>
        <v>0</v>
      </c>
      <c r="T832" s="794"/>
      <c r="V832" s="641">
        <f t="shared" si="304"/>
        <v>0</v>
      </c>
      <c r="W832" s="765"/>
      <c r="X832" s="1016"/>
      <c r="Y832" s="675">
        <f t="shared" si="305"/>
        <v>0</v>
      </c>
      <c r="Z832" s="766">
        <f>1%/1.1</f>
        <v>9.0909090909090905E-3</v>
      </c>
      <c r="AA832" s="675">
        <f t="shared" si="306"/>
        <v>0</v>
      </c>
      <c r="AB832" s="766">
        <f>1%/1.1</f>
        <v>9.0909090909090905E-3</v>
      </c>
      <c r="AC832" s="675">
        <f t="shared" si="307"/>
        <v>0</v>
      </c>
      <c r="AD832" s="766">
        <f>1%/1.1</f>
        <v>9.0909090909090905E-3</v>
      </c>
      <c r="AE832" s="675">
        <f t="shared" si="308"/>
        <v>0</v>
      </c>
      <c r="AF832" s="766">
        <f>1%/1.1</f>
        <v>9.0909090909090905E-3</v>
      </c>
      <c r="AL832" s="489"/>
      <c r="AM832" s="489"/>
      <c r="AN832" s="489"/>
      <c r="AO832" s="489"/>
      <c r="AP832" s="489"/>
      <c r="AQ832" s="489"/>
      <c r="AR832" s="489"/>
      <c r="AS832" s="489"/>
    </row>
    <row r="833" spans="1:45" s="484" customFormat="1">
      <c r="A833" s="695" t="s">
        <v>1287</v>
      </c>
      <c r="B833" s="638"/>
      <c r="C833" s="639"/>
      <c r="D833" s="639"/>
      <c r="E833" s="493">
        <f t="shared" si="309"/>
        <v>0</v>
      </c>
      <c r="F833" s="763">
        <f t="shared" si="310"/>
        <v>1.2500000000000001E-2</v>
      </c>
      <c r="G833" s="493">
        <f t="shared" si="311"/>
        <v>0</v>
      </c>
      <c r="H833" s="493">
        <f t="shared" si="300"/>
        <v>0</v>
      </c>
      <c r="I833" s="493">
        <f t="shared" si="300"/>
        <v>0</v>
      </c>
      <c r="J833" s="493">
        <f t="shared" si="300"/>
        <v>0</v>
      </c>
      <c r="K833" s="493">
        <f t="shared" si="300"/>
        <v>0</v>
      </c>
      <c r="L833" s="493">
        <f t="shared" si="300"/>
        <v>0</v>
      </c>
      <c r="M833" s="493">
        <f t="shared" si="300"/>
        <v>0</v>
      </c>
      <c r="N833" s="493">
        <f t="shared" si="301"/>
        <v>0</v>
      </c>
      <c r="O833" s="493">
        <f t="shared" si="301"/>
        <v>0</v>
      </c>
      <c r="P833" s="493">
        <f t="shared" si="301"/>
        <v>0</v>
      </c>
      <c r="Q833" s="493">
        <f t="shared" si="300"/>
        <v>0</v>
      </c>
      <c r="R833" s="493">
        <f t="shared" si="302"/>
        <v>0</v>
      </c>
      <c r="S833" s="493">
        <f t="shared" si="303"/>
        <v>0</v>
      </c>
      <c r="T833" s="794"/>
      <c r="V833" s="641">
        <f t="shared" si="304"/>
        <v>0</v>
      </c>
      <c r="W833" s="713"/>
      <c r="X833" s="1015"/>
      <c r="Y833" s="675">
        <f t="shared" si="305"/>
        <v>0</v>
      </c>
      <c r="Z833" s="766">
        <v>1.5E-3</v>
      </c>
      <c r="AA833" s="675">
        <f t="shared" si="306"/>
        <v>0</v>
      </c>
      <c r="AB833" s="766">
        <v>1.5E-3</v>
      </c>
      <c r="AC833" s="675">
        <f t="shared" si="307"/>
        <v>0</v>
      </c>
      <c r="AD833" s="766">
        <v>1.5E-3</v>
      </c>
      <c r="AE833" s="675">
        <f t="shared" si="308"/>
        <v>0</v>
      </c>
      <c r="AF833" s="766">
        <v>1.5E-3</v>
      </c>
      <c r="AL833" s="489"/>
      <c r="AM833" s="489"/>
      <c r="AN833" s="489"/>
      <c r="AO833" s="489"/>
      <c r="AP833" s="489"/>
      <c r="AQ833" s="489"/>
      <c r="AR833" s="489"/>
      <c r="AS833" s="489"/>
    </row>
    <row r="834" spans="1:45" s="484" customFormat="1" ht="14.5">
      <c r="A834" s="695" t="s">
        <v>1288</v>
      </c>
      <c r="B834" s="647"/>
      <c r="C834" s="644"/>
      <c r="D834" s="644"/>
      <c r="E834" s="493">
        <f t="shared" si="309"/>
        <v>0</v>
      </c>
      <c r="F834" s="763">
        <f t="shared" si="310"/>
        <v>1.75E-3</v>
      </c>
      <c r="G834" s="493">
        <f t="shared" si="311"/>
        <v>0</v>
      </c>
      <c r="H834" s="493">
        <f t="shared" si="300"/>
        <v>0</v>
      </c>
      <c r="I834" s="493">
        <f t="shared" si="300"/>
        <v>0</v>
      </c>
      <c r="J834" s="493">
        <f t="shared" si="300"/>
        <v>0</v>
      </c>
      <c r="K834" s="493">
        <f t="shared" si="300"/>
        <v>0</v>
      </c>
      <c r="L834" s="493">
        <f t="shared" si="300"/>
        <v>0</v>
      </c>
      <c r="M834" s="493">
        <f t="shared" si="300"/>
        <v>0</v>
      </c>
      <c r="N834" s="493">
        <f t="shared" si="301"/>
        <v>0</v>
      </c>
      <c r="O834" s="493">
        <f t="shared" si="301"/>
        <v>0</v>
      </c>
      <c r="P834" s="493">
        <f t="shared" si="301"/>
        <v>0</v>
      </c>
      <c r="Q834" s="493">
        <f t="shared" si="300"/>
        <v>0</v>
      </c>
      <c r="R834" s="493">
        <f t="shared" si="302"/>
        <v>0</v>
      </c>
      <c r="S834" s="493">
        <f t="shared" si="303"/>
        <v>0</v>
      </c>
      <c r="T834" s="794"/>
      <c r="V834" s="641">
        <f t="shared" si="304"/>
        <v>0</v>
      </c>
      <c r="W834" s="765"/>
      <c r="X834" s="1016"/>
      <c r="Y834" s="675">
        <f t="shared" si="305"/>
        <v>12.606250000000001</v>
      </c>
      <c r="Z834" s="766">
        <v>1.2500000000000001E-2</v>
      </c>
      <c r="AA834" s="675">
        <f t="shared" si="306"/>
        <v>0</v>
      </c>
      <c r="AB834" s="766">
        <v>1.2500000000000001E-2</v>
      </c>
      <c r="AC834" s="675">
        <f t="shared" si="307"/>
        <v>0</v>
      </c>
      <c r="AD834" s="766">
        <v>1.2500000000000001E-2</v>
      </c>
      <c r="AE834" s="675">
        <f t="shared" si="308"/>
        <v>0</v>
      </c>
      <c r="AF834" s="766">
        <v>1.2500000000000001E-2</v>
      </c>
      <c r="AL834" s="489"/>
      <c r="AM834" s="489"/>
      <c r="AN834" s="489"/>
      <c r="AO834" s="489"/>
      <c r="AP834" s="489"/>
      <c r="AQ834" s="489"/>
      <c r="AR834" s="489"/>
      <c r="AS834" s="489"/>
    </row>
    <row r="835" spans="1:45" s="484" customFormat="1">
      <c r="A835" s="695" t="s">
        <v>1289</v>
      </c>
      <c r="B835" s="647"/>
      <c r="C835" s="648"/>
      <c r="D835" s="639"/>
      <c r="E835" s="493">
        <f t="shared" si="309"/>
        <v>0</v>
      </c>
      <c r="F835" s="763">
        <f t="shared" si="310"/>
        <v>1.125E-2</v>
      </c>
      <c r="G835" s="493">
        <f t="shared" si="311"/>
        <v>0</v>
      </c>
      <c r="H835" s="493">
        <f t="shared" si="300"/>
        <v>0</v>
      </c>
      <c r="I835" s="493">
        <f t="shared" si="300"/>
        <v>0</v>
      </c>
      <c r="J835" s="493">
        <f t="shared" si="300"/>
        <v>0</v>
      </c>
      <c r="K835" s="493">
        <f t="shared" si="300"/>
        <v>0</v>
      </c>
      <c r="L835" s="493">
        <f t="shared" si="300"/>
        <v>0</v>
      </c>
      <c r="M835" s="493">
        <f t="shared" si="300"/>
        <v>0</v>
      </c>
      <c r="N835" s="493">
        <f t="shared" si="301"/>
        <v>0</v>
      </c>
      <c r="O835" s="493">
        <f t="shared" si="301"/>
        <v>0</v>
      </c>
      <c r="P835" s="493">
        <f t="shared" si="301"/>
        <v>0</v>
      </c>
      <c r="Q835" s="493">
        <f t="shared" si="300"/>
        <v>0</v>
      </c>
      <c r="R835" s="493">
        <f t="shared" si="302"/>
        <v>0</v>
      </c>
      <c r="S835" s="493">
        <f t="shared" si="303"/>
        <v>0</v>
      </c>
      <c r="T835" s="794"/>
      <c r="V835" s="641">
        <f t="shared" si="304"/>
        <v>0</v>
      </c>
      <c r="W835" s="713"/>
      <c r="X835" s="1015"/>
      <c r="Y835" s="675">
        <f t="shared" si="305"/>
        <v>0</v>
      </c>
      <c r="Z835" s="766">
        <v>3.0000000000000001E-3</v>
      </c>
      <c r="AA835" s="675">
        <f t="shared" si="306"/>
        <v>0</v>
      </c>
      <c r="AB835" s="766">
        <v>3.0000000000000001E-3</v>
      </c>
      <c r="AC835" s="675">
        <f t="shared" si="307"/>
        <v>0</v>
      </c>
      <c r="AD835" s="766">
        <v>3.0000000000000001E-3</v>
      </c>
      <c r="AE835" s="675">
        <f t="shared" si="308"/>
        <v>0</v>
      </c>
      <c r="AF835" s="766">
        <v>3.0000000000000001E-3</v>
      </c>
      <c r="AL835" s="489"/>
      <c r="AM835" s="489"/>
      <c r="AN835" s="489"/>
      <c r="AO835" s="489"/>
      <c r="AP835" s="489"/>
      <c r="AQ835" s="489"/>
      <c r="AR835" s="489"/>
      <c r="AS835" s="489"/>
    </row>
    <row r="836" spans="1:45" s="484" customFormat="1" ht="14.5">
      <c r="A836" s="695" t="s">
        <v>1290</v>
      </c>
      <c r="B836" s="647"/>
      <c r="C836" s="644"/>
      <c r="D836" s="644"/>
      <c r="E836" s="493">
        <f t="shared" si="309"/>
        <v>0</v>
      </c>
      <c r="F836" s="763">
        <f t="shared" si="310"/>
        <v>1.5E-3</v>
      </c>
      <c r="G836" s="493">
        <f t="shared" si="311"/>
        <v>0</v>
      </c>
      <c r="H836" s="493">
        <f t="shared" si="300"/>
        <v>0</v>
      </c>
      <c r="I836" s="493">
        <f t="shared" si="300"/>
        <v>0</v>
      </c>
      <c r="J836" s="493">
        <f t="shared" si="300"/>
        <v>0</v>
      </c>
      <c r="K836" s="493">
        <f t="shared" si="300"/>
        <v>0</v>
      </c>
      <c r="L836" s="493">
        <f t="shared" si="300"/>
        <v>0</v>
      </c>
      <c r="M836" s="493">
        <f t="shared" si="300"/>
        <v>0</v>
      </c>
      <c r="N836" s="493">
        <f t="shared" si="301"/>
        <v>0</v>
      </c>
      <c r="O836" s="493">
        <f t="shared" si="301"/>
        <v>0</v>
      </c>
      <c r="P836" s="493">
        <f t="shared" si="301"/>
        <v>0</v>
      </c>
      <c r="Q836" s="493">
        <f t="shared" si="300"/>
        <v>0</v>
      </c>
      <c r="R836" s="493">
        <f t="shared" si="302"/>
        <v>0</v>
      </c>
      <c r="S836" s="493">
        <f t="shared" si="303"/>
        <v>0</v>
      </c>
      <c r="T836" s="794"/>
      <c r="V836" s="641">
        <f t="shared" si="304"/>
        <v>0</v>
      </c>
      <c r="W836" s="488"/>
      <c r="X836" s="1016"/>
      <c r="Y836" s="675">
        <f t="shared" si="305"/>
        <v>7158360.0000000009</v>
      </c>
      <c r="Z836" s="767">
        <v>6.8000000000000005E-4</v>
      </c>
      <c r="AA836" s="675">
        <f t="shared" si="306"/>
        <v>9370944</v>
      </c>
      <c r="AB836" s="767">
        <v>6.8000000000000005E-4</v>
      </c>
      <c r="AC836" s="675">
        <f t="shared" si="307"/>
        <v>13665959.999999998</v>
      </c>
      <c r="AD836" s="767">
        <v>6.8000000000000005E-4</v>
      </c>
      <c r="AE836" s="675">
        <f t="shared" si="308"/>
        <v>18449046</v>
      </c>
      <c r="AF836" s="767">
        <v>6.8000000000000005E-4</v>
      </c>
      <c r="AL836" s="489"/>
      <c r="AM836" s="489"/>
      <c r="AN836" s="489"/>
      <c r="AO836" s="489"/>
      <c r="AP836" s="489"/>
      <c r="AQ836" s="489"/>
      <c r="AR836" s="489"/>
      <c r="AS836" s="489"/>
    </row>
    <row r="837" spans="1:45" s="484" customFormat="1">
      <c r="A837" s="695" t="s">
        <v>1291</v>
      </c>
      <c r="B837" s="647"/>
      <c r="C837" s="648"/>
      <c r="D837" s="639"/>
      <c r="E837" s="493">
        <f t="shared" si="309"/>
        <v>0</v>
      </c>
      <c r="F837" s="763">
        <f t="shared" si="310"/>
        <v>1.4999999999999999E-2</v>
      </c>
      <c r="G837" s="493">
        <f t="shared" si="311"/>
        <v>0</v>
      </c>
      <c r="H837" s="493">
        <f t="shared" ref="H837:Q852" si="312">(G391+H391)/2*$F837/12</f>
        <v>0</v>
      </c>
      <c r="I837" s="493">
        <f t="shared" si="312"/>
        <v>0</v>
      </c>
      <c r="J837" s="493">
        <f t="shared" si="312"/>
        <v>0</v>
      </c>
      <c r="K837" s="493">
        <f t="shared" si="312"/>
        <v>0</v>
      </c>
      <c r="L837" s="493">
        <f t="shared" si="312"/>
        <v>0</v>
      </c>
      <c r="M837" s="493">
        <f t="shared" si="312"/>
        <v>0</v>
      </c>
      <c r="N837" s="493">
        <f t="shared" si="301"/>
        <v>0</v>
      </c>
      <c r="O837" s="493">
        <f t="shared" si="301"/>
        <v>0</v>
      </c>
      <c r="P837" s="493">
        <f t="shared" si="301"/>
        <v>0</v>
      </c>
      <c r="Q837" s="493">
        <f t="shared" si="312"/>
        <v>0</v>
      </c>
      <c r="R837" s="493">
        <f t="shared" si="302"/>
        <v>0</v>
      </c>
      <c r="S837" s="493">
        <f t="shared" si="303"/>
        <v>0</v>
      </c>
      <c r="T837" s="794"/>
      <c r="V837" s="641">
        <f t="shared" si="304"/>
        <v>0</v>
      </c>
      <c r="W837" s="713"/>
      <c r="X837" s="1015"/>
      <c r="Y837" s="675">
        <f t="shared" si="305"/>
        <v>0</v>
      </c>
      <c r="Z837" s="767">
        <v>7.5000000000000002E-4</v>
      </c>
      <c r="AA837" s="675">
        <f t="shared" si="306"/>
        <v>0</v>
      </c>
      <c r="AB837" s="767">
        <v>7.5000000000000002E-4</v>
      </c>
      <c r="AC837" s="675">
        <f t="shared" si="307"/>
        <v>0</v>
      </c>
      <c r="AD837" s="767">
        <v>7.5000000000000002E-4</v>
      </c>
      <c r="AE837" s="675">
        <f t="shared" si="308"/>
        <v>0</v>
      </c>
      <c r="AF837" s="767">
        <v>7.5000000000000002E-4</v>
      </c>
      <c r="AL837" s="489"/>
      <c r="AM837" s="489"/>
      <c r="AN837" s="489"/>
      <c r="AO837" s="489"/>
      <c r="AP837" s="489"/>
      <c r="AQ837" s="489"/>
      <c r="AR837" s="489"/>
      <c r="AS837" s="489"/>
    </row>
    <row r="838" spans="1:45" s="484" customFormat="1" ht="14.5">
      <c r="A838" s="695" t="s">
        <v>1292</v>
      </c>
      <c r="B838" s="647"/>
      <c r="C838" s="644"/>
      <c r="D838" s="644"/>
      <c r="E838" s="493">
        <f t="shared" si="309"/>
        <v>0</v>
      </c>
      <c r="F838" s="763">
        <f t="shared" si="310"/>
        <v>1.4999999999999999E-2</v>
      </c>
      <c r="G838" s="493">
        <f t="shared" si="311"/>
        <v>0</v>
      </c>
      <c r="H838" s="493">
        <f t="shared" si="312"/>
        <v>0</v>
      </c>
      <c r="I838" s="493">
        <f t="shared" si="312"/>
        <v>0</v>
      </c>
      <c r="J838" s="493">
        <f t="shared" si="312"/>
        <v>0</v>
      </c>
      <c r="K838" s="493">
        <f t="shared" si="312"/>
        <v>0</v>
      </c>
      <c r="L838" s="493">
        <f t="shared" si="312"/>
        <v>0</v>
      </c>
      <c r="M838" s="493">
        <f t="shared" si="312"/>
        <v>0</v>
      </c>
      <c r="N838" s="493">
        <f t="shared" si="301"/>
        <v>0</v>
      </c>
      <c r="O838" s="493">
        <f t="shared" si="301"/>
        <v>0</v>
      </c>
      <c r="P838" s="493">
        <f t="shared" si="301"/>
        <v>0</v>
      </c>
      <c r="Q838" s="493">
        <f t="shared" si="312"/>
        <v>0</v>
      </c>
      <c r="R838" s="493">
        <f t="shared" si="302"/>
        <v>0</v>
      </c>
      <c r="S838" s="493">
        <f t="shared" si="303"/>
        <v>0</v>
      </c>
      <c r="T838" s="794"/>
      <c r="V838" s="641">
        <f t="shared" si="304"/>
        <v>0</v>
      </c>
      <c r="W838" s="488"/>
      <c r="X838" s="1016"/>
      <c r="Y838" s="675">
        <f t="shared" si="305"/>
        <v>0</v>
      </c>
      <c r="Z838" s="767">
        <f>0.3%/1.1</f>
        <v>2.7272727272727271E-3</v>
      </c>
      <c r="AA838" s="675">
        <f t="shared" si="306"/>
        <v>0</v>
      </c>
      <c r="AB838" s="767">
        <f>0.3%/1.1</f>
        <v>2.7272727272727271E-3</v>
      </c>
      <c r="AC838" s="675">
        <f t="shared" si="307"/>
        <v>0</v>
      </c>
      <c r="AD838" s="767">
        <f>0.3%/1.1</f>
        <v>2.7272727272727271E-3</v>
      </c>
      <c r="AE838" s="675">
        <f t="shared" si="308"/>
        <v>0</v>
      </c>
      <c r="AF838" s="767">
        <f>0.3%/1.1</f>
        <v>2.7272727272727271E-3</v>
      </c>
      <c r="AL838" s="489"/>
      <c r="AM838" s="489"/>
      <c r="AN838" s="489"/>
      <c r="AO838" s="489"/>
      <c r="AP838" s="489"/>
      <c r="AQ838" s="489"/>
      <c r="AR838" s="489"/>
      <c r="AS838" s="489"/>
    </row>
    <row r="839" spans="1:45" s="484" customFormat="1" ht="14.5">
      <c r="A839" s="695" t="s">
        <v>1293</v>
      </c>
      <c r="B839" s="647"/>
      <c r="C839" s="644"/>
      <c r="D839" s="644"/>
      <c r="E839" s="493">
        <f t="shared" si="309"/>
        <v>0</v>
      </c>
      <c r="F839" s="763">
        <f t="shared" si="310"/>
        <v>1.4999999999999999E-2</v>
      </c>
      <c r="G839" s="493">
        <f t="shared" si="311"/>
        <v>0</v>
      </c>
      <c r="H839" s="493">
        <f t="shared" si="312"/>
        <v>0</v>
      </c>
      <c r="I839" s="493">
        <f t="shared" si="312"/>
        <v>0</v>
      </c>
      <c r="J839" s="493">
        <f t="shared" si="312"/>
        <v>0</v>
      </c>
      <c r="K839" s="493">
        <f t="shared" si="312"/>
        <v>0</v>
      </c>
      <c r="L839" s="493">
        <f t="shared" si="312"/>
        <v>0</v>
      </c>
      <c r="M839" s="493">
        <f t="shared" si="312"/>
        <v>0</v>
      </c>
      <c r="N839" s="493">
        <f t="shared" si="301"/>
        <v>0</v>
      </c>
      <c r="O839" s="493">
        <f t="shared" si="301"/>
        <v>0</v>
      </c>
      <c r="P839" s="493">
        <f t="shared" si="301"/>
        <v>0</v>
      </c>
      <c r="Q839" s="493">
        <f t="shared" si="312"/>
        <v>0</v>
      </c>
      <c r="R839" s="493">
        <f t="shared" si="302"/>
        <v>0</v>
      </c>
      <c r="S839" s="493">
        <f t="shared" si="303"/>
        <v>0</v>
      </c>
      <c r="T839" s="794"/>
      <c r="V839" s="641">
        <f t="shared" si="304"/>
        <v>0</v>
      </c>
      <c r="W839" s="488"/>
      <c r="X839" s="1016"/>
      <c r="Y839" s="675">
        <f t="shared" si="305"/>
        <v>430649999.99999994</v>
      </c>
      <c r="Z839" s="767">
        <f>0.3%/1.1</f>
        <v>2.7272727272727271E-3</v>
      </c>
      <c r="AA839" s="675">
        <f t="shared" si="306"/>
        <v>563760000</v>
      </c>
      <c r="AB839" s="767">
        <f>0.3%/1.1</f>
        <v>2.7272727272727271E-3</v>
      </c>
      <c r="AC839" s="675">
        <f t="shared" si="307"/>
        <v>822149999.99999976</v>
      </c>
      <c r="AD839" s="767">
        <f>0.3%/1.1</f>
        <v>2.7272727272727271E-3</v>
      </c>
      <c r="AE839" s="675">
        <f t="shared" si="308"/>
        <v>1109902499.9999998</v>
      </c>
      <c r="AF839" s="767">
        <f>0.3%/1.1</f>
        <v>2.7272727272727271E-3</v>
      </c>
      <c r="AL839" s="489"/>
      <c r="AM839" s="489"/>
      <c r="AN839" s="489"/>
      <c r="AO839" s="489"/>
      <c r="AP839" s="489"/>
      <c r="AQ839" s="489"/>
      <c r="AR839" s="489"/>
      <c r="AS839" s="489"/>
    </row>
    <row r="840" spans="1:45" s="484" customFormat="1" ht="14.5">
      <c r="A840" s="695" t="s">
        <v>1294</v>
      </c>
      <c r="B840" s="647"/>
      <c r="C840" s="644"/>
      <c r="D840" s="644"/>
      <c r="E840" s="493">
        <f t="shared" si="309"/>
        <v>0</v>
      </c>
      <c r="F840" s="763">
        <f t="shared" si="310"/>
        <v>6.4999999999999997E-3</v>
      </c>
      <c r="G840" s="493">
        <f t="shared" si="311"/>
        <v>0</v>
      </c>
      <c r="H840" s="493">
        <f t="shared" si="312"/>
        <v>0</v>
      </c>
      <c r="I840" s="493">
        <f t="shared" si="312"/>
        <v>0</v>
      </c>
      <c r="J840" s="493">
        <f t="shared" si="312"/>
        <v>0</v>
      </c>
      <c r="K840" s="493">
        <f t="shared" si="312"/>
        <v>0</v>
      </c>
      <c r="L840" s="493">
        <f t="shared" si="312"/>
        <v>0</v>
      </c>
      <c r="M840" s="493">
        <f t="shared" si="312"/>
        <v>0</v>
      </c>
      <c r="N840" s="493">
        <f t="shared" si="301"/>
        <v>0</v>
      </c>
      <c r="O840" s="493">
        <f t="shared" si="301"/>
        <v>0</v>
      </c>
      <c r="P840" s="493">
        <f t="shared" si="301"/>
        <v>0</v>
      </c>
      <c r="Q840" s="493">
        <f t="shared" si="312"/>
        <v>0</v>
      </c>
      <c r="R840" s="493">
        <f t="shared" si="302"/>
        <v>0</v>
      </c>
      <c r="S840" s="493">
        <f t="shared" si="303"/>
        <v>0</v>
      </c>
      <c r="T840" s="794"/>
      <c r="V840" s="641">
        <f t="shared" si="304"/>
        <v>0</v>
      </c>
      <c r="W840" s="488"/>
      <c r="X840" s="1016"/>
      <c r="Y840" s="675">
        <f t="shared" si="305"/>
        <v>287100000</v>
      </c>
      <c r="Z840" s="767">
        <f>0.3%/1.1</f>
        <v>2.7272727272727271E-3</v>
      </c>
      <c r="AA840" s="675">
        <f t="shared" si="306"/>
        <v>375839999.99999994</v>
      </c>
      <c r="AB840" s="767">
        <f>0.3%/1.1</f>
        <v>2.7272727272727271E-3</v>
      </c>
      <c r="AC840" s="675">
        <f t="shared" si="307"/>
        <v>548100000</v>
      </c>
      <c r="AD840" s="767">
        <f>0.3%/1.1</f>
        <v>2.7272727272727271E-3</v>
      </c>
      <c r="AE840" s="675">
        <f t="shared" si="308"/>
        <v>739935000</v>
      </c>
      <c r="AF840" s="767">
        <f>0.3%/1.1</f>
        <v>2.7272727272727271E-3</v>
      </c>
      <c r="AL840" s="489"/>
      <c r="AM840" s="489"/>
      <c r="AN840" s="489"/>
      <c r="AO840" s="489"/>
      <c r="AP840" s="489"/>
      <c r="AQ840" s="489"/>
      <c r="AR840" s="489"/>
      <c r="AS840" s="489"/>
    </row>
    <row r="841" spans="1:45" s="484" customFormat="1" ht="14.5">
      <c r="A841" s="695" t="s">
        <v>1295</v>
      </c>
      <c r="B841" s="647"/>
      <c r="C841" s="644"/>
      <c r="D841" s="644"/>
      <c r="E841" s="493">
        <f t="shared" si="309"/>
        <v>0</v>
      </c>
      <c r="F841" s="763">
        <f t="shared" si="310"/>
        <v>6.4999999999999997E-3</v>
      </c>
      <c r="G841" s="493">
        <f t="shared" si="311"/>
        <v>0</v>
      </c>
      <c r="H841" s="493">
        <f t="shared" si="312"/>
        <v>0</v>
      </c>
      <c r="I841" s="493">
        <f t="shared" si="312"/>
        <v>0</v>
      </c>
      <c r="J841" s="493">
        <f t="shared" si="312"/>
        <v>0</v>
      </c>
      <c r="K841" s="493">
        <f t="shared" si="312"/>
        <v>0</v>
      </c>
      <c r="L841" s="493">
        <f t="shared" si="312"/>
        <v>0</v>
      </c>
      <c r="M841" s="493">
        <f t="shared" si="312"/>
        <v>0</v>
      </c>
      <c r="N841" s="493">
        <f t="shared" si="312"/>
        <v>0</v>
      </c>
      <c r="O841" s="493">
        <f t="shared" si="312"/>
        <v>0</v>
      </c>
      <c r="P841" s="493">
        <f t="shared" si="312"/>
        <v>0</v>
      </c>
      <c r="Q841" s="493">
        <f t="shared" si="312"/>
        <v>0</v>
      </c>
      <c r="R841" s="493">
        <f t="shared" si="302"/>
        <v>0</v>
      </c>
      <c r="S841" s="493">
        <f t="shared" si="303"/>
        <v>0</v>
      </c>
      <c r="T841" s="794"/>
      <c r="V841" s="641">
        <f t="shared" si="304"/>
        <v>0</v>
      </c>
      <c r="W841" s="488"/>
      <c r="X841" s="1016"/>
      <c r="Y841" s="675"/>
      <c r="Z841" s="767"/>
      <c r="AA841" s="675"/>
      <c r="AB841" s="767"/>
      <c r="AC841" s="675"/>
      <c r="AD841" s="767"/>
      <c r="AE841" s="675"/>
      <c r="AF841" s="767"/>
      <c r="AL841" s="489"/>
      <c r="AM841" s="489"/>
      <c r="AN841" s="489"/>
      <c r="AO841" s="489"/>
      <c r="AP841" s="489"/>
      <c r="AQ841" s="489"/>
      <c r="AR841" s="489"/>
      <c r="AS841" s="489"/>
    </row>
    <row r="842" spans="1:45" s="484" customFormat="1" ht="14.5">
      <c r="A842" s="695" t="s">
        <v>1296</v>
      </c>
      <c r="B842" s="647"/>
      <c r="C842" s="644"/>
      <c r="D842" s="644"/>
      <c r="E842" s="493">
        <f t="shared" si="309"/>
        <v>0</v>
      </c>
      <c r="F842" s="763">
        <f t="shared" si="310"/>
        <v>3.0000000000000001E-3</v>
      </c>
      <c r="G842" s="493">
        <f t="shared" si="311"/>
        <v>0</v>
      </c>
      <c r="H842" s="493">
        <f t="shared" si="312"/>
        <v>0</v>
      </c>
      <c r="I842" s="493">
        <f t="shared" si="312"/>
        <v>0</v>
      </c>
      <c r="J842" s="493">
        <f t="shared" si="312"/>
        <v>0</v>
      </c>
      <c r="K842" s="493">
        <f t="shared" si="312"/>
        <v>0</v>
      </c>
      <c r="L842" s="493">
        <f t="shared" si="312"/>
        <v>0</v>
      </c>
      <c r="M842" s="493">
        <f t="shared" si="312"/>
        <v>0</v>
      </c>
      <c r="N842" s="493">
        <f t="shared" si="312"/>
        <v>0</v>
      </c>
      <c r="O842" s="493">
        <f t="shared" si="312"/>
        <v>0</v>
      </c>
      <c r="P842" s="493">
        <f t="shared" si="312"/>
        <v>0</v>
      </c>
      <c r="Q842" s="493">
        <f t="shared" si="312"/>
        <v>0</v>
      </c>
      <c r="R842" s="493">
        <f t="shared" si="302"/>
        <v>0</v>
      </c>
      <c r="S842" s="493">
        <f t="shared" si="303"/>
        <v>0</v>
      </c>
      <c r="T842" s="794"/>
      <c r="V842" s="641">
        <f t="shared" si="304"/>
        <v>0</v>
      </c>
      <c r="W842" s="488"/>
      <c r="X842" s="1016"/>
      <c r="Y842" s="675"/>
      <c r="Z842" s="767"/>
      <c r="AA842" s="675"/>
      <c r="AB842" s="767"/>
      <c r="AC842" s="675"/>
      <c r="AD842" s="767"/>
      <c r="AE842" s="675"/>
      <c r="AF842" s="767"/>
      <c r="AL842" s="489"/>
      <c r="AM842" s="489"/>
      <c r="AN842" s="489"/>
      <c r="AO842" s="489"/>
      <c r="AP842" s="489"/>
      <c r="AQ842" s="489"/>
      <c r="AR842" s="489"/>
      <c r="AS842" s="489"/>
    </row>
    <row r="843" spans="1:45" s="484" customFormat="1" ht="14.5">
      <c r="A843" s="695" t="s">
        <v>1297</v>
      </c>
      <c r="B843" s="647"/>
      <c r="C843" s="644"/>
      <c r="D843" s="644"/>
      <c r="E843" s="493">
        <f t="shared" si="309"/>
        <v>0</v>
      </c>
      <c r="F843" s="763">
        <f t="shared" si="310"/>
        <v>6.8000000000000005E-4</v>
      </c>
      <c r="G843" s="493">
        <f t="shared" si="311"/>
        <v>0</v>
      </c>
      <c r="H843" s="493">
        <f t="shared" si="312"/>
        <v>0</v>
      </c>
      <c r="I843" s="493">
        <f t="shared" si="312"/>
        <v>0</v>
      </c>
      <c r="J843" s="493">
        <f t="shared" si="312"/>
        <v>0</v>
      </c>
      <c r="K843" s="493">
        <f t="shared" si="312"/>
        <v>0</v>
      </c>
      <c r="L843" s="493">
        <f t="shared" si="312"/>
        <v>0</v>
      </c>
      <c r="M843" s="493">
        <f t="shared" si="312"/>
        <v>0</v>
      </c>
      <c r="N843" s="493">
        <f t="shared" si="312"/>
        <v>0</v>
      </c>
      <c r="O843" s="493">
        <f t="shared" si="312"/>
        <v>0</v>
      </c>
      <c r="P843" s="493">
        <f t="shared" si="312"/>
        <v>0</v>
      </c>
      <c r="Q843" s="493">
        <f t="shared" si="312"/>
        <v>0</v>
      </c>
      <c r="R843" s="493">
        <f t="shared" si="302"/>
        <v>0</v>
      </c>
      <c r="S843" s="493">
        <f t="shared" si="303"/>
        <v>0</v>
      </c>
      <c r="T843" s="794"/>
      <c r="V843" s="641">
        <f t="shared" si="304"/>
        <v>0</v>
      </c>
      <c r="W843" s="488"/>
      <c r="X843" s="1016"/>
      <c r="Y843" s="675"/>
      <c r="Z843" s="767"/>
      <c r="AA843" s="675"/>
      <c r="AB843" s="767"/>
      <c r="AC843" s="675"/>
      <c r="AD843" s="767"/>
      <c r="AE843" s="675"/>
      <c r="AF843" s="767"/>
      <c r="AL843" s="489"/>
      <c r="AM843" s="489"/>
      <c r="AN843" s="489"/>
      <c r="AO843" s="489"/>
      <c r="AP843" s="489"/>
      <c r="AQ843" s="489"/>
      <c r="AR843" s="489"/>
      <c r="AS843" s="489"/>
    </row>
    <row r="844" spans="1:45" s="484" customFormat="1" ht="14.5">
      <c r="A844" s="695" t="s">
        <v>1298</v>
      </c>
      <c r="B844" s="647"/>
      <c r="C844" s="644"/>
      <c r="D844" s="644"/>
      <c r="E844" s="493">
        <f t="shared" si="309"/>
        <v>0</v>
      </c>
      <c r="F844" s="763">
        <f t="shared" si="310"/>
        <v>6.8000000000000005E-4</v>
      </c>
      <c r="G844" s="493">
        <f t="shared" si="311"/>
        <v>0</v>
      </c>
      <c r="H844" s="493">
        <f t="shared" si="312"/>
        <v>0</v>
      </c>
      <c r="I844" s="493">
        <f t="shared" si="312"/>
        <v>0</v>
      </c>
      <c r="J844" s="493">
        <f t="shared" si="312"/>
        <v>0</v>
      </c>
      <c r="K844" s="493">
        <f t="shared" si="312"/>
        <v>0</v>
      </c>
      <c r="L844" s="493">
        <f t="shared" si="312"/>
        <v>0</v>
      </c>
      <c r="M844" s="493">
        <f t="shared" si="312"/>
        <v>0</v>
      </c>
      <c r="N844" s="493">
        <f t="shared" si="312"/>
        <v>0</v>
      </c>
      <c r="O844" s="493">
        <f t="shared" si="312"/>
        <v>0</v>
      </c>
      <c r="P844" s="493">
        <f t="shared" si="312"/>
        <v>0</v>
      </c>
      <c r="Q844" s="493">
        <f t="shared" si="312"/>
        <v>0</v>
      </c>
      <c r="R844" s="493">
        <f t="shared" si="302"/>
        <v>0</v>
      </c>
      <c r="S844" s="493">
        <f t="shared" si="303"/>
        <v>0</v>
      </c>
      <c r="T844" s="794"/>
      <c r="V844" s="641">
        <f t="shared" si="304"/>
        <v>0</v>
      </c>
      <c r="W844" s="488"/>
      <c r="X844" s="1016"/>
      <c r="Y844" s="675"/>
      <c r="Z844" s="767"/>
      <c r="AA844" s="675"/>
      <c r="AB844" s="767"/>
      <c r="AC844" s="675"/>
      <c r="AD844" s="767"/>
      <c r="AE844" s="675"/>
      <c r="AF844" s="767"/>
      <c r="AL844" s="489"/>
      <c r="AM844" s="489"/>
      <c r="AN844" s="489"/>
      <c r="AO844" s="489"/>
      <c r="AP844" s="489"/>
      <c r="AQ844" s="489"/>
      <c r="AR844" s="489"/>
      <c r="AS844" s="489"/>
    </row>
    <row r="845" spans="1:45" s="484" customFormat="1" ht="14.5">
      <c r="A845" s="695" t="s">
        <v>1299</v>
      </c>
      <c r="B845" s="647"/>
      <c r="C845" s="644"/>
      <c r="D845" s="644"/>
      <c r="E845" s="493">
        <f t="shared" si="309"/>
        <v>0</v>
      </c>
      <c r="F845" s="763">
        <f t="shared" si="310"/>
        <v>2.7000000000000001E-3</v>
      </c>
      <c r="G845" s="493">
        <f t="shared" si="311"/>
        <v>0</v>
      </c>
      <c r="H845" s="493">
        <f t="shared" si="312"/>
        <v>0</v>
      </c>
      <c r="I845" s="493">
        <f t="shared" si="312"/>
        <v>0</v>
      </c>
      <c r="J845" s="493">
        <f t="shared" si="312"/>
        <v>0</v>
      </c>
      <c r="K845" s="493">
        <f t="shared" si="312"/>
        <v>0</v>
      </c>
      <c r="L845" s="493">
        <f t="shared" si="312"/>
        <v>0</v>
      </c>
      <c r="M845" s="493">
        <f t="shared" si="312"/>
        <v>0</v>
      </c>
      <c r="N845" s="493">
        <f t="shared" si="312"/>
        <v>0</v>
      </c>
      <c r="O845" s="493">
        <f t="shared" si="312"/>
        <v>0</v>
      </c>
      <c r="P845" s="493">
        <f t="shared" si="312"/>
        <v>0</v>
      </c>
      <c r="Q845" s="493">
        <f t="shared" si="312"/>
        <v>0</v>
      </c>
      <c r="R845" s="493">
        <f t="shared" si="302"/>
        <v>0</v>
      </c>
      <c r="S845" s="493">
        <f t="shared" si="303"/>
        <v>0</v>
      </c>
      <c r="T845" s="794"/>
      <c r="V845" s="641">
        <f t="shared" si="304"/>
        <v>0</v>
      </c>
      <c r="W845" s="488"/>
      <c r="X845" s="1016"/>
      <c r="Y845" s="675"/>
      <c r="Z845" s="767"/>
      <c r="AA845" s="675"/>
      <c r="AB845" s="767"/>
      <c r="AC845" s="675"/>
      <c r="AD845" s="767"/>
      <c r="AE845" s="675"/>
      <c r="AF845" s="767"/>
      <c r="AL845" s="489"/>
      <c r="AM845" s="489"/>
      <c r="AN845" s="489"/>
      <c r="AO845" s="489"/>
      <c r="AP845" s="489"/>
      <c r="AQ845" s="489"/>
      <c r="AR845" s="489"/>
      <c r="AS845" s="489"/>
    </row>
    <row r="846" spans="1:45" s="484" customFormat="1" ht="14.5">
      <c r="A846" s="695" t="s">
        <v>1300</v>
      </c>
      <c r="B846" s="647"/>
      <c r="C846" s="644"/>
      <c r="D846" s="644"/>
      <c r="E846" s="493">
        <f t="shared" si="309"/>
        <v>0</v>
      </c>
      <c r="F846" s="763">
        <f t="shared" si="310"/>
        <v>8.1999999999999998E-4</v>
      </c>
      <c r="G846" s="493">
        <f t="shared" si="311"/>
        <v>0</v>
      </c>
      <c r="H846" s="493">
        <f t="shared" si="312"/>
        <v>0</v>
      </c>
      <c r="I846" s="493">
        <f t="shared" si="312"/>
        <v>0</v>
      </c>
      <c r="J846" s="493">
        <f t="shared" si="312"/>
        <v>0</v>
      </c>
      <c r="K846" s="493">
        <f t="shared" si="312"/>
        <v>0</v>
      </c>
      <c r="L846" s="493">
        <f t="shared" si="312"/>
        <v>0</v>
      </c>
      <c r="M846" s="493">
        <f t="shared" si="312"/>
        <v>0</v>
      </c>
      <c r="N846" s="493">
        <f t="shared" si="312"/>
        <v>0</v>
      </c>
      <c r="O846" s="493">
        <f t="shared" si="312"/>
        <v>0</v>
      </c>
      <c r="P846" s="493">
        <f t="shared" si="312"/>
        <v>0</v>
      </c>
      <c r="Q846" s="493">
        <f t="shared" si="312"/>
        <v>0</v>
      </c>
      <c r="R846" s="493">
        <f t="shared" si="302"/>
        <v>0</v>
      </c>
      <c r="S846" s="493">
        <f t="shared" si="303"/>
        <v>0</v>
      </c>
      <c r="T846" s="794"/>
      <c r="V846" s="641">
        <f t="shared" si="304"/>
        <v>0</v>
      </c>
      <c r="W846" s="488"/>
      <c r="X846" s="1016"/>
      <c r="Y846" s="675"/>
      <c r="Z846" s="767"/>
      <c r="AA846" s="675"/>
      <c r="AB846" s="767"/>
      <c r="AC846" s="675"/>
      <c r="AD846" s="767"/>
      <c r="AE846" s="675"/>
      <c r="AF846" s="767"/>
      <c r="AL846" s="489"/>
      <c r="AM846" s="489"/>
      <c r="AN846" s="489"/>
      <c r="AO846" s="489"/>
      <c r="AP846" s="489"/>
      <c r="AQ846" s="489"/>
      <c r="AR846" s="489"/>
      <c r="AS846" s="489"/>
    </row>
    <row r="847" spans="1:45" s="484" customFormat="1" ht="14.5">
      <c r="A847" s="695" t="s">
        <v>1301</v>
      </c>
      <c r="B847" s="647"/>
      <c r="C847" s="644"/>
      <c r="D847" s="644"/>
      <c r="E847" s="493">
        <f t="shared" si="309"/>
        <v>0</v>
      </c>
      <c r="F847" s="763">
        <f t="shared" si="310"/>
        <v>6.9300000000000004E-3</v>
      </c>
      <c r="G847" s="493">
        <f t="shared" si="311"/>
        <v>0</v>
      </c>
      <c r="H847" s="493">
        <f t="shared" si="312"/>
        <v>0</v>
      </c>
      <c r="I847" s="493">
        <f t="shared" si="312"/>
        <v>0</v>
      </c>
      <c r="J847" s="493">
        <f t="shared" si="312"/>
        <v>0</v>
      </c>
      <c r="K847" s="493">
        <f t="shared" si="312"/>
        <v>0</v>
      </c>
      <c r="L847" s="493">
        <f t="shared" si="312"/>
        <v>0</v>
      </c>
      <c r="M847" s="493">
        <f t="shared" si="312"/>
        <v>0</v>
      </c>
      <c r="N847" s="493">
        <f t="shared" si="312"/>
        <v>0</v>
      </c>
      <c r="O847" s="493">
        <f t="shared" si="312"/>
        <v>0</v>
      </c>
      <c r="P847" s="493">
        <f t="shared" si="312"/>
        <v>0</v>
      </c>
      <c r="Q847" s="493">
        <f t="shared" si="312"/>
        <v>0</v>
      </c>
      <c r="R847" s="493">
        <f t="shared" si="302"/>
        <v>0</v>
      </c>
      <c r="S847" s="493">
        <f t="shared" si="303"/>
        <v>0</v>
      </c>
      <c r="T847" s="794"/>
      <c r="V847" s="641">
        <f t="shared" si="304"/>
        <v>0</v>
      </c>
      <c r="W847" s="488"/>
      <c r="X847" s="1016"/>
      <c r="Y847" s="675"/>
      <c r="Z847" s="767"/>
      <c r="AA847" s="675"/>
      <c r="AB847" s="767"/>
      <c r="AC847" s="675"/>
      <c r="AD847" s="767"/>
      <c r="AE847" s="675"/>
      <c r="AF847" s="767"/>
      <c r="AL847" s="489"/>
      <c r="AM847" s="489"/>
      <c r="AN847" s="489"/>
      <c r="AO847" s="489"/>
      <c r="AP847" s="489"/>
      <c r="AQ847" s="489"/>
      <c r="AR847" s="489"/>
      <c r="AS847" s="489"/>
    </row>
    <row r="848" spans="1:45" s="484" customFormat="1" ht="14.5">
      <c r="A848" s="695" t="s">
        <v>1302</v>
      </c>
      <c r="B848" s="647"/>
      <c r="C848" s="644"/>
      <c r="D848" s="644"/>
      <c r="E848" s="493">
        <f t="shared" si="309"/>
        <v>0</v>
      </c>
      <c r="F848" s="763">
        <f t="shared" si="310"/>
        <v>1.5E-3</v>
      </c>
      <c r="G848" s="493">
        <f t="shared" si="311"/>
        <v>0</v>
      </c>
      <c r="H848" s="493">
        <f t="shared" si="312"/>
        <v>0</v>
      </c>
      <c r="I848" s="493">
        <f t="shared" si="312"/>
        <v>0</v>
      </c>
      <c r="J848" s="493">
        <f t="shared" si="312"/>
        <v>0</v>
      </c>
      <c r="K848" s="493">
        <f t="shared" si="312"/>
        <v>0</v>
      </c>
      <c r="L848" s="493">
        <f t="shared" si="312"/>
        <v>0</v>
      </c>
      <c r="M848" s="493">
        <f t="shared" si="312"/>
        <v>0</v>
      </c>
      <c r="N848" s="493">
        <f t="shared" si="312"/>
        <v>0</v>
      </c>
      <c r="O848" s="493">
        <f t="shared" si="312"/>
        <v>0</v>
      </c>
      <c r="P848" s="493">
        <f t="shared" si="312"/>
        <v>0</v>
      </c>
      <c r="Q848" s="493">
        <f t="shared" si="312"/>
        <v>0</v>
      </c>
      <c r="R848" s="493">
        <f t="shared" si="302"/>
        <v>0</v>
      </c>
      <c r="S848" s="493">
        <f t="shared" si="303"/>
        <v>0</v>
      </c>
      <c r="T848" s="794"/>
      <c r="V848" s="641">
        <f t="shared" si="304"/>
        <v>0</v>
      </c>
      <c r="W848" s="488"/>
      <c r="X848" s="1016"/>
      <c r="Y848" s="675"/>
      <c r="Z848" s="767"/>
      <c r="AA848" s="675"/>
      <c r="AB848" s="767"/>
      <c r="AC848" s="675"/>
      <c r="AD848" s="767"/>
      <c r="AE848" s="675"/>
      <c r="AF848" s="767"/>
      <c r="AL848" s="489"/>
      <c r="AM848" s="489"/>
      <c r="AN848" s="489"/>
      <c r="AO848" s="489"/>
      <c r="AP848" s="489"/>
      <c r="AQ848" s="489"/>
      <c r="AR848" s="489"/>
      <c r="AS848" s="489"/>
    </row>
    <row r="849" spans="1:45" s="484" customFormat="1" ht="14.5">
      <c r="A849" s="695" t="s">
        <v>1303</v>
      </c>
      <c r="B849" s="647"/>
      <c r="C849" s="644"/>
      <c r="D849" s="644"/>
      <c r="E849" s="493">
        <f t="shared" si="309"/>
        <v>0</v>
      </c>
      <c r="F849" s="763">
        <f t="shared" si="310"/>
        <v>1.5E-3</v>
      </c>
      <c r="G849" s="493">
        <f t="shared" si="311"/>
        <v>0</v>
      </c>
      <c r="H849" s="493">
        <f t="shared" si="312"/>
        <v>0</v>
      </c>
      <c r="I849" s="493">
        <f t="shared" si="312"/>
        <v>0</v>
      </c>
      <c r="J849" s="493">
        <f t="shared" si="312"/>
        <v>0</v>
      </c>
      <c r="K849" s="493">
        <f t="shared" si="312"/>
        <v>0</v>
      </c>
      <c r="L849" s="493">
        <f t="shared" si="312"/>
        <v>0</v>
      </c>
      <c r="M849" s="493">
        <f t="shared" si="312"/>
        <v>0</v>
      </c>
      <c r="N849" s="493">
        <f t="shared" si="312"/>
        <v>0</v>
      </c>
      <c r="O849" s="493">
        <f t="shared" si="312"/>
        <v>0</v>
      </c>
      <c r="P849" s="493">
        <f t="shared" si="312"/>
        <v>0</v>
      </c>
      <c r="Q849" s="493">
        <f t="shared" si="312"/>
        <v>0</v>
      </c>
      <c r="R849" s="493">
        <f t="shared" si="302"/>
        <v>0</v>
      </c>
      <c r="S849" s="493">
        <f t="shared" si="303"/>
        <v>0</v>
      </c>
      <c r="T849" s="794"/>
      <c r="V849" s="641">
        <f t="shared" si="304"/>
        <v>0</v>
      </c>
      <c r="W849" s="488"/>
      <c r="X849" s="1016"/>
      <c r="Y849" s="675"/>
      <c r="Z849" s="767"/>
      <c r="AA849" s="675"/>
      <c r="AB849" s="767"/>
      <c r="AC849" s="675"/>
      <c r="AD849" s="767"/>
      <c r="AE849" s="675"/>
      <c r="AF849" s="767"/>
      <c r="AL849" s="489"/>
      <c r="AM849" s="489"/>
      <c r="AN849" s="489"/>
      <c r="AO849" s="489"/>
      <c r="AP849" s="489"/>
      <c r="AQ849" s="489"/>
      <c r="AR849" s="489"/>
      <c r="AS849" s="489"/>
    </row>
    <row r="850" spans="1:45" s="484" customFormat="1" ht="14.5">
      <c r="A850" s="695" t="s">
        <v>1304</v>
      </c>
      <c r="B850" s="647"/>
      <c r="C850" s="644"/>
      <c r="D850" s="644"/>
      <c r="E850" s="493">
        <f t="shared" si="309"/>
        <v>0</v>
      </c>
      <c r="F850" s="763">
        <f t="shared" si="310"/>
        <v>1.5E-3</v>
      </c>
      <c r="G850" s="493">
        <f t="shared" si="311"/>
        <v>0</v>
      </c>
      <c r="H850" s="493">
        <f t="shared" si="312"/>
        <v>0</v>
      </c>
      <c r="I850" s="493">
        <f t="shared" si="312"/>
        <v>0</v>
      </c>
      <c r="J850" s="493">
        <f t="shared" si="312"/>
        <v>0</v>
      </c>
      <c r="K850" s="493">
        <f t="shared" si="312"/>
        <v>0</v>
      </c>
      <c r="L850" s="493">
        <f t="shared" si="312"/>
        <v>0</v>
      </c>
      <c r="M850" s="493">
        <f t="shared" si="312"/>
        <v>0</v>
      </c>
      <c r="N850" s="493">
        <f t="shared" si="312"/>
        <v>0</v>
      </c>
      <c r="O850" s="493">
        <f t="shared" si="312"/>
        <v>0</v>
      </c>
      <c r="P850" s="493">
        <f t="shared" si="312"/>
        <v>0</v>
      </c>
      <c r="Q850" s="493">
        <f t="shared" si="312"/>
        <v>0</v>
      </c>
      <c r="R850" s="493">
        <f t="shared" si="302"/>
        <v>0</v>
      </c>
      <c r="S850" s="493">
        <f t="shared" si="303"/>
        <v>0</v>
      </c>
      <c r="T850" s="794"/>
      <c r="V850" s="641">
        <f t="shared" si="304"/>
        <v>0</v>
      </c>
      <c r="W850" s="488"/>
      <c r="X850" s="1016"/>
      <c r="Y850" s="675"/>
      <c r="Z850" s="767"/>
      <c r="AA850" s="675"/>
      <c r="AB850" s="767"/>
      <c r="AC850" s="675"/>
      <c r="AD850" s="767"/>
      <c r="AE850" s="675"/>
      <c r="AF850" s="767"/>
      <c r="AL850" s="489"/>
      <c r="AM850" s="489"/>
      <c r="AN850" s="489"/>
      <c r="AO850" s="489"/>
      <c r="AP850" s="489"/>
      <c r="AQ850" s="489"/>
      <c r="AR850" s="489"/>
      <c r="AS850" s="489"/>
    </row>
    <row r="851" spans="1:45" s="484" customFormat="1" ht="14.5">
      <c r="A851" s="695" t="s">
        <v>1305</v>
      </c>
      <c r="B851" s="647"/>
      <c r="C851" s="644"/>
      <c r="D851" s="644"/>
      <c r="E851" s="493">
        <f t="shared" si="309"/>
        <v>0</v>
      </c>
      <c r="F851" s="763">
        <f t="shared" si="310"/>
        <v>1.75E-3</v>
      </c>
      <c r="G851" s="493">
        <f t="shared" si="311"/>
        <v>0</v>
      </c>
      <c r="H851" s="493">
        <f t="shared" si="312"/>
        <v>0</v>
      </c>
      <c r="I851" s="493">
        <f t="shared" si="312"/>
        <v>0</v>
      </c>
      <c r="J851" s="493">
        <f t="shared" si="312"/>
        <v>0</v>
      </c>
      <c r="K851" s="493">
        <f t="shared" si="312"/>
        <v>0</v>
      </c>
      <c r="L851" s="493">
        <f t="shared" si="312"/>
        <v>0</v>
      </c>
      <c r="M851" s="493">
        <f t="shared" si="312"/>
        <v>0</v>
      </c>
      <c r="N851" s="493">
        <f t="shared" si="312"/>
        <v>0</v>
      </c>
      <c r="O851" s="493">
        <f t="shared" si="312"/>
        <v>0</v>
      </c>
      <c r="P851" s="493">
        <f t="shared" si="312"/>
        <v>0</v>
      </c>
      <c r="Q851" s="493">
        <f t="shared" si="312"/>
        <v>0</v>
      </c>
      <c r="R851" s="493">
        <f t="shared" si="302"/>
        <v>0</v>
      </c>
      <c r="S851" s="493">
        <f t="shared" si="303"/>
        <v>0</v>
      </c>
      <c r="T851" s="794"/>
      <c r="V851" s="641">
        <f t="shared" si="304"/>
        <v>0</v>
      </c>
      <c r="W851" s="488"/>
      <c r="X851" s="1016"/>
      <c r="Y851" s="675"/>
      <c r="Z851" s="767"/>
      <c r="AA851" s="675"/>
      <c r="AB851" s="767"/>
      <c r="AC851" s="675"/>
      <c r="AD851" s="767"/>
      <c r="AE851" s="675"/>
      <c r="AF851" s="767"/>
      <c r="AL851" s="489"/>
      <c r="AM851" s="489"/>
      <c r="AN851" s="489"/>
      <c r="AO851" s="489"/>
      <c r="AP851" s="489"/>
      <c r="AQ851" s="489"/>
      <c r="AR851" s="489"/>
      <c r="AS851" s="489"/>
    </row>
    <row r="852" spans="1:45" s="484" customFormat="1" ht="14.5">
      <c r="A852" s="695" t="s">
        <v>1306</v>
      </c>
      <c r="B852" s="647"/>
      <c r="C852" s="644"/>
      <c r="D852" s="644"/>
      <c r="E852" s="493">
        <f t="shared" si="309"/>
        <v>0</v>
      </c>
      <c r="F852" s="763">
        <f t="shared" si="310"/>
        <v>6.8999999999999999E-3</v>
      </c>
      <c r="G852" s="493">
        <f t="shared" si="311"/>
        <v>0</v>
      </c>
      <c r="H852" s="493">
        <f t="shared" si="312"/>
        <v>0</v>
      </c>
      <c r="I852" s="493">
        <f t="shared" si="312"/>
        <v>0</v>
      </c>
      <c r="J852" s="493">
        <f t="shared" si="312"/>
        <v>0</v>
      </c>
      <c r="K852" s="493">
        <f t="shared" si="312"/>
        <v>0</v>
      </c>
      <c r="L852" s="493">
        <f t="shared" si="312"/>
        <v>0</v>
      </c>
      <c r="M852" s="493">
        <f t="shared" si="312"/>
        <v>0</v>
      </c>
      <c r="N852" s="493">
        <f t="shared" si="312"/>
        <v>0</v>
      </c>
      <c r="O852" s="493">
        <f t="shared" si="312"/>
        <v>0</v>
      </c>
      <c r="P852" s="493">
        <f t="shared" si="312"/>
        <v>0</v>
      </c>
      <c r="Q852" s="493">
        <f t="shared" si="312"/>
        <v>0</v>
      </c>
      <c r="R852" s="493">
        <f t="shared" si="302"/>
        <v>0</v>
      </c>
      <c r="S852" s="493">
        <f t="shared" si="303"/>
        <v>0</v>
      </c>
      <c r="T852" s="794"/>
      <c r="V852" s="641">
        <f t="shared" si="304"/>
        <v>0</v>
      </c>
      <c r="W852" s="488"/>
      <c r="X852" s="1016"/>
      <c r="Y852" s="675"/>
      <c r="Z852" s="767"/>
      <c r="AA852" s="675"/>
      <c r="AB852" s="767"/>
      <c r="AC852" s="675"/>
      <c r="AD852" s="767"/>
      <c r="AE852" s="675"/>
      <c r="AF852" s="767"/>
      <c r="AL852" s="489"/>
      <c r="AM852" s="489"/>
      <c r="AN852" s="489"/>
      <c r="AO852" s="489"/>
      <c r="AP852" s="489"/>
      <c r="AQ852" s="489"/>
      <c r="AR852" s="489"/>
      <c r="AS852" s="489"/>
    </row>
    <row r="853" spans="1:45" s="484" customFormat="1" ht="14.5">
      <c r="A853" s="695" t="s">
        <v>1307</v>
      </c>
      <c r="B853" s="647"/>
      <c r="C853" s="644"/>
      <c r="D853" s="644"/>
      <c r="E853" s="493">
        <f t="shared" si="309"/>
        <v>0</v>
      </c>
      <c r="F853" s="763">
        <f t="shared" si="310"/>
        <v>1.4999999999999999E-2</v>
      </c>
      <c r="G853" s="493">
        <f t="shared" si="311"/>
        <v>0</v>
      </c>
      <c r="H853" s="493">
        <f t="shared" ref="H853:Q855" si="313">(G407+H407)/2*$F853/12</f>
        <v>0</v>
      </c>
      <c r="I853" s="493">
        <f t="shared" si="313"/>
        <v>0</v>
      </c>
      <c r="J853" s="493">
        <f t="shared" si="313"/>
        <v>0</v>
      </c>
      <c r="K853" s="493">
        <f t="shared" si="313"/>
        <v>0</v>
      </c>
      <c r="L853" s="493">
        <f t="shared" si="313"/>
        <v>0</v>
      </c>
      <c r="M853" s="493">
        <f t="shared" si="313"/>
        <v>0</v>
      </c>
      <c r="N853" s="493">
        <f t="shared" si="313"/>
        <v>0</v>
      </c>
      <c r="O853" s="493">
        <f t="shared" si="313"/>
        <v>0</v>
      </c>
      <c r="P853" s="493">
        <f t="shared" si="313"/>
        <v>0</v>
      </c>
      <c r="Q853" s="493">
        <f t="shared" si="313"/>
        <v>0</v>
      </c>
      <c r="R853" s="493">
        <f t="shared" si="302"/>
        <v>0</v>
      </c>
      <c r="S853" s="493">
        <f t="shared" si="303"/>
        <v>0</v>
      </c>
      <c r="T853" s="794"/>
      <c r="V853" s="641">
        <f t="shared" si="304"/>
        <v>0</v>
      </c>
      <c r="W853" s="488"/>
      <c r="X853" s="1016"/>
      <c r="Y853" s="675"/>
      <c r="Z853" s="767"/>
      <c r="AA853" s="675"/>
      <c r="AB853" s="767"/>
      <c r="AC853" s="675"/>
      <c r="AD853" s="767"/>
      <c r="AE853" s="675"/>
      <c r="AF853" s="767"/>
      <c r="AL853" s="489"/>
      <c r="AM853" s="489"/>
      <c r="AN853" s="489"/>
      <c r="AO853" s="489"/>
      <c r="AP853" s="489"/>
      <c r="AQ853" s="489"/>
      <c r="AR853" s="489"/>
      <c r="AS853" s="489"/>
    </row>
    <row r="854" spans="1:45" s="484" customFormat="1" ht="14.5">
      <c r="A854" s="695" t="s">
        <v>1308</v>
      </c>
      <c r="B854" s="647"/>
      <c r="C854" s="644"/>
      <c r="D854" s="644"/>
      <c r="E854" s="493">
        <f t="shared" si="309"/>
        <v>0</v>
      </c>
      <c r="F854" s="763">
        <f t="shared" si="310"/>
        <v>1.5E-3</v>
      </c>
      <c r="G854" s="493">
        <f t="shared" si="311"/>
        <v>0</v>
      </c>
      <c r="H854" s="493">
        <f t="shared" si="313"/>
        <v>0</v>
      </c>
      <c r="I854" s="493">
        <f t="shared" si="313"/>
        <v>0</v>
      </c>
      <c r="J854" s="493">
        <f t="shared" si="313"/>
        <v>0</v>
      </c>
      <c r="K854" s="493">
        <f t="shared" si="313"/>
        <v>0</v>
      </c>
      <c r="L854" s="493">
        <f t="shared" si="313"/>
        <v>0</v>
      </c>
      <c r="M854" s="493">
        <f t="shared" si="313"/>
        <v>0</v>
      </c>
      <c r="N854" s="493">
        <f t="shared" si="313"/>
        <v>0</v>
      </c>
      <c r="O854" s="493">
        <f t="shared" si="313"/>
        <v>0</v>
      </c>
      <c r="P854" s="493">
        <f t="shared" si="313"/>
        <v>0</v>
      </c>
      <c r="Q854" s="493">
        <f t="shared" si="313"/>
        <v>0</v>
      </c>
      <c r="R854" s="493">
        <f t="shared" si="302"/>
        <v>0</v>
      </c>
      <c r="S854" s="493">
        <f t="shared" si="303"/>
        <v>0</v>
      </c>
      <c r="T854" s="794"/>
      <c r="V854" s="641">
        <f t="shared" si="304"/>
        <v>0</v>
      </c>
      <c r="W854" s="488"/>
      <c r="X854" s="1016"/>
      <c r="Y854" s="675"/>
      <c r="Z854" s="767"/>
      <c r="AA854" s="675"/>
      <c r="AB854" s="767"/>
      <c r="AC854" s="675"/>
      <c r="AD854" s="767"/>
      <c r="AE854" s="675"/>
      <c r="AF854" s="767"/>
      <c r="AL854" s="489"/>
      <c r="AM854" s="489"/>
      <c r="AN854" s="489"/>
      <c r="AO854" s="489"/>
      <c r="AP854" s="489"/>
      <c r="AQ854" s="489"/>
      <c r="AR854" s="489"/>
      <c r="AS854" s="489"/>
    </row>
    <row r="855" spans="1:45" s="484" customFormat="1" ht="14.5">
      <c r="A855" s="695" t="s">
        <v>1309</v>
      </c>
      <c r="B855" s="647"/>
      <c r="C855" s="644"/>
      <c r="D855" s="644"/>
      <c r="E855" s="493">
        <f t="shared" si="309"/>
        <v>0</v>
      </c>
      <c r="F855" s="763">
        <f t="shared" si="310"/>
        <v>8.1799999999999998E-3</v>
      </c>
      <c r="G855" s="493">
        <f t="shared" si="311"/>
        <v>142180447.96554285</v>
      </c>
      <c r="H855" s="493">
        <f t="shared" si="313"/>
        <v>284360895.93108571</v>
      </c>
      <c r="I855" s="493">
        <f t="shared" si="313"/>
        <v>284360895.93108571</v>
      </c>
      <c r="J855" s="493">
        <f t="shared" si="313"/>
        <v>284360895.93108571</v>
      </c>
      <c r="K855" s="493">
        <f t="shared" si="313"/>
        <v>284360895.93108571</v>
      </c>
      <c r="L855" s="493">
        <f t="shared" si="313"/>
        <v>284360895.93108571</v>
      </c>
      <c r="M855" s="493">
        <f t="shared" si="313"/>
        <v>284360895.93108571</v>
      </c>
      <c r="N855" s="493">
        <f t="shared" si="313"/>
        <v>284360895.93108571</v>
      </c>
      <c r="O855" s="493">
        <f t="shared" si="313"/>
        <v>284360895.93108571</v>
      </c>
      <c r="P855" s="493">
        <f t="shared" si="313"/>
        <v>284360895.93108571</v>
      </c>
      <c r="Q855" s="493">
        <f t="shared" si="313"/>
        <v>284360895.93108571</v>
      </c>
      <c r="R855" s="493">
        <f t="shared" si="302"/>
        <v>284360895.93108571</v>
      </c>
      <c r="S855" s="493">
        <f t="shared" si="303"/>
        <v>284360895.93108571</v>
      </c>
      <c r="T855" s="794"/>
      <c r="V855" s="641">
        <f t="shared" si="304"/>
        <v>3412330751.1730275</v>
      </c>
      <c r="W855" s="488"/>
      <c r="X855" s="1016"/>
      <c r="Y855" s="675"/>
      <c r="Z855" s="767"/>
      <c r="AA855" s="675"/>
      <c r="AB855" s="767"/>
      <c r="AC855" s="675"/>
      <c r="AD855" s="767"/>
      <c r="AE855" s="675"/>
      <c r="AF855" s="767"/>
      <c r="AL855" s="489"/>
      <c r="AM855" s="489"/>
      <c r="AN855" s="489"/>
      <c r="AO855" s="489"/>
      <c r="AP855" s="489"/>
      <c r="AQ855" s="489"/>
      <c r="AR855" s="489"/>
      <c r="AS855" s="489"/>
    </row>
    <row r="856" spans="1:45" s="484" customFormat="1" ht="14.5">
      <c r="A856" s="695"/>
      <c r="B856" s="647"/>
      <c r="C856" s="644"/>
      <c r="D856" s="644"/>
      <c r="E856" s="644"/>
      <c r="F856" s="768"/>
      <c r="G856" s="493"/>
      <c r="H856" s="493"/>
      <c r="I856" s="493"/>
      <c r="J856" s="493"/>
      <c r="K856" s="493"/>
      <c r="L856" s="493"/>
      <c r="M856" s="493"/>
      <c r="N856" s="493"/>
      <c r="O856" s="493"/>
      <c r="P856" s="493"/>
      <c r="Q856" s="493"/>
      <c r="R856" s="493"/>
      <c r="S856" s="493"/>
      <c r="T856" s="794"/>
      <c r="V856" s="641">
        <f t="shared" si="304"/>
        <v>0</v>
      </c>
      <c r="W856" s="488"/>
      <c r="X856" s="1016"/>
      <c r="Y856" s="675"/>
      <c r="Z856" s="767"/>
      <c r="AA856" s="675"/>
      <c r="AB856" s="767"/>
      <c r="AC856" s="675"/>
      <c r="AD856" s="767"/>
      <c r="AE856" s="675"/>
      <c r="AF856" s="767"/>
      <c r="AL856" s="489"/>
      <c r="AM856" s="489"/>
      <c r="AN856" s="489"/>
      <c r="AO856" s="489"/>
      <c r="AP856" s="489"/>
      <c r="AQ856" s="489"/>
      <c r="AR856" s="489"/>
      <c r="AS856" s="489"/>
    </row>
    <row r="857" spans="1:45" s="484" customFormat="1">
      <c r="A857" s="490" t="s">
        <v>1343</v>
      </c>
      <c r="B857" s="653"/>
      <c r="C857" s="654"/>
      <c r="D857" s="654">
        <f>SUM(D821:D836)</f>
        <v>0</v>
      </c>
      <c r="E857" s="654">
        <f>SUM(E821:E856)</f>
        <v>0</v>
      </c>
      <c r="F857" s="707"/>
      <c r="G857" s="654">
        <f>SUM(G821:G856)</f>
        <v>142180447.96554285</v>
      </c>
      <c r="H857" s="654">
        <f t="shared" ref="H857:V857" si="314">SUM(H821:H856)</f>
        <v>284360895.93108571</v>
      </c>
      <c r="I857" s="654">
        <f t="shared" si="314"/>
        <v>284360895.93108571</v>
      </c>
      <c r="J857" s="654">
        <f t="shared" si="314"/>
        <v>284360895.93108571</v>
      </c>
      <c r="K857" s="654">
        <f t="shared" si="314"/>
        <v>284360895.93108571</v>
      </c>
      <c r="L857" s="654">
        <f t="shared" si="314"/>
        <v>284360895.93108571</v>
      </c>
      <c r="M857" s="654">
        <f t="shared" si="314"/>
        <v>284360895.93108571</v>
      </c>
      <c r="N857" s="654">
        <f t="shared" si="314"/>
        <v>284360895.93108571</v>
      </c>
      <c r="O857" s="654">
        <f t="shared" si="314"/>
        <v>284360895.93108571</v>
      </c>
      <c r="P857" s="654">
        <f t="shared" si="314"/>
        <v>284360895.93108571</v>
      </c>
      <c r="Q857" s="654">
        <f t="shared" si="314"/>
        <v>284360895.93108571</v>
      </c>
      <c r="R857" s="654">
        <f>SUM(R821:R856)</f>
        <v>284360895.93108571</v>
      </c>
      <c r="S857" s="654">
        <f>SUM(S821:S856)</f>
        <v>284360895.93108571</v>
      </c>
      <c r="T857" s="816"/>
      <c r="V857" s="654">
        <f t="shared" si="314"/>
        <v>3412330751.1730275</v>
      </c>
      <c r="W857" s="708"/>
      <c r="X857" s="1017"/>
      <c r="Y857" s="718">
        <f>SUM(Y821:Y838)</f>
        <v>5221600229.5332499</v>
      </c>
      <c r="Z857" s="708">
        <f>Y857/V857-1</f>
        <v>0.53021515506322636</v>
      </c>
      <c r="AA857" s="718">
        <f>SUM(AA821:AA836)</f>
        <v>9370944</v>
      </c>
      <c r="AB857" s="708">
        <f>+AA857/Y857-1</f>
        <v>-0.99820535016315537</v>
      </c>
      <c r="AC857" s="718">
        <f>SUM(AC821:AC836)</f>
        <v>13665959.999999998</v>
      </c>
      <c r="AD857" s="708">
        <f>+AC857/AA857-1</f>
        <v>0.45833333333333304</v>
      </c>
      <c r="AE857" s="718">
        <f>SUM(AE821:AE836)</f>
        <v>18449046</v>
      </c>
      <c r="AF857" s="708">
        <f>+AE857/AC857-1</f>
        <v>0.35000000000000009</v>
      </c>
      <c r="AL857" s="489"/>
      <c r="AM857" s="489"/>
      <c r="AN857" s="489"/>
      <c r="AO857" s="489"/>
      <c r="AP857" s="489"/>
      <c r="AQ857" s="489"/>
      <c r="AR857" s="489"/>
      <c r="AS857" s="489"/>
    </row>
    <row r="858" spans="1:45" s="484" customFormat="1">
      <c r="A858" s="490"/>
      <c r="B858" s="653"/>
      <c r="C858" s="654"/>
      <c r="D858" s="654"/>
      <c r="E858" s="654"/>
      <c r="F858" s="707"/>
      <c r="G858" s="654"/>
      <c r="H858" s="654"/>
      <c r="I858" s="654"/>
      <c r="J858" s="654"/>
      <c r="K858" s="654"/>
      <c r="L858" s="654"/>
      <c r="M858" s="654"/>
      <c r="N858" s="654"/>
      <c r="O858" s="654"/>
      <c r="P858" s="654"/>
      <c r="Q858" s="654"/>
      <c r="R858" s="654"/>
      <c r="S858" s="654"/>
      <c r="T858" s="816"/>
      <c r="V858" s="654"/>
      <c r="W858" s="708"/>
      <c r="X858" s="1017"/>
      <c r="Y858" s="718"/>
      <c r="Z858" s="708"/>
      <c r="AA858" s="718"/>
      <c r="AB858" s="708"/>
      <c r="AC858" s="718"/>
      <c r="AD858" s="708"/>
      <c r="AE858" s="718"/>
      <c r="AF858" s="708"/>
      <c r="AL858" s="489"/>
      <c r="AM858" s="489"/>
      <c r="AN858" s="489"/>
      <c r="AO858" s="489"/>
      <c r="AP858" s="489"/>
      <c r="AQ858" s="489"/>
      <c r="AR858" s="489"/>
      <c r="AS858" s="489"/>
    </row>
    <row r="859" spans="1:45" s="484" customFormat="1">
      <c r="A859" s="490" t="s">
        <v>1344</v>
      </c>
      <c r="B859" s="633"/>
      <c r="C859" s="634"/>
      <c r="D859" s="689"/>
      <c r="E859" s="689"/>
      <c r="F859" s="691"/>
      <c r="G859" s="690">
        <v>42735</v>
      </c>
      <c r="H859" s="690">
        <v>42736</v>
      </c>
      <c r="I859" s="690">
        <v>42768</v>
      </c>
      <c r="J859" s="690">
        <v>42800</v>
      </c>
      <c r="K859" s="690">
        <v>42832</v>
      </c>
      <c r="L859" s="690">
        <v>42864</v>
      </c>
      <c r="M859" s="690">
        <v>42896</v>
      </c>
      <c r="N859" s="690">
        <v>42928</v>
      </c>
      <c r="O859" s="690">
        <v>42960</v>
      </c>
      <c r="P859" s="690">
        <v>42992</v>
      </c>
      <c r="Q859" s="690">
        <v>43024</v>
      </c>
      <c r="R859" s="690">
        <v>43056</v>
      </c>
      <c r="S859" s="690">
        <v>43088</v>
      </c>
      <c r="T859" s="822"/>
      <c r="V859" s="690" t="s">
        <v>1159</v>
      </c>
      <c r="W859" s="692"/>
      <c r="X859" s="1022"/>
      <c r="Y859" s="693"/>
      <c r="Z859" s="693"/>
      <c r="AA859" s="694"/>
      <c r="AB859" s="694"/>
      <c r="AC859" s="694"/>
      <c r="AD859" s="694"/>
      <c r="AE859" s="694"/>
      <c r="AF859" s="694"/>
      <c r="AL859" s="489"/>
      <c r="AM859" s="489"/>
      <c r="AN859" s="489"/>
      <c r="AO859" s="489"/>
      <c r="AP859" s="489"/>
      <c r="AQ859" s="489"/>
      <c r="AR859" s="489"/>
      <c r="AS859" s="489"/>
    </row>
    <row r="860" spans="1:45" s="484" customFormat="1">
      <c r="A860" s="695" t="s">
        <v>1275</v>
      </c>
      <c r="B860" s="638"/>
      <c r="C860" s="639"/>
      <c r="D860" s="639"/>
      <c r="E860" s="493">
        <f>(0+E415)/2*$F860/12</f>
        <v>0</v>
      </c>
      <c r="F860" s="763">
        <f>+F821</f>
        <v>0.02</v>
      </c>
      <c r="G860" s="493">
        <f>(E415+G415)/2*$F860/12</f>
        <v>0</v>
      </c>
      <c r="H860" s="493">
        <f t="shared" ref="H860:Q875" si="315">(G415+H415)/2*$F860/12</f>
        <v>0</v>
      </c>
      <c r="I860" s="493">
        <f t="shared" si="315"/>
        <v>0</v>
      </c>
      <c r="J860" s="493">
        <f t="shared" si="315"/>
        <v>0</v>
      </c>
      <c r="K860" s="493">
        <f t="shared" si="315"/>
        <v>0</v>
      </c>
      <c r="L860" s="493">
        <f t="shared" si="315"/>
        <v>0</v>
      </c>
      <c r="M860" s="493">
        <f t="shared" si="315"/>
        <v>0</v>
      </c>
      <c r="N860" s="493">
        <f t="shared" ref="N860:P879" si="316">(M415+N415)/2*$F860/12</f>
        <v>0</v>
      </c>
      <c r="O860" s="493">
        <f t="shared" si="316"/>
        <v>0</v>
      </c>
      <c r="P860" s="493">
        <f t="shared" si="316"/>
        <v>0</v>
      </c>
      <c r="Q860" s="493">
        <f t="shared" si="315"/>
        <v>0</v>
      </c>
      <c r="R860" s="493">
        <f t="shared" ref="R860:R894" si="317">(Q415+R415)/2*$F860/12</f>
        <v>0</v>
      </c>
      <c r="S860" s="493">
        <f t="shared" ref="S860:S894" si="318">(R415+S415)/2*$F860/12</f>
        <v>0</v>
      </c>
      <c r="T860" s="794"/>
      <c r="V860" s="641">
        <f t="shared" ref="V860:V895" si="319">SUM(H860:U860)</f>
        <v>0</v>
      </c>
      <c r="W860" s="704"/>
      <c r="X860" s="1015"/>
      <c r="Y860" s="664">
        <f t="shared" ref="Y860:Y879" si="320">(Y439+V439)/2*Z860</f>
        <v>0</v>
      </c>
      <c r="Z860" s="764">
        <v>0.02</v>
      </c>
      <c r="AA860" s="664">
        <f t="shared" ref="AA860:AA879" si="321">(AA439+Y439)/2*AB860</f>
        <v>0</v>
      </c>
      <c r="AB860" s="764">
        <v>0.02</v>
      </c>
      <c r="AC860" s="664">
        <f t="shared" ref="AC860:AC879" si="322">(AC439+AA439)/2*AD860</f>
        <v>0</v>
      </c>
      <c r="AD860" s="764">
        <v>0.02</v>
      </c>
      <c r="AE860" s="664">
        <f t="shared" ref="AE860:AE879" si="323">(AE439+AC439)/2*AF860</f>
        <v>0</v>
      </c>
      <c r="AF860" s="764">
        <v>0.02</v>
      </c>
      <c r="AL860" s="489"/>
      <c r="AM860" s="489"/>
      <c r="AN860" s="489"/>
      <c r="AO860" s="489"/>
      <c r="AP860" s="489"/>
      <c r="AQ860" s="489"/>
      <c r="AR860" s="489"/>
      <c r="AS860" s="489"/>
    </row>
    <row r="861" spans="1:45" s="484" customFormat="1" ht="14.5">
      <c r="A861" s="695" t="s">
        <v>1276</v>
      </c>
      <c r="B861" s="647"/>
      <c r="C861" s="644"/>
      <c r="D861" s="644"/>
      <c r="E861" s="493">
        <f t="shared" ref="E861:E894" si="324">(0+E416)/2*$F861/12</f>
        <v>0</v>
      </c>
      <c r="F861" s="763">
        <f t="shared" ref="F861:F894" si="325">+F822</f>
        <v>1.2500000000000001E-2</v>
      </c>
      <c r="G861" s="493">
        <f t="shared" ref="G861:G894" si="326">(E416+G416)/2*$F861/12</f>
        <v>0</v>
      </c>
      <c r="H861" s="493">
        <f t="shared" si="315"/>
        <v>498437.5</v>
      </c>
      <c r="I861" s="493">
        <f t="shared" si="315"/>
        <v>1495312.5</v>
      </c>
      <c r="J861" s="493">
        <f t="shared" si="315"/>
        <v>2492187.5</v>
      </c>
      <c r="K861" s="493">
        <f t="shared" si="315"/>
        <v>3489062.5</v>
      </c>
      <c r="L861" s="493">
        <f t="shared" si="315"/>
        <v>4485937.5</v>
      </c>
      <c r="M861" s="493">
        <f t="shared" si="315"/>
        <v>5482812.5</v>
      </c>
      <c r="N861" s="493">
        <f t="shared" si="316"/>
        <v>6396614.583333333</v>
      </c>
      <c r="O861" s="493">
        <f t="shared" si="316"/>
        <v>7227343.75</v>
      </c>
      <c r="P861" s="493">
        <f t="shared" si="316"/>
        <v>8058072.916666667</v>
      </c>
      <c r="Q861" s="493">
        <f t="shared" si="315"/>
        <v>8722656.25</v>
      </c>
      <c r="R861" s="493">
        <f t="shared" si="317"/>
        <v>9221093.75</v>
      </c>
      <c r="S861" s="493">
        <f t="shared" si="318"/>
        <v>9719531.25</v>
      </c>
      <c r="T861" s="794"/>
      <c r="V861" s="641">
        <f t="shared" si="319"/>
        <v>67289062.5</v>
      </c>
      <c r="W861" s="765"/>
      <c r="X861" s="1016"/>
      <c r="Y861" s="675">
        <f t="shared" si="320"/>
        <v>0</v>
      </c>
      <c r="Z861" s="766">
        <v>0.02</v>
      </c>
      <c r="AA861" s="675">
        <f t="shared" si="321"/>
        <v>0</v>
      </c>
      <c r="AB861" s="766">
        <v>0.02</v>
      </c>
      <c r="AC861" s="675">
        <f t="shared" si="322"/>
        <v>0</v>
      </c>
      <c r="AD861" s="766">
        <v>0.02</v>
      </c>
      <c r="AE861" s="675">
        <f t="shared" si="323"/>
        <v>0</v>
      </c>
      <c r="AF861" s="766">
        <v>0.02</v>
      </c>
      <c r="AL861" s="489"/>
      <c r="AM861" s="489"/>
      <c r="AN861" s="489"/>
      <c r="AO861" s="489"/>
      <c r="AP861" s="489"/>
      <c r="AQ861" s="489"/>
      <c r="AR861" s="489"/>
      <c r="AS861" s="489"/>
    </row>
    <row r="862" spans="1:45" s="484" customFormat="1">
      <c r="A862" s="695" t="s">
        <v>1277</v>
      </c>
      <c r="B862" s="638"/>
      <c r="C862" s="639"/>
      <c r="D862" s="639"/>
      <c r="E862" s="493">
        <f t="shared" si="324"/>
        <v>0</v>
      </c>
      <c r="F862" s="763">
        <f t="shared" si="325"/>
        <v>1.2500000000000001E-2</v>
      </c>
      <c r="G862" s="493">
        <f t="shared" si="326"/>
        <v>0</v>
      </c>
      <c r="H862" s="493">
        <f t="shared" si="315"/>
        <v>0</v>
      </c>
      <c r="I862" s="493">
        <f t="shared" si="315"/>
        <v>0</v>
      </c>
      <c r="J862" s="493">
        <f t="shared" si="315"/>
        <v>0</v>
      </c>
      <c r="K862" s="493">
        <f t="shared" si="315"/>
        <v>0</v>
      </c>
      <c r="L862" s="493">
        <f t="shared" si="315"/>
        <v>0</v>
      </c>
      <c r="M862" s="493">
        <f t="shared" si="315"/>
        <v>0</v>
      </c>
      <c r="N862" s="493">
        <f t="shared" si="316"/>
        <v>0</v>
      </c>
      <c r="O862" s="493">
        <f t="shared" si="316"/>
        <v>0</v>
      </c>
      <c r="P862" s="493">
        <f t="shared" si="316"/>
        <v>0</v>
      </c>
      <c r="Q862" s="493">
        <f t="shared" si="315"/>
        <v>0</v>
      </c>
      <c r="R862" s="493">
        <f t="shared" si="317"/>
        <v>0</v>
      </c>
      <c r="S862" s="493">
        <f t="shared" si="318"/>
        <v>0</v>
      </c>
      <c r="T862" s="794"/>
      <c r="V862" s="641">
        <f t="shared" si="319"/>
        <v>0</v>
      </c>
      <c r="W862" s="713"/>
      <c r="X862" s="1015"/>
      <c r="Y862" s="675">
        <f t="shared" si="320"/>
        <v>0</v>
      </c>
      <c r="Z862" s="766">
        <v>1.2500000000000001E-2</v>
      </c>
      <c r="AA862" s="675">
        <f t="shared" si="321"/>
        <v>0</v>
      </c>
      <c r="AB862" s="766">
        <v>1.2500000000000001E-2</v>
      </c>
      <c r="AC862" s="675">
        <f t="shared" si="322"/>
        <v>0</v>
      </c>
      <c r="AD862" s="766">
        <v>1.2500000000000001E-2</v>
      </c>
      <c r="AE862" s="675">
        <f t="shared" si="323"/>
        <v>0</v>
      </c>
      <c r="AF862" s="766">
        <v>1.2500000000000001E-2</v>
      </c>
      <c r="AL862" s="489"/>
      <c r="AM862" s="489"/>
      <c r="AN862" s="489"/>
      <c r="AO862" s="489"/>
      <c r="AP862" s="489"/>
      <c r="AQ862" s="489"/>
      <c r="AR862" s="489"/>
      <c r="AS862" s="489"/>
    </row>
    <row r="863" spans="1:45" s="484" customFormat="1" ht="14.5">
      <c r="A863" s="695" t="s">
        <v>1278</v>
      </c>
      <c r="B863" s="647"/>
      <c r="C863" s="644"/>
      <c r="D863" s="644"/>
      <c r="E863" s="493">
        <f t="shared" si="324"/>
        <v>0</v>
      </c>
      <c r="F863" s="763">
        <f t="shared" si="325"/>
        <v>1.2500000000000001E-2</v>
      </c>
      <c r="G863" s="493">
        <f t="shared" si="326"/>
        <v>0</v>
      </c>
      <c r="H863" s="493">
        <f t="shared" si="315"/>
        <v>0</v>
      </c>
      <c r="I863" s="493">
        <f t="shared" si="315"/>
        <v>0</v>
      </c>
      <c r="J863" s="493">
        <f t="shared" si="315"/>
        <v>0</v>
      </c>
      <c r="K863" s="493">
        <f t="shared" si="315"/>
        <v>0</v>
      </c>
      <c r="L863" s="493">
        <f t="shared" si="315"/>
        <v>0</v>
      </c>
      <c r="M863" s="493">
        <f t="shared" si="315"/>
        <v>0</v>
      </c>
      <c r="N863" s="493">
        <f t="shared" si="316"/>
        <v>0</v>
      </c>
      <c r="O863" s="493">
        <f t="shared" si="316"/>
        <v>0</v>
      </c>
      <c r="P863" s="493">
        <f t="shared" si="316"/>
        <v>0</v>
      </c>
      <c r="Q863" s="493">
        <f t="shared" si="315"/>
        <v>0</v>
      </c>
      <c r="R863" s="493">
        <f t="shared" si="317"/>
        <v>0</v>
      </c>
      <c r="S863" s="493">
        <f t="shared" si="318"/>
        <v>0</v>
      </c>
      <c r="T863" s="794"/>
      <c r="V863" s="641">
        <f t="shared" si="319"/>
        <v>0</v>
      </c>
      <c r="W863" s="765"/>
      <c r="X863" s="1016"/>
      <c r="Y863" s="675">
        <f t="shared" si="320"/>
        <v>0</v>
      </c>
      <c r="Z863" s="766">
        <v>1.2500000000000001E-2</v>
      </c>
      <c r="AA863" s="675">
        <f t="shared" si="321"/>
        <v>0</v>
      </c>
      <c r="AB863" s="766">
        <v>1.2500000000000001E-2</v>
      </c>
      <c r="AC863" s="675">
        <f t="shared" si="322"/>
        <v>0</v>
      </c>
      <c r="AD863" s="766">
        <v>1.2500000000000001E-2</v>
      </c>
      <c r="AE863" s="675">
        <f t="shared" si="323"/>
        <v>0</v>
      </c>
      <c r="AF863" s="766">
        <v>1.2500000000000001E-2</v>
      </c>
      <c r="AL863" s="489"/>
      <c r="AM863" s="489"/>
      <c r="AN863" s="489"/>
      <c r="AO863" s="489"/>
      <c r="AP863" s="489"/>
      <c r="AQ863" s="489"/>
      <c r="AR863" s="489"/>
      <c r="AS863" s="489"/>
    </row>
    <row r="864" spans="1:45" s="484" customFormat="1">
      <c r="A864" s="695" t="s">
        <v>1279</v>
      </c>
      <c r="B864" s="638"/>
      <c r="C864" s="639"/>
      <c r="D864" s="639"/>
      <c r="E864" s="493">
        <f t="shared" si="324"/>
        <v>0</v>
      </c>
      <c r="F864" s="763">
        <f t="shared" si="325"/>
        <v>0.03</v>
      </c>
      <c r="G864" s="493">
        <f t="shared" si="326"/>
        <v>0</v>
      </c>
      <c r="H864" s="493">
        <f t="shared" si="315"/>
        <v>17943750</v>
      </c>
      <c r="I864" s="493">
        <f t="shared" si="315"/>
        <v>53831250</v>
      </c>
      <c r="J864" s="493">
        <f t="shared" si="315"/>
        <v>89718750</v>
      </c>
      <c r="K864" s="493">
        <f t="shared" si="315"/>
        <v>125606250</v>
      </c>
      <c r="L864" s="493">
        <f t="shared" si="315"/>
        <v>161493750</v>
      </c>
      <c r="M864" s="493">
        <f t="shared" si="315"/>
        <v>197381250</v>
      </c>
      <c r="N864" s="493">
        <f t="shared" si="316"/>
        <v>230278125</v>
      </c>
      <c r="O864" s="493">
        <f t="shared" si="316"/>
        <v>260184375</v>
      </c>
      <c r="P864" s="493">
        <f t="shared" si="316"/>
        <v>290090625</v>
      </c>
      <c r="Q864" s="493">
        <f t="shared" si="315"/>
        <v>314015625</v>
      </c>
      <c r="R864" s="493">
        <f t="shared" si="317"/>
        <v>331959375</v>
      </c>
      <c r="S864" s="493">
        <f t="shared" si="318"/>
        <v>349903125</v>
      </c>
      <c r="T864" s="794"/>
      <c r="V864" s="641">
        <f t="shared" si="319"/>
        <v>2422406250</v>
      </c>
      <c r="W864" s="713"/>
      <c r="X864" s="1015"/>
      <c r="Y864" s="675">
        <f t="shared" si="320"/>
        <v>0</v>
      </c>
      <c r="Z864" s="766">
        <f>1%/1.1</f>
        <v>9.0909090909090905E-3</v>
      </c>
      <c r="AA864" s="675">
        <f t="shared" si="321"/>
        <v>0</v>
      </c>
      <c r="AB864" s="766">
        <f>1%/1.1</f>
        <v>9.0909090909090905E-3</v>
      </c>
      <c r="AC864" s="675">
        <f t="shared" si="322"/>
        <v>0</v>
      </c>
      <c r="AD864" s="766">
        <f>1%/1.1</f>
        <v>9.0909090909090905E-3</v>
      </c>
      <c r="AE864" s="675">
        <f t="shared" si="323"/>
        <v>0</v>
      </c>
      <c r="AF864" s="766">
        <f>1%/1.1</f>
        <v>9.0909090909090905E-3</v>
      </c>
      <c r="AL864" s="489"/>
      <c r="AM864" s="489"/>
      <c r="AN864" s="489"/>
      <c r="AO864" s="489"/>
      <c r="AP864" s="489"/>
      <c r="AQ864" s="489"/>
      <c r="AR864" s="489"/>
      <c r="AS864" s="489"/>
    </row>
    <row r="865" spans="1:45" s="484" customFormat="1" ht="14.5">
      <c r="A865" s="695" t="s">
        <v>1280</v>
      </c>
      <c r="B865" s="647"/>
      <c r="C865" s="644"/>
      <c r="D865" s="644"/>
      <c r="E865" s="493">
        <f t="shared" si="324"/>
        <v>0</v>
      </c>
      <c r="F865" s="763">
        <f t="shared" si="325"/>
        <v>1.2500000000000001E-2</v>
      </c>
      <c r="G865" s="493">
        <f t="shared" si="326"/>
        <v>0</v>
      </c>
      <c r="H865" s="493">
        <f t="shared" si="315"/>
        <v>4984375</v>
      </c>
      <c r="I865" s="493">
        <f t="shared" si="315"/>
        <v>14953125</v>
      </c>
      <c r="J865" s="493">
        <f t="shared" si="315"/>
        <v>24921875</v>
      </c>
      <c r="K865" s="493">
        <f t="shared" si="315"/>
        <v>34890625</v>
      </c>
      <c r="L865" s="493">
        <f t="shared" si="315"/>
        <v>44859375</v>
      </c>
      <c r="M865" s="493">
        <f t="shared" si="315"/>
        <v>54828125</v>
      </c>
      <c r="N865" s="493">
        <f t="shared" si="316"/>
        <v>63966145.833333336</v>
      </c>
      <c r="O865" s="493">
        <f t="shared" si="316"/>
        <v>72273437.5</v>
      </c>
      <c r="P865" s="493">
        <f t="shared" si="316"/>
        <v>80580729.166666672</v>
      </c>
      <c r="Q865" s="493">
        <f t="shared" si="315"/>
        <v>87226562.5</v>
      </c>
      <c r="R865" s="493">
        <f t="shared" si="317"/>
        <v>92210937.5</v>
      </c>
      <c r="S865" s="493">
        <f t="shared" si="318"/>
        <v>97195312.5</v>
      </c>
      <c r="T865" s="794"/>
      <c r="V865" s="641">
        <f t="shared" si="319"/>
        <v>672890625</v>
      </c>
      <c r="W865" s="765"/>
      <c r="X865" s="1016"/>
      <c r="Y865" s="675">
        <f t="shared" si="320"/>
        <v>0</v>
      </c>
      <c r="Z865" s="766">
        <v>1.2500000000000001E-2</v>
      </c>
      <c r="AA865" s="675">
        <f t="shared" si="321"/>
        <v>0</v>
      </c>
      <c r="AB865" s="766">
        <v>1.2500000000000001E-2</v>
      </c>
      <c r="AC865" s="675">
        <f t="shared" si="322"/>
        <v>0</v>
      </c>
      <c r="AD865" s="766">
        <v>1.2500000000000001E-2</v>
      </c>
      <c r="AE865" s="675">
        <f t="shared" si="323"/>
        <v>0</v>
      </c>
      <c r="AF865" s="766">
        <v>1.2500000000000001E-2</v>
      </c>
      <c r="AL865" s="489"/>
      <c r="AM865" s="489"/>
      <c r="AN865" s="489"/>
      <c r="AO865" s="489"/>
      <c r="AP865" s="489"/>
      <c r="AQ865" s="489"/>
      <c r="AR865" s="489"/>
      <c r="AS865" s="489"/>
    </row>
    <row r="866" spans="1:45" s="484" customFormat="1">
      <c r="A866" s="695" t="s">
        <v>1281</v>
      </c>
      <c r="B866" s="638"/>
      <c r="C866" s="639"/>
      <c r="D866" s="639"/>
      <c r="E866" s="493">
        <f t="shared" si="324"/>
        <v>0</v>
      </c>
      <c r="F866" s="763">
        <f t="shared" si="325"/>
        <v>8.9999999999999993E-3</v>
      </c>
      <c r="G866" s="493">
        <f t="shared" si="326"/>
        <v>0</v>
      </c>
      <c r="H866" s="493">
        <f t="shared" si="315"/>
        <v>358875</v>
      </c>
      <c r="I866" s="493">
        <f t="shared" si="315"/>
        <v>1076624.9999999998</v>
      </c>
      <c r="J866" s="493">
        <f t="shared" si="315"/>
        <v>1794375</v>
      </c>
      <c r="K866" s="493">
        <f t="shared" si="315"/>
        <v>2512124.9999999995</v>
      </c>
      <c r="L866" s="493">
        <f t="shared" si="315"/>
        <v>3229875</v>
      </c>
      <c r="M866" s="493">
        <f t="shared" si="315"/>
        <v>3947625</v>
      </c>
      <c r="N866" s="493">
        <f t="shared" si="316"/>
        <v>4605562.4999999991</v>
      </c>
      <c r="O866" s="493">
        <f t="shared" si="316"/>
        <v>5203687.4999999991</v>
      </c>
      <c r="P866" s="493">
        <f t="shared" si="316"/>
        <v>5801812.5</v>
      </c>
      <c r="Q866" s="493">
        <f t="shared" si="315"/>
        <v>6280312.5</v>
      </c>
      <c r="R866" s="493">
        <f t="shared" si="317"/>
        <v>6639187.5</v>
      </c>
      <c r="S866" s="493">
        <f t="shared" si="318"/>
        <v>6998062.5</v>
      </c>
      <c r="T866" s="794"/>
      <c r="V866" s="641">
        <f t="shared" si="319"/>
        <v>48448125</v>
      </c>
      <c r="W866" s="713"/>
      <c r="X866" s="1015"/>
      <c r="Y866" s="675">
        <f t="shared" si="320"/>
        <v>0</v>
      </c>
      <c r="Z866" s="766">
        <v>1.2500000000000001E-2</v>
      </c>
      <c r="AA866" s="675">
        <f t="shared" si="321"/>
        <v>0</v>
      </c>
      <c r="AB866" s="766">
        <v>1.2500000000000001E-2</v>
      </c>
      <c r="AC866" s="675">
        <f t="shared" si="322"/>
        <v>0</v>
      </c>
      <c r="AD866" s="766">
        <v>1.2500000000000001E-2</v>
      </c>
      <c r="AE866" s="675">
        <f t="shared" si="323"/>
        <v>0</v>
      </c>
      <c r="AF866" s="766">
        <v>1.2500000000000001E-2</v>
      </c>
      <c r="AL866" s="489"/>
      <c r="AM866" s="489"/>
      <c r="AN866" s="489"/>
      <c r="AO866" s="489"/>
      <c r="AP866" s="489"/>
      <c r="AQ866" s="489"/>
      <c r="AR866" s="489"/>
      <c r="AS866" s="489"/>
    </row>
    <row r="867" spans="1:45" s="484" customFormat="1" ht="14.5">
      <c r="A867" s="695" t="s">
        <v>1282</v>
      </c>
      <c r="B867" s="647"/>
      <c r="C867" s="644"/>
      <c r="D867" s="644"/>
      <c r="E867" s="493">
        <f t="shared" si="324"/>
        <v>0</v>
      </c>
      <c r="F867" s="763">
        <f t="shared" si="325"/>
        <v>0</v>
      </c>
      <c r="G867" s="493">
        <f t="shared" si="326"/>
        <v>0</v>
      </c>
      <c r="H867" s="493">
        <f t="shared" si="315"/>
        <v>0</v>
      </c>
      <c r="I867" s="493">
        <f t="shared" si="315"/>
        <v>0</v>
      </c>
      <c r="J867" s="493">
        <f t="shared" si="315"/>
        <v>0</v>
      </c>
      <c r="K867" s="493">
        <f t="shared" si="315"/>
        <v>0</v>
      </c>
      <c r="L867" s="493">
        <f t="shared" si="315"/>
        <v>0</v>
      </c>
      <c r="M867" s="493">
        <f t="shared" si="315"/>
        <v>0</v>
      </c>
      <c r="N867" s="493">
        <f t="shared" si="316"/>
        <v>0</v>
      </c>
      <c r="O867" s="493">
        <f t="shared" si="316"/>
        <v>0</v>
      </c>
      <c r="P867" s="493">
        <f t="shared" si="316"/>
        <v>0</v>
      </c>
      <c r="Q867" s="493">
        <f t="shared" si="315"/>
        <v>0</v>
      </c>
      <c r="R867" s="493">
        <f t="shared" si="317"/>
        <v>0</v>
      </c>
      <c r="S867" s="493">
        <f t="shared" si="318"/>
        <v>0</v>
      </c>
      <c r="T867" s="794"/>
      <c r="V867" s="641">
        <f t="shared" si="319"/>
        <v>0</v>
      </c>
      <c r="W867" s="765"/>
      <c r="X867" s="1016"/>
      <c r="Y867" s="675">
        <f t="shared" si="320"/>
        <v>0</v>
      </c>
      <c r="Z867" s="766">
        <v>1.2500000000000001E-2</v>
      </c>
      <c r="AA867" s="675">
        <f t="shared" si="321"/>
        <v>0</v>
      </c>
      <c r="AB867" s="766">
        <v>1.2500000000000001E-2</v>
      </c>
      <c r="AC867" s="675">
        <f t="shared" si="322"/>
        <v>0</v>
      </c>
      <c r="AD867" s="766">
        <v>1.2500000000000001E-2</v>
      </c>
      <c r="AE867" s="675">
        <f t="shared" si="323"/>
        <v>0</v>
      </c>
      <c r="AF867" s="766">
        <v>1.2500000000000001E-2</v>
      </c>
      <c r="AL867" s="489"/>
      <c r="AM867" s="489"/>
      <c r="AN867" s="489"/>
      <c r="AO867" s="489"/>
      <c r="AP867" s="489"/>
      <c r="AQ867" s="489"/>
      <c r="AR867" s="489"/>
      <c r="AS867" s="489"/>
    </row>
    <row r="868" spans="1:45" s="484" customFormat="1">
      <c r="A868" s="695" t="s">
        <v>1283</v>
      </c>
      <c r="B868" s="638"/>
      <c r="C868" s="639"/>
      <c r="D868" s="639"/>
      <c r="E868" s="493">
        <f t="shared" si="324"/>
        <v>0</v>
      </c>
      <c r="F868" s="763">
        <f t="shared" si="325"/>
        <v>0</v>
      </c>
      <c r="G868" s="493">
        <f t="shared" si="326"/>
        <v>0</v>
      </c>
      <c r="H868" s="493">
        <f t="shared" si="315"/>
        <v>0</v>
      </c>
      <c r="I868" s="493">
        <f t="shared" si="315"/>
        <v>0</v>
      </c>
      <c r="J868" s="493">
        <f t="shared" si="315"/>
        <v>0</v>
      </c>
      <c r="K868" s="493">
        <f t="shared" si="315"/>
        <v>0</v>
      </c>
      <c r="L868" s="493">
        <f t="shared" si="315"/>
        <v>0</v>
      </c>
      <c r="M868" s="493">
        <f t="shared" si="315"/>
        <v>0</v>
      </c>
      <c r="N868" s="493">
        <f t="shared" si="316"/>
        <v>0</v>
      </c>
      <c r="O868" s="493">
        <f t="shared" si="316"/>
        <v>0</v>
      </c>
      <c r="P868" s="493">
        <f t="shared" si="316"/>
        <v>0</v>
      </c>
      <c r="Q868" s="493">
        <f t="shared" si="315"/>
        <v>0</v>
      </c>
      <c r="R868" s="493">
        <f t="shared" si="317"/>
        <v>0</v>
      </c>
      <c r="S868" s="493">
        <f t="shared" si="318"/>
        <v>0</v>
      </c>
      <c r="T868" s="794"/>
      <c r="V868" s="641">
        <f t="shared" si="319"/>
        <v>0</v>
      </c>
      <c r="W868" s="713"/>
      <c r="X868" s="1015"/>
      <c r="Y868" s="675">
        <f t="shared" si="320"/>
        <v>0</v>
      </c>
      <c r="Z868" s="766">
        <v>1.2500000000000001E-2</v>
      </c>
      <c r="AA868" s="675">
        <f t="shared" si="321"/>
        <v>0</v>
      </c>
      <c r="AB868" s="766">
        <v>1.2500000000000001E-2</v>
      </c>
      <c r="AC868" s="675">
        <f t="shared" si="322"/>
        <v>0</v>
      </c>
      <c r="AD868" s="766">
        <v>1.2500000000000001E-2</v>
      </c>
      <c r="AE868" s="675">
        <f t="shared" si="323"/>
        <v>0</v>
      </c>
      <c r="AF868" s="766">
        <v>1.2500000000000001E-2</v>
      </c>
      <c r="AL868" s="489"/>
      <c r="AM868" s="489"/>
      <c r="AN868" s="489"/>
      <c r="AO868" s="489"/>
      <c r="AP868" s="489"/>
      <c r="AQ868" s="489"/>
      <c r="AR868" s="489"/>
      <c r="AS868" s="489"/>
    </row>
    <row r="869" spans="1:45" s="484" customFormat="1" ht="14.5">
      <c r="A869" s="695" t="s">
        <v>1284</v>
      </c>
      <c r="B869" s="647"/>
      <c r="C869" s="644"/>
      <c r="D869" s="644"/>
      <c r="E869" s="493">
        <f t="shared" si="324"/>
        <v>0</v>
      </c>
      <c r="F869" s="763">
        <f t="shared" si="325"/>
        <v>1.4999999999999999E-2</v>
      </c>
      <c r="G869" s="493">
        <f t="shared" si="326"/>
        <v>0</v>
      </c>
      <c r="H869" s="493">
        <f t="shared" si="315"/>
        <v>5981250</v>
      </c>
      <c r="I869" s="493">
        <f t="shared" si="315"/>
        <v>17943750</v>
      </c>
      <c r="J869" s="493">
        <f t="shared" si="315"/>
        <v>29906250</v>
      </c>
      <c r="K869" s="493">
        <f t="shared" si="315"/>
        <v>41868750</v>
      </c>
      <c r="L869" s="493">
        <f t="shared" si="315"/>
        <v>53831250</v>
      </c>
      <c r="M869" s="493">
        <f t="shared" si="315"/>
        <v>65793750</v>
      </c>
      <c r="N869" s="493">
        <f t="shared" si="316"/>
        <v>76759375</v>
      </c>
      <c r="O869" s="493">
        <f t="shared" si="316"/>
        <v>86728125</v>
      </c>
      <c r="P869" s="493">
        <f t="shared" si="316"/>
        <v>96696875</v>
      </c>
      <c r="Q869" s="493">
        <f t="shared" si="315"/>
        <v>104671875</v>
      </c>
      <c r="R869" s="493">
        <f t="shared" si="317"/>
        <v>110653125</v>
      </c>
      <c r="S869" s="493">
        <f t="shared" si="318"/>
        <v>116634375</v>
      </c>
      <c r="T869" s="794"/>
      <c r="V869" s="641">
        <f t="shared" si="319"/>
        <v>807468750</v>
      </c>
      <c r="W869" s="765"/>
      <c r="X869" s="1016"/>
      <c r="Y869" s="675">
        <f t="shared" si="320"/>
        <v>0</v>
      </c>
      <c r="Z869" s="766">
        <v>1.2500000000000001E-2</v>
      </c>
      <c r="AA869" s="675">
        <f t="shared" si="321"/>
        <v>0</v>
      </c>
      <c r="AB869" s="766">
        <v>1.2500000000000001E-2</v>
      </c>
      <c r="AC869" s="675">
        <f t="shared" si="322"/>
        <v>0</v>
      </c>
      <c r="AD869" s="766">
        <v>1.2500000000000001E-2</v>
      </c>
      <c r="AE869" s="675">
        <f t="shared" si="323"/>
        <v>0</v>
      </c>
      <c r="AF869" s="766">
        <v>1.2500000000000001E-2</v>
      </c>
      <c r="AL869" s="489"/>
      <c r="AM869" s="489"/>
      <c r="AN869" s="489"/>
      <c r="AO869" s="489"/>
      <c r="AP869" s="489"/>
      <c r="AQ869" s="489"/>
      <c r="AR869" s="489"/>
      <c r="AS869" s="489"/>
    </row>
    <row r="870" spans="1:45" s="484" customFormat="1">
      <c r="A870" s="695" t="s">
        <v>1285</v>
      </c>
      <c r="B870" s="638"/>
      <c r="C870" s="639"/>
      <c r="D870" s="639"/>
      <c r="E870" s="493">
        <f t="shared" si="324"/>
        <v>0</v>
      </c>
      <c r="F870" s="763">
        <f t="shared" si="325"/>
        <v>1.4999999999999999E-2</v>
      </c>
      <c r="G870" s="493">
        <f t="shared" si="326"/>
        <v>15625185.170418749</v>
      </c>
      <c r="H870" s="493">
        <f t="shared" si="315"/>
        <v>37231620.340837501</v>
      </c>
      <c r="I870" s="493">
        <f t="shared" si="315"/>
        <v>49194120.340837501</v>
      </c>
      <c r="J870" s="493">
        <f t="shared" si="315"/>
        <v>61156620.340837501</v>
      </c>
      <c r="K870" s="493">
        <f t="shared" si="315"/>
        <v>73119120.340837494</v>
      </c>
      <c r="L870" s="493">
        <f t="shared" si="315"/>
        <v>85081620.340837494</v>
      </c>
      <c r="M870" s="493">
        <f t="shared" si="315"/>
        <v>97044120.340837494</v>
      </c>
      <c r="N870" s="493">
        <f t="shared" si="316"/>
        <v>108009745.34083749</v>
      </c>
      <c r="O870" s="493">
        <f t="shared" si="316"/>
        <v>117978495.34083749</v>
      </c>
      <c r="P870" s="493">
        <f t="shared" si="316"/>
        <v>127947245.34083749</v>
      </c>
      <c r="Q870" s="493">
        <f t="shared" si="315"/>
        <v>135922245.34083751</v>
      </c>
      <c r="R870" s="493">
        <f t="shared" si="317"/>
        <v>141903495.34083751</v>
      </c>
      <c r="S870" s="493">
        <f t="shared" si="318"/>
        <v>147884745.34083751</v>
      </c>
      <c r="T870" s="794"/>
      <c r="V870" s="641">
        <f t="shared" si="319"/>
        <v>1182473194.09005</v>
      </c>
      <c r="W870" s="713"/>
      <c r="X870" s="1015"/>
      <c r="Y870" s="675">
        <f t="shared" si="320"/>
        <v>0</v>
      </c>
      <c r="Z870" s="766">
        <v>1.2500000000000001E-2</v>
      </c>
      <c r="AA870" s="675">
        <f t="shared" si="321"/>
        <v>0</v>
      </c>
      <c r="AB870" s="766">
        <v>1.2500000000000001E-2</v>
      </c>
      <c r="AC870" s="675">
        <f t="shared" si="322"/>
        <v>0</v>
      </c>
      <c r="AD870" s="766">
        <v>1.2500000000000001E-2</v>
      </c>
      <c r="AE870" s="675">
        <f t="shared" si="323"/>
        <v>0</v>
      </c>
      <c r="AF870" s="766">
        <v>1.2500000000000001E-2</v>
      </c>
      <c r="AL870" s="489"/>
      <c r="AM870" s="489"/>
      <c r="AN870" s="489"/>
      <c r="AO870" s="489"/>
      <c r="AP870" s="489"/>
      <c r="AQ870" s="489"/>
      <c r="AR870" s="489"/>
      <c r="AS870" s="489"/>
    </row>
    <row r="871" spans="1:45" s="484" customFormat="1" ht="14.5">
      <c r="A871" s="695" t="s">
        <v>1286</v>
      </c>
      <c r="B871" s="647"/>
      <c r="C871" s="644"/>
      <c r="D871" s="644"/>
      <c r="E871" s="493">
        <f t="shared" si="324"/>
        <v>0</v>
      </c>
      <c r="F871" s="763">
        <f t="shared" si="325"/>
        <v>1.2500000000000001E-2</v>
      </c>
      <c r="G871" s="493">
        <f t="shared" si="326"/>
        <v>0</v>
      </c>
      <c r="H871" s="493">
        <f t="shared" si="315"/>
        <v>0</v>
      </c>
      <c r="I871" s="493">
        <f t="shared" si="315"/>
        <v>0</v>
      </c>
      <c r="J871" s="493">
        <f t="shared" si="315"/>
        <v>0</v>
      </c>
      <c r="K871" s="493">
        <f t="shared" si="315"/>
        <v>0</v>
      </c>
      <c r="L871" s="493">
        <f t="shared" si="315"/>
        <v>0</v>
      </c>
      <c r="M871" s="493">
        <f t="shared" si="315"/>
        <v>0</v>
      </c>
      <c r="N871" s="493">
        <f t="shared" si="316"/>
        <v>0</v>
      </c>
      <c r="O871" s="493">
        <f t="shared" si="316"/>
        <v>0</v>
      </c>
      <c r="P871" s="493">
        <f t="shared" si="316"/>
        <v>0</v>
      </c>
      <c r="Q871" s="493">
        <f t="shared" si="315"/>
        <v>0</v>
      </c>
      <c r="R871" s="493">
        <f t="shared" si="317"/>
        <v>0</v>
      </c>
      <c r="S871" s="493">
        <f t="shared" si="318"/>
        <v>0</v>
      </c>
      <c r="T871" s="794"/>
      <c r="V871" s="641">
        <f t="shared" si="319"/>
        <v>0</v>
      </c>
      <c r="W871" s="765"/>
      <c r="X871" s="1016"/>
      <c r="Y871" s="675">
        <f t="shared" si="320"/>
        <v>0</v>
      </c>
      <c r="Z871" s="766">
        <f>1%/1.1</f>
        <v>9.0909090909090905E-3</v>
      </c>
      <c r="AA871" s="675">
        <f t="shared" si="321"/>
        <v>0</v>
      </c>
      <c r="AB871" s="766">
        <f>1%/1.1</f>
        <v>9.0909090909090905E-3</v>
      </c>
      <c r="AC871" s="675">
        <f t="shared" si="322"/>
        <v>0</v>
      </c>
      <c r="AD871" s="766">
        <f>1%/1.1</f>
        <v>9.0909090909090905E-3</v>
      </c>
      <c r="AE871" s="675">
        <f t="shared" si="323"/>
        <v>0</v>
      </c>
      <c r="AF871" s="766">
        <f>1%/1.1</f>
        <v>9.0909090909090905E-3</v>
      </c>
      <c r="AL871" s="489"/>
      <c r="AM871" s="489"/>
      <c r="AN871" s="489"/>
      <c r="AO871" s="489"/>
      <c r="AP871" s="489"/>
      <c r="AQ871" s="489"/>
      <c r="AR871" s="489"/>
      <c r="AS871" s="489"/>
    </row>
    <row r="872" spans="1:45" s="484" customFormat="1">
      <c r="A872" s="695" t="s">
        <v>1287</v>
      </c>
      <c r="B872" s="638"/>
      <c r="C872" s="639"/>
      <c r="D872" s="639"/>
      <c r="E872" s="493">
        <f t="shared" si="324"/>
        <v>0</v>
      </c>
      <c r="F872" s="763">
        <f t="shared" si="325"/>
        <v>1.2500000000000001E-2</v>
      </c>
      <c r="G872" s="493">
        <f t="shared" si="326"/>
        <v>0</v>
      </c>
      <c r="H872" s="493">
        <f t="shared" si="315"/>
        <v>0</v>
      </c>
      <c r="I872" s="493">
        <f t="shared" si="315"/>
        <v>0</v>
      </c>
      <c r="J872" s="493">
        <f t="shared" si="315"/>
        <v>0</v>
      </c>
      <c r="K872" s="493">
        <f t="shared" si="315"/>
        <v>0</v>
      </c>
      <c r="L872" s="493">
        <f t="shared" si="315"/>
        <v>0</v>
      </c>
      <c r="M872" s="493">
        <f t="shared" si="315"/>
        <v>0</v>
      </c>
      <c r="N872" s="493">
        <f t="shared" si="316"/>
        <v>0</v>
      </c>
      <c r="O872" s="493">
        <f t="shared" si="316"/>
        <v>0</v>
      </c>
      <c r="P872" s="493">
        <f t="shared" si="316"/>
        <v>0</v>
      </c>
      <c r="Q872" s="493">
        <f t="shared" si="315"/>
        <v>0</v>
      </c>
      <c r="R872" s="493">
        <f t="shared" si="317"/>
        <v>0</v>
      </c>
      <c r="S872" s="493">
        <f t="shared" si="318"/>
        <v>0</v>
      </c>
      <c r="T872" s="794"/>
      <c r="V872" s="641">
        <f t="shared" si="319"/>
        <v>0</v>
      </c>
      <c r="W872" s="713"/>
      <c r="X872" s="1015"/>
      <c r="Y872" s="675">
        <f t="shared" si="320"/>
        <v>1206596286.2950006</v>
      </c>
      <c r="Z872" s="766">
        <v>1.5E-3</v>
      </c>
      <c r="AA872" s="675">
        <f t="shared" si="321"/>
        <v>1025547039.9489672</v>
      </c>
      <c r="AB872" s="766">
        <v>1.5E-3</v>
      </c>
      <c r="AC872" s="675">
        <f t="shared" si="322"/>
        <v>1495589433.2589104</v>
      </c>
      <c r="AD872" s="766">
        <v>1.5E-3</v>
      </c>
      <c r="AE872" s="675">
        <f t="shared" si="323"/>
        <v>2019045734.8995295</v>
      </c>
      <c r="AF872" s="766">
        <v>1.5E-3</v>
      </c>
      <c r="AL872" s="489"/>
      <c r="AM872" s="489"/>
      <c r="AN872" s="489"/>
      <c r="AO872" s="489"/>
      <c r="AP872" s="489"/>
      <c r="AQ872" s="489"/>
      <c r="AR872" s="489"/>
      <c r="AS872" s="489"/>
    </row>
    <row r="873" spans="1:45" s="484" customFormat="1" ht="14.5">
      <c r="A873" s="695" t="s">
        <v>1288</v>
      </c>
      <c r="B873" s="647"/>
      <c r="C873" s="644"/>
      <c r="D873" s="644"/>
      <c r="E873" s="493">
        <f t="shared" si="324"/>
        <v>0</v>
      </c>
      <c r="F873" s="763">
        <f t="shared" si="325"/>
        <v>1.75E-3</v>
      </c>
      <c r="G873" s="493">
        <f t="shared" si="326"/>
        <v>0</v>
      </c>
      <c r="H873" s="493">
        <f t="shared" si="315"/>
        <v>0</v>
      </c>
      <c r="I873" s="493">
        <f t="shared" si="315"/>
        <v>0</v>
      </c>
      <c r="J873" s="493">
        <f t="shared" si="315"/>
        <v>0</v>
      </c>
      <c r="K873" s="493">
        <f t="shared" si="315"/>
        <v>0</v>
      </c>
      <c r="L873" s="493">
        <f t="shared" si="315"/>
        <v>0</v>
      </c>
      <c r="M873" s="493">
        <f t="shared" si="315"/>
        <v>0</v>
      </c>
      <c r="N873" s="493">
        <f t="shared" si="316"/>
        <v>0</v>
      </c>
      <c r="O873" s="493">
        <f t="shared" si="316"/>
        <v>0</v>
      </c>
      <c r="P873" s="493">
        <f t="shared" si="316"/>
        <v>0</v>
      </c>
      <c r="Q873" s="493">
        <f t="shared" si="315"/>
        <v>0</v>
      </c>
      <c r="R873" s="493">
        <f t="shared" si="317"/>
        <v>0</v>
      </c>
      <c r="S873" s="493">
        <f t="shared" si="318"/>
        <v>0</v>
      </c>
      <c r="T873" s="794"/>
      <c r="V873" s="641">
        <f t="shared" si="319"/>
        <v>0</v>
      </c>
      <c r="W873" s="765"/>
      <c r="X873" s="1016"/>
      <c r="Y873" s="675">
        <f t="shared" si="320"/>
        <v>0</v>
      </c>
      <c r="Z873" s="766">
        <v>1.2500000000000001E-2</v>
      </c>
      <c r="AA873" s="675">
        <f t="shared" si="321"/>
        <v>0</v>
      </c>
      <c r="AB873" s="766">
        <v>1.2500000000000001E-2</v>
      </c>
      <c r="AC873" s="675">
        <f t="shared" si="322"/>
        <v>0</v>
      </c>
      <c r="AD873" s="766">
        <v>1.2500000000000001E-2</v>
      </c>
      <c r="AE873" s="675">
        <f t="shared" si="323"/>
        <v>0</v>
      </c>
      <c r="AF873" s="766">
        <v>1.2500000000000001E-2</v>
      </c>
      <c r="AL873" s="489"/>
      <c r="AM873" s="489"/>
      <c r="AN873" s="489"/>
      <c r="AO873" s="489"/>
      <c r="AP873" s="489"/>
      <c r="AQ873" s="489"/>
      <c r="AR873" s="489"/>
      <c r="AS873" s="489"/>
    </row>
    <row r="874" spans="1:45" s="484" customFormat="1">
      <c r="A874" s="695" t="s">
        <v>1289</v>
      </c>
      <c r="B874" s="647"/>
      <c r="C874" s="648"/>
      <c r="D874" s="639"/>
      <c r="E874" s="493">
        <f t="shared" si="324"/>
        <v>0</v>
      </c>
      <c r="F874" s="763">
        <f t="shared" si="325"/>
        <v>1.125E-2</v>
      </c>
      <c r="G874" s="493">
        <f t="shared" si="326"/>
        <v>0</v>
      </c>
      <c r="H874" s="493">
        <f t="shared" si="315"/>
        <v>4485937.5</v>
      </c>
      <c r="I874" s="493">
        <f t="shared" si="315"/>
        <v>13457812.5</v>
      </c>
      <c r="J874" s="493">
        <f t="shared" si="315"/>
        <v>22429687.5</v>
      </c>
      <c r="K874" s="493">
        <f t="shared" si="315"/>
        <v>31401562.5</v>
      </c>
      <c r="L874" s="493">
        <f t="shared" si="315"/>
        <v>40373437.5</v>
      </c>
      <c r="M874" s="493">
        <f t="shared" si="315"/>
        <v>49345312.5</v>
      </c>
      <c r="N874" s="493">
        <f t="shared" si="316"/>
        <v>57569531.25</v>
      </c>
      <c r="O874" s="493">
        <f t="shared" si="316"/>
        <v>65046093.75</v>
      </c>
      <c r="P874" s="493">
        <f t="shared" si="316"/>
        <v>72522656.25</v>
      </c>
      <c r="Q874" s="493">
        <f t="shared" si="315"/>
        <v>78503906.25</v>
      </c>
      <c r="R874" s="493">
        <f t="shared" si="317"/>
        <v>82989843.75</v>
      </c>
      <c r="S874" s="493">
        <f t="shared" si="318"/>
        <v>87475781.25</v>
      </c>
      <c r="T874" s="794"/>
      <c r="V874" s="641">
        <f t="shared" si="319"/>
        <v>605601562.5</v>
      </c>
      <c r="W874" s="713"/>
      <c r="X874" s="1015"/>
      <c r="Y874" s="675">
        <f t="shared" si="320"/>
        <v>3.0255000000000001</v>
      </c>
      <c r="Z874" s="766">
        <v>3.0000000000000001E-3</v>
      </c>
      <c r="AA874" s="675">
        <f t="shared" si="321"/>
        <v>0</v>
      </c>
      <c r="AB874" s="766">
        <v>3.0000000000000001E-3</v>
      </c>
      <c r="AC874" s="675">
        <f t="shared" si="322"/>
        <v>0</v>
      </c>
      <c r="AD874" s="766">
        <v>3.0000000000000001E-3</v>
      </c>
      <c r="AE874" s="675">
        <f t="shared" si="323"/>
        <v>0</v>
      </c>
      <c r="AF874" s="766">
        <v>3.0000000000000001E-3</v>
      </c>
      <c r="AL874" s="489"/>
      <c r="AM874" s="489"/>
      <c r="AN874" s="489"/>
      <c r="AO874" s="489"/>
      <c r="AP874" s="489"/>
      <c r="AQ874" s="489"/>
      <c r="AR874" s="489"/>
      <c r="AS874" s="489"/>
    </row>
    <row r="875" spans="1:45" s="484" customFormat="1" ht="14.5">
      <c r="A875" s="695" t="s">
        <v>1290</v>
      </c>
      <c r="B875" s="647"/>
      <c r="C875" s="644"/>
      <c r="D875" s="644"/>
      <c r="E875" s="493">
        <f t="shared" si="324"/>
        <v>0</v>
      </c>
      <c r="F875" s="763">
        <f t="shared" si="325"/>
        <v>1.5E-3</v>
      </c>
      <c r="G875" s="493">
        <f t="shared" si="326"/>
        <v>0</v>
      </c>
      <c r="H875" s="493">
        <f t="shared" si="315"/>
        <v>0</v>
      </c>
      <c r="I875" s="493">
        <f t="shared" si="315"/>
        <v>0</v>
      </c>
      <c r="J875" s="493">
        <f t="shared" si="315"/>
        <v>0</v>
      </c>
      <c r="K875" s="493">
        <f t="shared" si="315"/>
        <v>0</v>
      </c>
      <c r="L875" s="493">
        <f t="shared" si="315"/>
        <v>0</v>
      </c>
      <c r="M875" s="493">
        <f t="shared" si="315"/>
        <v>0</v>
      </c>
      <c r="N875" s="493">
        <f t="shared" si="316"/>
        <v>0</v>
      </c>
      <c r="O875" s="493">
        <f t="shared" si="316"/>
        <v>0</v>
      </c>
      <c r="P875" s="493">
        <f t="shared" si="316"/>
        <v>0</v>
      </c>
      <c r="Q875" s="493">
        <f t="shared" si="315"/>
        <v>0</v>
      </c>
      <c r="R875" s="493">
        <f t="shared" si="317"/>
        <v>0</v>
      </c>
      <c r="S875" s="493">
        <f t="shared" si="318"/>
        <v>0</v>
      </c>
      <c r="T875" s="794"/>
      <c r="V875" s="641">
        <f t="shared" si="319"/>
        <v>0</v>
      </c>
      <c r="W875" s="488"/>
      <c r="X875" s="1016"/>
      <c r="Y875" s="675">
        <f t="shared" si="320"/>
        <v>0</v>
      </c>
      <c r="Z875" s="767">
        <v>6.8000000000000005E-4</v>
      </c>
      <c r="AA875" s="675">
        <f t="shared" si="321"/>
        <v>0</v>
      </c>
      <c r="AB875" s="767">
        <v>6.8000000000000005E-4</v>
      </c>
      <c r="AC875" s="675">
        <f t="shared" si="322"/>
        <v>0</v>
      </c>
      <c r="AD875" s="767">
        <v>6.8000000000000005E-4</v>
      </c>
      <c r="AE875" s="675">
        <f t="shared" si="323"/>
        <v>0</v>
      </c>
      <c r="AF875" s="767">
        <v>6.8000000000000005E-4</v>
      </c>
      <c r="AL875" s="489"/>
      <c r="AM875" s="489"/>
      <c r="AN875" s="489"/>
      <c r="AO875" s="489"/>
      <c r="AP875" s="489"/>
      <c r="AQ875" s="489"/>
      <c r="AR875" s="489"/>
      <c r="AS875" s="489"/>
    </row>
    <row r="876" spans="1:45" s="484" customFormat="1">
      <c r="A876" s="695" t="s">
        <v>1291</v>
      </c>
      <c r="B876" s="647"/>
      <c r="C876" s="648"/>
      <c r="D876" s="639"/>
      <c r="E876" s="493">
        <f t="shared" si="324"/>
        <v>0</v>
      </c>
      <c r="F876" s="763">
        <f t="shared" si="325"/>
        <v>1.4999999999999999E-2</v>
      </c>
      <c r="G876" s="493">
        <f t="shared" si="326"/>
        <v>0</v>
      </c>
      <c r="H876" s="493">
        <f t="shared" ref="H876:Q891" si="327">(G431+H431)/2*$F876/12</f>
        <v>0</v>
      </c>
      <c r="I876" s="493">
        <f t="shared" si="327"/>
        <v>0</v>
      </c>
      <c r="J876" s="493">
        <f t="shared" si="327"/>
        <v>0</v>
      </c>
      <c r="K876" s="493">
        <f t="shared" si="327"/>
        <v>0</v>
      </c>
      <c r="L876" s="493">
        <f t="shared" si="327"/>
        <v>0</v>
      </c>
      <c r="M876" s="493">
        <f t="shared" si="327"/>
        <v>0</v>
      </c>
      <c r="N876" s="493">
        <f t="shared" si="316"/>
        <v>0</v>
      </c>
      <c r="O876" s="493">
        <f t="shared" si="316"/>
        <v>0</v>
      </c>
      <c r="P876" s="493">
        <f t="shared" si="316"/>
        <v>0</v>
      </c>
      <c r="Q876" s="493">
        <f t="shared" si="327"/>
        <v>0</v>
      </c>
      <c r="R876" s="493">
        <f t="shared" si="317"/>
        <v>0</v>
      </c>
      <c r="S876" s="493">
        <f t="shared" si="318"/>
        <v>0</v>
      </c>
      <c r="T876" s="794"/>
      <c r="V876" s="641">
        <f t="shared" si="319"/>
        <v>0</v>
      </c>
      <c r="W876" s="713"/>
      <c r="X876" s="1015"/>
      <c r="Y876" s="675">
        <f t="shared" si="320"/>
        <v>0</v>
      </c>
      <c r="Z876" s="767">
        <v>7.5000000000000002E-4</v>
      </c>
      <c r="AA876" s="675">
        <f t="shared" si="321"/>
        <v>0</v>
      </c>
      <c r="AB876" s="767">
        <v>7.5000000000000002E-4</v>
      </c>
      <c r="AC876" s="675">
        <f t="shared" si="322"/>
        <v>0</v>
      </c>
      <c r="AD876" s="767">
        <v>7.5000000000000002E-4</v>
      </c>
      <c r="AE876" s="675">
        <f t="shared" si="323"/>
        <v>0</v>
      </c>
      <c r="AF876" s="767">
        <v>7.5000000000000002E-4</v>
      </c>
      <c r="AL876" s="489"/>
      <c r="AM876" s="489"/>
      <c r="AN876" s="489"/>
      <c r="AO876" s="489"/>
      <c r="AP876" s="489"/>
      <c r="AQ876" s="489"/>
      <c r="AR876" s="489"/>
      <c r="AS876" s="489"/>
    </row>
    <row r="877" spans="1:45" s="484" customFormat="1" ht="14.5">
      <c r="A877" s="695" t="s">
        <v>1292</v>
      </c>
      <c r="B877" s="647"/>
      <c r="C877" s="644"/>
      <c r="D877" s="644"/>
      <c r="E877" s="493">
        <f t="shared" si="324"/>
        <v>0</v>
      </c>
      <c r="F877" s="763">
        <f t="shared" si="325"/>
        <v>1.4999999999999999E-2</v>
      </c>
      <c r="G877" s="493">
        <f t="shared" si="326"/>
        <v>0</v>
      </c>
      <c r="H877" s="493">
        <f t="shared" si="327"/>
        <v>0</v>
      </c>
      <c r="I877" s="493">
        <f t="shared" si="327"/>
        <v>0</v>
      </c>
      <c r="J877" s="493">
        <f t="shared" si="327"/>
        <v>0</v>
      </c>
      <c r="K877" s="493">
        <f t="shared" si="327"/>
        <v>0</v>
      </c>
      <c r="L877" s="493">
        <f t="shared" si="327"/>
        <v>0</v>
      </c>
      <c r="M877" s="493">
        <f t="shared" si="327"/>
        <v>0</v>
      </c>
      <c r="N877" s="493">
        <f t="shared" si="316"/>
        <v>0</v>
      </c>
      <c r="O877" s="493">
        <f t="shared" si="316"/>
        <v>0</v>
      </c>
      <c r="P877" s="493">
        <f t="shared" si="316"/>
        <v>0</v>
      </c>
      <c r="Q877" s="493">
        <f t="shared" si="327"/>
        <v>0</v>
      </c>
      <c r="R877" s="493">
        <f t="shared" si="317"/>
        <v>0</v>
      </c>
      <c r="S877" s="493">
        <f t="shared" si="318"/>
        <v>0</v>
      </c>
      <c r="T877" s="794"/>
      <c r="V877" s="641">
        <f t="shared" si="319"/>
        <v>0</v>
      </c>
      <c r="W877" s="488"/>
      <c r="X877" s="1016"/>
      <c r="Y877" s="675">
        <f t="shared" si="320"/>
        <v>0</v>
      </c>
      <c r="Z877" s="767">
        <f>0.3%/1.1</f>
        <v>2.7272727272727271E-3</v>
      </c>
      <c r="AA877" s="675">
        <f t="shared" si="321"/>
        <v>0</v>
      </c>
      <c r="AB877" s="767">
        <f>0.3%/1.1</f>
        <v>2.7272727272727271E-3</v>
      </c>
      <c r="AC877" s="675">
        <f t="shared" si="322"/>
        <v>0</v>
      </c>
      <c r="AD877" s="767">
        <f>0.3%/1.1</f>
        <v>2.7272727272727271E-3</v>
      </c>
      <c r="AE877" s="675">
        <f t="shared" si="323"/>
        <v>0</v>
      </c>
      <c r="AF877" s="767">
        <f>0.3%/1.1</f>
        <v>2.7272727272727271E-3</v>
      </c>
      <c r="AL877" s="489"/>
      <c r="AM877" s="489"/>
      <c r="AN877" s="489"/>
      <c r="AO877" s="489"/>
      <c r="AP877" s="489"/>
      <c r="AQ877" s="489"/>
      <c r="AR877" s="489"/>
      <c r="AS877" s="489"/>
    </row>
    <row r="878" spans="1:45" s="484" customFormat="1" ht="14.5">
      <c r="A878" s="695" t="s">
        <v>1293</v>
      </c>
      <c r="B878" s="647"/>
      <c r="C878" s="644"/>
      <c r="D878" s="644"/>
      <c r="E878" s="493">
        <f t="shared" si="324"/>
        <v>0</v>
      </c>
      <c r="F878" s="763">
        <f t="shared" si="325"/>
        <v>1.4999999999999999E-2</v>
      </c>
      <c r="G878" s="493">
        <f t="shared" si="326"/>
        <v>0</v>
      </c>
      <c r="H878" s="493">
        <f t="shared" si="327"/>
        <v>0</v>
      </c>
      <c r="I878" s="493">
        <f t="shared" si="327"/>
        <v>0</v>
      </c>
      <c r="J878" s="493">
        <f t="shared" si="327"/>
        <v>0</v>
      </c>
      <c r="K878" s="493">
        <f t="shared" si="327"/>
        <v>0</v>
      </c>
      <c r="L878" s="493">
        <f t="shared" si="327"/>
        <v>0</v>
      </c>
      <c r="M878" s="493">
        <f t="shared" si="327"/>
        <v>0</v>
      </c>
      <c r="N878" s="493">
        <f t="shared" si="316"/>
        <v>0</v>
      </c>
      <c r="O878" s="493">
        <f t="shared" si="316"/>
        <v>0</v>
      </c>
      <c r="P878" s="493">
        <f t="shared" si="316"/>
        <v>0</v>
      </c>
      <c r="Q878" s="493">
        <f t="shared" si="327"/>
        <v>0</v>
      </c>
      <c r="R878" s="493">
        <f t="shared" si="317"/>
        <v>0</v>
      </c>
      <c r="S878" s="493">
        <f t="shared" si="318"/>
        <v>0</v>
      </c>
      <c r="T878" s="794"/>
      <c r="V878" s="641">
        <f t="shared" si="319"/>
        <v>0</v>
      </c>
      <c r="W878" s="488"/>
      <c r="X878" s="1016"/>
      <c r="Y878" s="675">
        <f t="shared" si="320"/>
        <v>0</v>
      </c>
      <c r="Z878" s="767">
        <f>0.3%/1.1</f>
        <v>2.7272727272727271E-3</v>
      </c>
      <c r="AA878" s="675">
        <f t="shared" si="321"/>
        <v>0</v>
      </c>
      <c r="AB878" s="767">
        <f>0.3%/1.1</f>
        <v>2.7272727272727271E-3</v>
      </c>
      <c r="AC878" s="675">
        <f t="shared" si="322"/>
        <v>0</v>
      </c>
      <c r="AD878" s="767">
        <f>0.3%/1.1</f>
        <v>2.7272727272727271E-3</v>
      </c>
      <c r="AE878" s="675">
        <f t="shared" si="323"/>
        <v>0</v>
      </c>
      <c r="AF878" s="767">
        <f>0.3%/1.1</f>
        <v>2.7272727272727271E-3</v>
      </c>
      <c r="AL878" s="489"/>
      <c r="AM878" s="489"/>
      <c r="AN878" s="489"/>
      <c r="AO878" s="489"/>
      <c r="AP878" s="489"/>
      <c r="AQ878" s="489"/>
      <c r="AR878" s="489"/>
      <c r="AS878" s="489"/>
    </row>
    <row r="879" spans="1:45" s="484" customFormat="1" ht="14.5">
      <c r="A879" s="695" t="s">
        <v>1294</v>
      </c>
      <c r="B879" s="647"/>
      <c r="C879" s="644"/>
      <c r="D879" s="644"/>
      <c r="E879" s="493">
        <f t="shared" si="324"/>
        <v>8188438.9609831246</v>
      </c>
      <c r="F879" s="763">
        <f t="shared" si="325"/>
        <v>6.4999999999999997E-3</v>
      </c>
      <c r="G879" s="493">
        <f t="shared" si="326"/>
        <v>23638504.705045227</v>
      </c>
      <c r="H879" s="493">
        <f t="shared" si="327"/>
        <v>34787943.988124214</v>
      </c>
      <c r="I879" s="493">
        <f t="shared" si="327"/>
        <v>42563568.988124214</v>
      </c>
      <c r="J879" s="493">
        <f t="shared" si="327"/>
        <v>50339193.988124214</v>
      </c>
      <c r="K879" s="493">
        <f t="shared" si="327"/>
        <v>58114818.988124214</v>
      </c>
      <c r="L879" s="493">
        <f t="shared" si="327"/>
        <v>65890443.988124214</v>
      </c>
      <c r="M879" s="493">
        <f t="shared" si="327"/>
        <v>73666068.988124207</v>
      </c>
      <c r="N879" s="493">
        <f t="shared" si="316"/>
        <v>80793725.238124207</v>
      </c>
      <c r="O879" s="493">
        <f t="shared" si="316"/>
        <v>87273412.738124207</v>
      </c>
      <c r="P879" s="493">
        <f t="shared" si="316"/>
        <v>93753100.238124207</v>
      </c>
      <c r="Q879" s="493">
        <f t="shared" si="327"/>
        <v>98936850.238124207</v>
      </c>
      <c r="R879" s="493">
        <f t="shared" si="317"/>
        <v>102824662.73812421</v>
      </c>
      <c r="S879" s="493">
        <f t="shared" si="318"/>
        <v>106712475.23812421</v>
      </c>
      <c r="T879" s="794"/>
      <c r="V879" s="641">
        <f t="shared" si="319"/>
        <v>895656265.35749066</v>
      </c>
      <c r="W879" s="488"/>
      <c r="X879" s="1016"/>
      <c r="Y879" s="675">
        <f t="shared" si="320"/>
        <v>0</v>
      </c>
      <c r="Z879" s="767">
        <f>0.3%/1.1</f>
        <v>2.7272727272727271E-3</v>
      </c>
      <c r="AA879" s="675">
        <f t="shared" si="321"/>
        <v>0</v>
      </c>
      <c r="AB879" s="767">
        <f>0.3%/1.1</f>
        <v>2.7272727272727271E-3</v>
      </c>
      <c r="AC879" s="675">
        <f t="shared" si="322"/>
        <v>0</v>
      </c>
      <c r="AD879" s="767">
        <f>0.3%/1.1</f>
        <v>2.7272727272727271E-3</v>
      </c>
      <c r="AE879" s="675">
        <f t="shared" si="323"/>
        <v>0</v>
      </c>
      <c r="AF879" s="767">
        <f>0.3%/1.1</f>
        <v>2.7272727272727271E-3</v>
      </c>
      <c r="AL879" s="489"/>
      <c r="AM879" s="489"/>
      <c r="AN879" s="489"/>
      <c r="AO879" s="489"/>
      <c r="AP879" s="489"/>
      <c r="AQ879" s="489"/>
      <c r="AR879" s="489"/>
      <c r="AS879" s="489"/>
    </row>
    <row r="880" spans="1:45" s="484" customFormat="1" ht="14.5">
      <c r="A880" s="695" t="s">
        <v>1295</v>
      </c>
      <c r="B880" s="647"/>
      <c r="C880" s="644"/>
      <c r="D880" s="644"/>
      <c r="E880" s="493">
        <f t="shared" si="324"/>
        <v>0</v>
      </c>
      <c r="F880" s="763">
        <f t="shared" si="325"/>
        <v>6.4999999999999997E-3</v>
      </c>
      <c r="G880" s="493">
        <f t="shared" si="326"/>
        <v>0</v>
      </c>
      <c r="H880" s="493">
        <f t="shared" si="327"/>
        <v>777562.5</v>
      </c>
      <c r="I880" s="493">
        <f t="shared" si="327"/>
        <v>2332687.5</v>
      </c>
      <c r="J880" s="493">
        <f t="shared" si="327"/>
        <v>3887812.5</v>
      </c>
      <c r="K880" s="493">
        <f t="shared" si="327"/>
        <v>5442937.5</v>
      </c>
      <c r="L880" s="493">
        <f t="shared" si="327"/>
        <v>6998062.5</v>
      </c>
      <c r="M880" s="493">
        <f t="shared" si="327"/>
        <v>8553187.5</v>
      </c>
      <c r="N880" s="493">
        <f t="shared" si="327"/>
        <v>9978718.75</v>
      </c>
      <c r="O880" s="493">
        <f t="shared" si="327"/>
        <v>11274656.25</v>
      </c>
      <c r="P880" s="493">
        <f t="shared" si="327"/>
        <v>12570593.75</v>
      </c>
      <c r="Q880" s="493">
        <f t="shared" si="327"/>
        <v>13607343.75</v>
      </c>
      <c r="R880" s="493">
        <f t="shared" si="317"/>
        <v>14384906.25</v>
      </c>
      <c r="S880" s="493">
        <f t="shared" si="318"/>
        <v>15162468.75</v>
      </c>
      <c r="T880" s="794"/>
      <c r="V880" s="641">
        <f t="shared" si="319"/>
        <v>104970937.5</v>
      </c>
      <c r="W880" s="488"/>
      <c r="X880" s="1016"/>
      <c r="Y880" s="675"/>
      <c r="Z880" s="767"/>
      <c r="AA880" s="675"/>
      <c r="AB880" s="767"/>
      <c r="AC880" s="675"/>
      <c r="AD880" s="767"/>
      <c r="AE880" s="675"/>
      <c r="AF880" s="767"/>
      <c r="AL880" s="489"/>
      <c r="AM880" s="489"/>
      <c r="AN880" s="489"/>
      <c r="AO880" s="489"/>
      <c r="AP880" s="489"/>
      <c r="AQ880" s="489"/>
      <c r="AR880" s="489"/>
      <c r="AS880" s="489"/>
    </row>
    <row r="881" spans="1:45" s="484" customFormat="1" ht="14.5">
      <c r="A881" s="695" t="s">
        <v>1296</v>
      </c>
      <c r="B881" s="647"/>
      <c r="C881" s="644"/>
      <c r="D881" s="644"/>
      <c r="E881" s="493">
        <f t="shared" si="324"/>
        <v>0</v>
      </c>
      <c r="F881" s="763">
        <f t="shared" si="325"/>
        <v>3.0000000000000001E-3</v>
      </c>
      <c r="G881" s="493">
        <f t="shared" si="326"/>
        <v>0</v>
      </c>
      <c r="H881" s="493">
        <f t="shared" si="327"/>
        <v>0</v>
      </c>
      <c r="I881" s="493">
        <f t="shared" si="327"/>
        <v>0</v>
      </c>
      <c r="J881" s="493">
        <f t="shared" si="327"/>
        <v>4906250</v>
      </c>
      <c r="K881" s="493">
        <f t="shared" si="327"/>
        <v>9812500</v>
      </c>
      <c r="L881" s="493">
        <f t="shared" si="327"/>
        <v>9812500</v>
      </c>
      <c r="M881" s="493">
        <f t="shared" si="327"/>
        <v>9812500</v>
      </c>
      <c r="N881" s="493">
        <f t="shared" si="327"/>
        <v>22312500</v>
      </c>
      <c r="O881" s="493">
        <f t="shared" si="327"/>
        <v>34812500</v>
      </c>
      <c r="P881" s="493">
        <f t="shared" si="327"/>
        <v>34812500</v>
      </c>
      <c r="Q881" s="493">
        <f t="shared" si="327"/>
        <v>47312500</v>
      </c>
      <c r="R881" s="493">
        <f t="shared" si="317"/>
        <v>59812500</v>
      </c>
      <c r="S881" s="493">
        <f t="shared" si="318"/>
        <v>59812500</v>
      </c>
      <c r="T881" s="794"/>
      <c r="V881" s="641">
        <f t="shared" si="319"/>
        <v>293218750</v>
      </c>
      <c r="W881" s="488"/>
      <c r="X881" s="1016"/>
      <c r="Y881" s="675"/>
      <c r="Z881" s="767"/>
      <c r="AA881" s="675"/>
      <c r="AB881" s="767"/>
      <c r="AC881" s="675"/>
      <c r="AD881" s="767"/>
      <c r="AE881" s="675"/>
      <c r="AF881" s="767"/>
      <c r="AL881" s="489"/>
      <c r="AM881" s="489"/>
      <c r="AN881" s="489"/>
      <c r="AO881" s="489"/>
      <c r="AP881" s="489"/>
      <c r="AQ881" s="489"/>
      <c r="AR881" s="489"/>
      <c r="AS881" s="489"/>
    </row>
    <row r="882" spans="1:45" s="484" customFormat="1" ht="14.5">
      <c r="A882" s="695" t="s">
        <v>1297</v>
      </c>
      <c r="B882" s="647"/>
      <c r="C882" s="644"/>
      <c r="D882" s="644"/>
      <c r="E882" s="493">
        <f t="shared" si="324"/>
        <v>0</v>
      </c>
      <c r="F882" s="763">
        <f t="shared" si="325"/>
        <v>6.8000000000000005E-4</v>
      </c>
      <c r="G882" s="493">
        <f t="shared" si="326"/>
        <v>0</v>
      </c>
      <c r="H882" s="493">
        <f t="shared" si="327"/>
        <v>0</v>
      </c>
      <c r="I882" s="493">
        <f t="shared" si="327"/>
        <v>0</v>
      </c>
      <c r="J882" s="493">
        <f t="shared" si="327"/>
        <v>0</v>
      </c>
      <c r="K882" s="493">
        <f t="shared" si="327"/>
        <v>0</v>
      </c>
      <c r="L882" s="493">
        <f t="shared" si="327"/>
        <v>0</v>
      </c>
      <c r="M882" s="493">
        <f t="shared" si="327"/>
        <v>0</v>
      </c>
      <c r="N882" s="493">
        <f t="shared" si="327"/>
        <v>0</v>
      </c>
      <c r="O882" s="493">
        <f t="shared" si="327"/>
        <v>0</v>
      </c>
      <c r="P882" s="493">
        <f t="shared" si="327"/>
        <v>0</v>
      </c>
      <c r="Q882" s="493">
        <f t="shared" si="327"/>
        <v>0</v>
      </c>
      <c r="R882" s="493">
        <f t="shared" si="317"/>
        <v>0</v>
      </c>
      <c r="S882" s="493">
        <f t="shared" si="318"/>
        <v>0</v>
      </c>
      <c r="T882" s="794"/>
      <c r="V882" s="641">
        <f t="shared" si="319"/>
        <v>0</v>
      </c>
      <c r="W882" s="488"/>
      <c r="X882" s="1016"/>
      <c r="Y882" s="675"/>
      <c r="Z882" s="767"/>
      <c r="AA882" s="675"/>
      <c r="AB882" s="767"/>
      <c r="AC882" s="675"/>
      <c r="AD882" s="767"/>
      <c r="AE882" s="675"/>
      <c r="AF882" s="767"/>
      <c r="AL882" s="489"/>
      <c r="AM882" s="489"/>
      <c r="AN882" s="489"/>
      <c r="AO882" s="489"/>
      <c r="AP882" s="489"/>
      <c r="AQ882" s="489"/>
      <c r="AR882" s="489"/>
      <c r="AS882" s="489"/>
    </row>
    <row r="883" spans="1:45" s="484" customFormat="1" ht="14.5">
      <c r="A883" s="695" t="s">
        <v>1298</v>
      </c>
      <c r="B883" s="647"/>
      <c r="C883" s="644"/>
      <c r="D883" s="644"/>
      <c r="E883" s="493">
        <f t="shared" si="324"/>
        <v>0</v>
      </c>
      <c r="F883" s="763">
        <f t="shared" si="325"/>
        <v>6.8000000000000005E-4</v>
      </c>
      <c r="G883" s="493">
        <f t="shared" si="326"/>
        <v>0</v>
      </c>
      <c r="H883" s="493">
        <f t="shared" si="327"/>
        <v>0</v>
      </c>
      <c r="I883" s="493">
        <f t="shared" si="327"/>
        <v>0</v>
      </c>
      <c r="J883" s="493">
        <f t="shared" si="327"/>
        <v>0</v>
      </c>
      <c r="K883" s="493">
        <f t="shared" si="327"/>
        <v>0</v>
      </c>
      <c r="L883" s="493">
        <f t="shared" si="327"/>
        <v>0</v>
      </c>
      <c r="M883" s="493">
        <f t="shared" si="327"/>
        <v>0</v>
      </c>
      <c r="N883" s="493">
        <f t="shared" si="327"/>
        <v>0</v>
      </c>
      <c r="O883" s="493">
        <f t="shared" si="327"/>
        <v>0</v>
      </c>
      <c r="P883" s="493">
        <f t="shared" si="327"/>
        <v>0</v>
      </c>
      <c r="Q883" s="493">
        <f t="shared" si="327"/>
        <v>0</v>
      </c>
      <c r="R883" s="493">
        <f t="shared" si="317"/>
        <v>0</v>
      </c>
      <c r="S883" s="493">
        <f t="shared" si="318"/>
        <v>0</v>
      </c>
      <c r="T883" s="794"/>
      <c r="V883" s="641">
        <f t="shared" si="319"/>
        <v>0</v>
      </c>
      <c r="W883" s="488"/>
      <c r="X883" s="1016"/>
      <c r="Y883" s="675"/>
      <c r="Z883" s="767"/>
      <c r="AA883" s="675"/>
      <c r="AB883" s="767"/>
      <c r="AC883" s="675"/>
      <c r="AD883" s="767"/>
      <c r="AE883" s="675"/>
      <c r="AF883" s="767"/>
      <c r="AL883" s="489"/>
      <c r="AM883" s="489"/>
      <c r="AN883" s="489"/>
      <c r="AO883" s="489"/>
      <c r="AP883" s="489"/>
      <c r="AQ883" s="489"/>
      <c r="AR883" s="489"/>
      <c r="AS883" s="489"/>
    </row>
    <row r="884" spans="1:45" s="484" customFormat="1" ht="14.5">
      <c r="A884" s="695" t="s">
        <v>1299</v>
      </c>
      <c r="B884" s="647"/>
      <c r="C884" s="644"/>
      <c r="D884" s="644"/>
      <c r="E884" s="493">
        <f t="shared" si="324"/>
        <v>0</v>
      </c>
      <c r="F884" s="763">
        <f t="shared" si="325"/>
        <v>2.7000000000000001E-3</v>
      </c>
      <c r="G884" s="493">
        <f t="shared" si="326"/>
        <v>0</v>
      </c>
      <c r="H884" s="493">
        <f t="shared" si="327"/>
        <v>0</v>
      </c>
      <c r="I884" s="493">
        <f t="shared" si="327"/>
        <v>0</v>
      </c>
      <c r="J884" s="493">
        <f t="shared" si="327"/>
        <v>0</v>
      </c>
      <c r="K884" s="493">
        <f t="shared" si="327"/>
        <v>0</v>
      </c>
      <c r="L884" s="493">
        <f t="shared" si="327"/>
        <v>0</v>
      </c>
      <c r="M884" s="493">
        <f t="shared" si="327"/>
        <v>0</v>
      </c>
      <c r="N884" s="493">
        <f t="shared" si="327"/>
        <v>0</v>
      </c>
      <c r="O884" s="493">
        <f t="shared" si="327"/>
        <v>0</v>
      </c>
      <c r="P884" s="493">
        <f t="shared" si="327"/>
        <v>0</v>
      </c>
      <c r="Q884" s="493">
        <f t="shared" si="327"/>
        <v>0</v>
      </c>
      <c r="R884" s="493">
        <f t="shared" si="317"/>
        <v>0</v>
      </c>
      <c r="S884" s="493">
        <f t="shared" si="318"/>
        <v>0</v>
      </c>
      <c r="T884" s="794"/>
      <c r="V884" s="641">
        <f t="shared" si="319"/>
        <v>0</v>
      </c>
      <c r="W884" s="488"/>
      <c r="X884" s="1016"/>
      <c r="Y884" s="675"/>
      <c r="Z884" s="767"/>
      <c r="AA884" s="675"/>
      <c r="AB884" s="767"/>
      <c r="AC884" s="675"/>
      <c r="AD884" s="767"/>
      <c r="AE884" s="675"/>
      <c r="AF884" s="767"/>
      <c r="AL884" s="489"/>
      <c r="AM884" s="489"/>
      <c r="AN884" s="489"/>
      <c r="AO884" s="489"/>
      <c r="AP884" s="489"/>
      <c r="AQ884" s="489"/>
      <c r="AR884" s="489"/>
      <c r="AS884" s="489"/>
    </row>
    <row r="885" spans="1:45" s="484" customFormat="1" ht="14.5">
      <c r="A885" s="695" t="s">
        <v>1300</v>
      </c>
      <c r="B885" s="647"/>
      <c r="C885" s="644"/>
      <c r="D885" s="644"/>
      <c r="E885" s="493">
        <f t="shared" si="324"/>
        <v>0</v>
      </c>
      <c r="F885" s="763">
        <f t="shared" si="325"/>
        <v>8.1999999999999998E-4</v>
      </c>
      <c r="G885" s="493">
        <f t="shared" si="326"/>
        <v>0</v>
      </c>
      <c r="H885" s="493">
        <f t="shared" si="327"/>
        <v>0</v>
      </c>
      <c r="I885" s="493">
        <f t="shared" si="327"/>
        <v>0</v>
      </c>
      <c r="J885" s="493">
        <f t="shared" si="327"/>
        <v>0</v>
      </c>
      <c r="K885" s="493">
        <f t="shared" si="327"/>
        <v>0</v>
      </c>
      <c r="L885" s="493">
        <f t="shared" si="327"/>
        <v>0</v>
      </c>
      <c r="M885" s="493">
        <f t="shared" si="327"/>
        <v>0</v>
      </c>
      <c r="N885" s="493">
        <f t="shared" si="327"/>
        <v>0</v>
      </c>
      <c r="O885" s="493">
        <f t="shared" si="327"/>
        <v>0</v>
      </c>
      <c r="P885" s="493">
        <f t="shared" si="327"/>
        <v>0</v>
      </c>
      <c r="Q885" s="493">
        <f t="shared" si="327"/>
        <v>0</v>
      </c>
      <c r="R885" s="493">
        <f t="shared" si="317"/>
        <v>0</v>
      </c>
      <c r="S885" s="493">
        <f t="shared" si="318"/>
        <v>0</v>
      </c>
      <c r="T885" s="794"/>
      <c r="V885" s="641">
        <f t="shared" si="319"/>
        <v>0</v>
      </c>
      <c r="W885" s="488"/>
      <c r="X885" s="1016"/>
      <c r="Y885" s="675"/>
      <c r="Z885" s="767"/>
      <c r="AA885" s="675"/>
      <c r="AB885" s="767"/>
      <c r="AC885" s="675"/>
      <c r="AD885" s="767"/>
      <c r="AE885" s="675"/>
      <c r="AF885" s="767"/>
      <c r="AL885" s="489"/>
      <c r="AM885" s="489"/>
      <c r="AN885" s="489"/>
      <c r="AO885" s="489"/>
      <c r="AP885" s="489"/>
      <c r="AQ885" s="489"/>
      <c r="AR885" s="489"/>
      <c r="AS885" s="489"/>
    </row>
    <row r="886" spans="1:45" s="484" customFormat="1" ht="14.5">
      <c r="A886" s="695" t="s">
        <v>1301</v>
      </c>
      <c r="B886" s="647"/>
      <c r="C886" s="644"/>
      <c r="D886" s="644"/>
      <c r="E886" s="493">
        <f t="shared" si="324"/>
        <v>0</v>
      </c>
      <c r="F886" s="763">
        <f t="shared" si="325"/>
        <v>6.9300000000000004E-3</v>
      </c>
      <c r="G886" s="493">
        <f t="shared" si="326"/>
        <v>0</v>
      </c>
      <c r="H886" s="493">
        <f t="shared" si="327"/>
        <v>0</v>
      </c>
      <c r="I886" s="493">
        <f t="shared" si="327"/>
        <v>0</v>
      </c>
      <c r="J886" s="493">
        <f t="shared" si="327"/>
        <v>0</v>
      </c>
      <c r="K886" s="493">
        <f t="shared" si="327"/>
        <v>0</v>
      </c>
      <c r="L886" s="493">
        <f t="shared" si="327"/>
        <v>0</v>
      </c>
      <c r="M886" s="493">
        <f t="shared" si="327"/>
        <v>0</v>
      </c>
      <c r="N886" s="493">
        <f t="shared" si="327"/>
        <v>0</v>
      </c>
      <c r="O886" s="493">
        <f t="shared" si="327"/>
        <v>0</v>
      </c>
      <c r="P886" s="493">
        <f t="shared" si="327"/>
        <v>0</v>
      </c>
      <c r="Q886" s="493">
        <f t="shared" si="327"/>
        <v>0</v>
      </c>
      <c r="R886" s="493">
        <f t="shared" si="317"/>
        <v>0</v>
      </c>
      <c r="S886" s="493">
        <f t="shared" si="318"/>
        <v>0</v>
      </c>
      <c r="T886" s="794"/>
      <c r="V886" s="641">
        <f t="shared" si="319"/>
        <v>0</v>
      </c>
      <c r="W886" s="488"/>
      <c r="X886" s="1016"/>
      <c r="Y886" s="675"/>
      <c r="Z886" s="767"/>
      <c r="AA886" s="675"/>
      <c r="AB886" s="767"/>
      <c r="AC886" s="675"/>
      <c r="AD886" s="767"/>
      <c r="AE886" s="675"/>
      <c r="AF886" s="767"/>
      <c r="AL886" s="489"/>
      <c r="AM886" s="489"/>
      <c r="AN886" s="489"/>
      <c r="AO886" s="489"/>
      <c r="AP886" s="489"/>
      <c r="AQ886" s="489"/>
      <c r="AR886" s="489"/>
      <c r="AS886" s="489"/>
    </row>
    <row r="887" spans="1:45" s="484" customFormat="1" ht="14.5">
      <c r="A887" s="695" t="s">
        <v>1302</v>
      </c>
      <c r="B887" s="647"/>
      <c r="C887" s="644"/>
      <c r="D887" s="644"/>
      <c r="E887" s="493">
        <f t="shared" si="324"/>
        <v>0</v>
      </c>
      <c r="F887" s="763">
        <f t="shared" si="325"/>
        <v>1.5E-3</v>
      </c>
      <c r="G887" s="493">
        <f t="shared" si="326"/>
        <v>0</v>
      </c>
      <c r="H887" s="493">
        <f t="shared" si="327"/>
        <v>0</v>
      </c>
      <c r="I887" s="493">
        <f t="shared" si="327"/>
        <v>0</v>
      </c>
      <c r="J887" s="493">
        <f t="shared" si="327"/>
        <v>0</v>
      </c>
      <c r="K887" s="493">
        <f t="shared" si="327"/>
        <v>0</v>
      </c>
      <c r="L887" s="493">
        <f t="shared" si="327"/>
        <v>0</v>
      </c>
      <c r="M887" s="493">
        <f t="shared" si="327"/>
        <v>0</v>
      </c>
      <c r="N887" s="493">
        <f t="shared" si="327"/>
        <v>0</v>
      </c>
      <c r="O887" s="493">
        <f t="shared" si="327"/>
        <v>0</v>
      </c>
      <c r="P887" s="493">
        <f t="shared" si="327"/>
        <v>0</v>
      </c>
      <c r="Q887" s="493">
        <f t="shared" si="327"/>
        <v>0</v>
      </c>
      <c r="R887" s="493">
        <f t="shared" si="317"/>
        <v>0</v>
      </c>
      <c r="S887" s="493">
        <f t="shared" si="318"/>
        <v>0</v>
      </c>
      <c r="T887" s="794"/>
      <c r="V887" s="641">
        <f t="shared" si="319"/>
        <v>0</v>
      </c>
      <c r="W887" s="488"/>
      <c r="X887" s="1016"/>
      <c r="Y887" s="675"/>
      <c r="Z887" s="767"/>
      <c r="AA887" s="675"/>
      <c r="AB887" s="767"/>
      <c r="AC887" s="675"/>
      <c r="AD887" s="767"/>
      <c r="AE887" s="675"/>
      <c r="AF887" s="767"/>
      <c r="AL887" s="489"/>
      <c r="AM887" s="489"/>
      <c r="AN887" s="489"/>
      <c r="AO887" s="489"/>
      <c r="AP887" s="489"/>
      <c r="AQ887" s="489"/>
      <c r="AR887" s="489"/>
      <c r="AS887" s="489"/>
    </row>
    <row r="888" spans="1:45" s="484" customFormat="1" ht="14.5">
      <c r="A888" s="695" t="s">
        <v>1303</v>
      </c>
      <c r="B888" s="647"/>
      <c r="C888" s="644"/>
      <c r="D888" s="644"/>
      <c r="E888" s="493">
        <f t="shared" si="324"/>
        <v>0</v>
      </c>
      <c r="F888" s="763">
        <f t="shared" si="325"/>
        <v>1.5E-3</v>
      </c>
      <c r="G888" s="493">
        <f t="shared" si="326"/>
        <v>0</v>
      </c>
      <c r="H888" s="493">
        <f t="shared" si="327"/>
        <v>0</v>
      </c>
      <c r="I888" s="493">
        <f t="shared" si="327"/>
        <v>0</v>
      </c>
      <c r="J888" s="493">
        <f t="shared" si="327"/>
        <v>0</v>
      </c>
      <c r="K888" s="493">
        <f t="shared" si="327"/>
        <v>0</v>
      </c>
      <c r="L888" s="493">
        <f t="shared" si="327"/>
        <v>0</v>
      </c>
      <c r="M888" s="493">
        <f t="shared" si="327"/>
        <v>0</v>
      </c>
      <c r="N888" s="493">
        <f t="shared" si="327"/>
        <v>0</v>
      </c>
      <c r="O888" s="493">
        <f t="shared" si="327"/>
        <v>0</v>
      </c>
      <c r="P888" s="493">
        <f t="shared" si="327"/>
        <v>0</v>
      </c>
      <c r="Q888" s="493">
        <f t="shared" si="327"/>
        <v>0</v>
      </c>
      <c r="R888" s="493">
        <f t="shared" si="317"/>
        <v>0</v>
      </c>
      <c r="S888" s="493">
        <f t="shared" si="318"/>
        <v>0</v>
      </c>
      <c r="T888" s="794"/>
      <c r="V888" s="641">
        <f t="shared" si="319"/>
        <v>0</v>
      </c>
      <c r="W888" s="488"/>
      <c r="X888" s="1016"/>
      <c r="Y888" s="675"/>
      <c r="Z888" s="767"/>
      <c r="AA888" s="675"/>
      <c r="AB888" s="767"/>
      <c r="AC888" s="675"/>
      <c r="AD888" s="767"/>
      <c r="AE888" s="675"/>
      <c r="AF888" s="767"/>
      <c r="AL888" s="489"/>
      <c r="AM888" s="489"/>
      <c r="AN888" s="489"/>
      <c r="AO888" s="489"/>
      <c r="AP888" s="489"/>
      <c r="AQ888" s="489"/>
      <c r="AR888" s="489"/>
      <c r="AS888" s="489"/>
    </row>
    <row r="889" spans="1:45" s="484" customFormat="1" ht="14.5">
      <c r="A889" s="695" t="s">
        <v>1304</v>
      </c>
      <c r="B889" s="647"/>
      <c r="C889" s="644"/>
      <c r="D889" s="644"/>
      <c r="E889" s="493">
        <f t="shared" si="324"/>
        <v>0</v>
      </c>
      <c r="F889" s="763">
        <f t="shared" si="325"/>
        <v>1.5E-3</v>
      </c>
      <c r="G889" s="493">
        <f t="shared" si="326"/>
        <v>0</v>
      </c>
      <c r="H889" s="493">
        <f t="shared" si="327"/>
        <v>0</v>
      </c>
      <c r="I889" s="493">
        <f t="shared" si="327"/>
        <v>0</v>
      </c>
      <c r="J889" s="493">
        <f t="shared" si="327"/>
        <v>0</v>
      </c>
      <c r="K889" s="493">
        <f t="shared" si="327"/>
        <v>0</v>
      </c>
      <c r="L889" s="493">
        <f t="shared" si="327"/>
        <v>0</v>
      </c>
      <c r="M889" s="493">
        <f t="shared" si="327"/>
        <v>0</v>
      </c>
      <c r="N889" s="493">
        <f t="shared" si="327"/>
        <v>0</v>
      </c>
      <c r="O889" s="493">
        <f t="shared" si="327"/>
        <v>0</v>
      </c>
      <c r="P889" s="493">
        <f t="shared" si="327"/>
        <v>0</v>
      </c>
      <c r="Q889" s="493">
        <f t="shared" si="327"/>
        <v>0</v>
      </c>
      <c r="R889" s="493">
        <f t="shared" si="317"/>
        <v>0</v>
      </c>
      <c r="S889" s="493">
        <f t="shared" si="318"/>
        <v>0</v>
      </c>
      <c r="T889" s="794"/>
      <c r="V889" s="641">
        <f t="shared" si="319"/>
        <v>0</v>
      </c>
      <c r="W889" s="488"/>
      <c r="X889" s="1016"/>
      <c r="Y889" s="675"/>
      <c r="Z889" s="767"/>
      <c r="AA889" s="675"/>
      <c r="AB889" s="767"/>
      <c r="AC889" s="675"/>
      <c r="AD889" s="767"/>
      <c r="AE889" s="675"/>
      <c r="AF889" s="767"/>
      <c r="AL889" s="489"/>
      <c r="AM889" s="489"/>
      <c r="AN889" s="489"/>
      <c r="AO889" s="489"/>
      <c r="AP889" s="489"/>
      <c r="AQ889" s="489"/>
      <c r="AR889" s="489"/>
      <c r="AS889" s="489"/>
    </row>
    <row r="890" spans="1:45" s="484" customFormat="1" ht="14.5">
      <c r="A890" s="695" t="s">
        <v>1305</v>
      </c>
      <c r="B890" s="647"/>
      <c r="C890" s="644"/>
      <c r="D890" s="644"/>
      <c r="E890" s="493">
        <f t="shared" si="324"/>
        <v>0</v>
      </c>
      <c r="F890" s="763">
        <f t="shared" si="325"/>
        <v>1.75E-3</v>
      </c>
      <c r="G890" s="493">
        <f t="shared" si="326"/>
        <v>0</v>
      </c>
      <c r="H890" s="493">
        <f t="shared" si="327"/>
        <v>0</v>
      </c>
      <c r="I890" s="493">
        <f t="shared" si="327"/>
        <v>0</v>
      </c>
      <c r="J890" s="493">
        <f t="shared" si="327"/>
        <v>0</v>
      </c>
      <c r="K890" s="493">
        <f t="shared" si="327"/>
        <v>0</v>
      </c>
      <c r="L890" s="493">
        <f t="shared" si="327"/>
        <v>0</v>
      </c>
      <c r="M890" s="493">
        <f t="shared" si="327"/>
        <v>0</v>
      </c>
      <c r="N890" s="493">
        <f t="shared" si="327"/>
        <v>0</v>
      </c>
      <c r="O890" s="493">
        <f t="shared" si="327"/>
        <v>0</v>
      </c>
      <c r="P890" s="493">
        <f t="shared" si="327"/>
        <v>0</v>
      </c>
      <c r="Q890" s="493">
        <f t="shared" si="327"/>
        <v>0</v>
      </c>
      <c r="R890" s="493">
        <f t="shared" si="317"/>
        <v>0</v>
      </c>
      <c r="S890" s="493">
        <f t="shared" si="318"/>
        <v>0</v>
      </c>
      <c r="T890" s="794"/>
      <c r="V890" s="641">
        <f t="shared" si="319"/>
        <v>0</v>
      </c>
      <c r="W890" s="488"/>
      <c r="X890" s="1016"/>
      <c r="Y890" s="675"/>
      <c r="Z890" s="767"/>
      <c r="AA890" s="675"/>
      <c r="AB890" s="767"/>
      <c r="AC890" s="675"/>
      <c r="AD890" s="767"/>
      <c r="AE890" s="675"/>
      <c r="AF890" s="767"/>
      <c r="AL890" s="489"/>
      <c r="AM890" s="489"/>
      <c r="AN890" s="489"/>
      <c r="AO890" s="489"/>
      <c r="AP890" s="489"/>
      <c r="AQ890" s="489"/>
      <c r="AR890" s="489"/>
      <c r="AS890" s="489"/>
    </row>
    <row r="891" spans="1:45" s="484" customFormat="1" ht="14.5">
      <c r="A891" s="695" t="s">
        <v>1306</v>
      </c>
      <c r="B891" s="647"/>
      <c r="C891" s="644"/>
      <c r="D891" s="644"/>
      <c r="E891" s="493">
        <f t="shared" si="324"/>
        <v>0</v>
      </c>
      <c r="F891" s="763">
        <f t="shared" si="325"/>
        <v>6.8999999999999999E-3</v>
      </c>
      <c r="G891" s="493">
        <f t="shared" si="326"/>
        <v>0</v>
      </c>
      <c r="H891" s="493">
        <f t="shared" si="327"/>
        <v>0</v>
      </c>
      <c r="I891" s="493">
        <f t="shared" si="327"/>
        <v>0</v>
      </c>
      <c r="J891" s="493">
        <f t="shared" si="327"/>
        <v>0</v>
      </c>
      <c r="K891" s="493">
        <f t="shared" si="327"/>
        <v>0</v>
      </c>
      <c r="L891" s="493">
        <f t="shared" si="327"/>
        <v>0</v>
      </c>
      <c r="M891" s="493">
        <f t="shared" si="327"/>
        <v>0</v>
      </c>
      <c r="N891" s="493">
        <f t="shared" si="327"/>
        <v>0</v>
      </c>
      <c r="O891" s="493">
        <f t="shared" si="327"/>
        <v>0</v>
      </c>
      <c r="P891" s="493">
        <f t="shared" si="327"/>
        <v>0</v>
      </c>
      <c r="Q891" s="493">
        <f t="shared" si="327"/>
        <v>0</v>
      </c>
      <c r="R891" s="493">
        <f t="shared" si="317"/>
        <v>0</v>
      </c>
      <c r="S891" s="493">
        <f t="shared" si="318"/>
        <v>0</v>
      </c>
      <c r="T891" s="794"/>
      <c r="V891" s="641">
        <f t="shared" si="319"/>
        <v>0</v>
      </c>
      <c r="W891" s="488"/>
      <c r="X891" s="1016"/>
      <c r="Y891" s="675"/>
      <c r="Z891" s="767"/>
      <c r="AA891" s="675"/>
      <c r="AB891" s="767"/>
      <c r="AC891" s="675"/>
      <c r="AD891" s="767"/>
      <c r="AE891" s="675"/>
      <c r="AF891" s="767"/>
      <c r="AL891" s="489"/>
      <c r="AM891" s="489"/>
      <c r="AN891" s="489"/>
      <c r="AO891" s="489"/>
      <c r="AP891" s="489"/>
      <c r="AQ891" s="489"/>
      <c r="AR891" s="489"/>
      <c r="AS891" s="489"/>
    </row>
    <row r="892" spans="1:45" s="484" customFormat="1" ht="14.5">
      <c r="A892" s="695" t="s">
        <v>1307</v>
      </c>
      <c r="B892" s="647"/>
      <c r="C892" s="644"/>
      <c r="D892" s="644"/>
      <c r="E892" s="493">
        <f t="shared" si="324"/>
        <v>0</v>
      </c>
      <c r="F892" s="763">
        <f t="shared" si="325"/>
        <v>1.4999999999999999E-2</v>
      </c>
      <c r="G892" s="493">
        <f t="shared" si="326"/>
        <v>0</v>
      </c>
      <c r="H892" s="493">
        <f t="shared" ref="H892:Q894" si="328">(G447+H447)/2*$F892/12</f>
        <v>0</v>
      </c>
      <c r="I892" s="493">
        <f t="shared" si="328"/>
        <v>0</v>
      </c>
      <c r="J892" s="493">
        <f t="shared" si="328"/>
        <v>0</v>
      </c>
      <c r="K892" s="493">
        <f t="shared" si="328"/>
        <v>0</v>
      </c>
      <c r="L892" s="493">
        <f t="shared" si="328"/>
        <v>0</v>
      </c>
      <c r="M892" s="493">
        <f t="shared" si="328"/>
        <v>0</v>
      </c>
      <c r="N892" s="493">
        <f t="shared" si="328"/>
        <v>0</v>
      </c>
      <c r="O892" s="493">
        <f t="shared" si="328"/>
        <v>0</v>
      </c>
      <c r="P892" s="493">
        <f t="shared" si="328"/>
        <v>0</v>
      </c>
      <c r="Q892" s="493">
        <f t="shared" si="328"/>
        <v>0</v>
      </c>
      <c r="R892" s="493">
        <f t="shared" si="317"/>
        <v>0</v>
      </c>
      <c r="S892" s="493">
        <f t="shared" si="318"/>
        <v>0</v>
      </c>
      <c r="T892" s="794"/>
      <c r="V892" s="641">
        <f t="shared" si="319"/>
        <v>0</v>
      </c>
      <c r="W892" s="488"/>
      <c r="X892" s="1016"/>
      <c r="Y892" s="675"/>
      <c r="Z892" s="767"/>
      <c r="AA892" s="675"/>
      <c r="AB892" s="767"/>
      <c r="AC892" s="675"/>
      <c r="AD892" s="767"/>
      <c r="AE892" s="675"/>
      <c r="AF892" s="767"/>
      <c r="AL892" s="489"/>
      <c r="AM892" s="489"/>
      <c r="AN892" s="489"/>
      <c r="AO892" s="489"/>
      <c r="AP892" s="489"/>
      <c r="AQ892" s="489"/>
      <c r="AR892" s="489"/>
      <c r="AS892" s="489"/>
    </row>
    <row r="893" spans="1:45" s="484" customFormat="1" ht="14.5">
      <c r="A893" s="695" t="s">
        <v>1308</v>
      </c>
      <c r="B893" s="647"/>
      <c r="C893" s="644"/>
      <c r="D893" s="644"/>
      <c r="E893" s="493">
        <f t="shared" si="324"/>
        <v>0</v>
      </c>
      <c r="F893" s="763">
        <f t="shared" si="325"/>
        <v>1.5E-3</v>
      </c>
      <c r="G893" s="493">
        <f t="shared" si="326"/>
        <v>0</v>
      </c>
      <c r="H893" s="493">
        <f t="shared" si="328"/>
        <v>0</v>
      </c>
      <c r="I893" s="493">
        <f t="shared" si="328"/>
        <v>0</v>
      </c>
      <c r="J893" s="493">
        <f t="shared" si="328"/>
        <v>0</v>
      </c>
      <c r="K893" s="493">
        <f t="shared" si="328"/>
        <v>0</v>
      </c>
      <c r="L893" s="493">
        <f t="shared" si="328"/>
        <v>0</v>
      </c>
      <c r="M893" s="493">
        <f t="shared" si="328"/>
        <v>0</v>
      </c>
      <c r="N893" s="493">
        <f t="shared" si="328"/>
        <v>0</v>
      </c>
      <c r="O893" s="493">
        <f t="shared" si="328"/>
        <v>0</v>
      </c>
      <c r="P893" s="493">
        <f t="shared" si="328"/>
        <v>0</v>
      </c>
      <c r="Q893" s="493">
        <f t="shared" si="328"/>
        <v>0</v>
      </c>
      <c r="R893" s="493">
        <f t="shared" si="317"/>
        <v>0</v>
      </c>
      <c r="S893" s="493">
        <f t="shared" si="318"/>
        <v>0</v>
      </c>
      <c r="T893" s="794"/>
      <c r="V893" s="641">
        <f t="shared" si="319"/>
        <v>0</v>
      </c>
      <c r="W893" s="488"/>
      <c r="X893" s="1016"/>
      <c r="Y893" s="675"/>
      <c r="Z893" s="767"/>
      <c r="AA893" s="675"/>
      <c r="AB893" s="767"/>
      <c r="AC893" s="675"/>
      <c r="AD893" s="767"/>
      <c r="AE893" s="675"/>
      <c r="AF893" s="767"/>
      <c r="AL893" s="489"/>
      <c r="AM893" s="489"/>
      <c r="AN893" s="489"/>
      <c r="AO893" s="489"/>
      <c r="AP893" s="489"/>
      <c r="AQ893" s="489"/>
      <c r="AR893" s="489"/>
      <c r="AS893" s="489"/>
    </row>
    <row r="894" spans="1:45" s="484" customFormat="1" ht="14.5">
      <c r="A894" s="695" t="s">
        <v>1309</v>
      </c>
      <c r="B894" s="647"/>
      <c r="C894" s="644"/>
      <c r="D894" s="644"/>
      <c r="E894" s="493">
        <f t="shared" si="324"/>
        <v>0</v>
      </c>
      <c r="F894" s="763">
        <f t="shared" si="325"/>
        <v>8.1799999999999998E-3</v>
      </c>
      <c r="G894" s="493">
        <f t="shared" si="326"/>
        <v>0</v>
      </c>
      <c r="H894" s="493">
        <f t="shared" si="328"/>
        <v>0</v>
      </c>
      <c r="I894" s="493">
        <f t="shared" si="328"/>
        <v>0</v>
      </c>
      <c r="J894" s="493">
        <f t="shared" si="328"/>
        <v>0</v>
      </c>
      <c r="K894" s="493">
        <f t="shared" si="328"/>
        <v>0</v>
      </c>
      <c r="L894" s="493">
        <f t="shared" si="328"/>
        <v>0</v>
      </c>
      <c r="M894" s="493">
        <f t="shared" si="328"/>
        <v>0</v>
      </c>
      <c r="N894" s="493">
        <f t="shared" si="328"/>
        <v>0</v>
      </c>
      <c r="O894" s="493">
        <f t="shared" si="328"/>
        <v>0</v>
      </c>
      <c r="P894" s="493">
        <f t="shared" si="328"/>
        <v>0</v>
      </c>
      <c r="Q894" s="493">
        <f t="shared" si="328"/>
        <v>0</v>
      </c>
      <c r="R894" s="493">
        <f t="shared" si="317"/>
        <v>0</v>
      </c>
      <c r="S894" s="493">
        <f t="shared" si="318"/>
        <v>0</v>
      </c>
      <c r="T894" s="794"/>
      <c r="V894" s="641">
        <f t="shared" si="319"/>
        <v>0</v>
      </c>
      <c r="W894" s="488"/>
      <c r="X894" s="1016"/>
      <c r="Y894" s="675"/>
      <c r="Z894" s="767"/>
      <c r="AA894" s="675"/>
      <c r="AB894" s="767"/>
      <c r="AC894" s="675"/>
      <c r="AD894" s="767"/>
      <c r="AE894" s="675"/>
      <c r="AF894" s="767"/>
      <c r="AL894" s="489"/>
      <c r="AM894" s="489"/>
      <c r="AN894" s="489"/>
      <c r="AO894" s="489"/>
      <c r="AP894" s="489"/>
      <c r="AQ894" s="489"/>
      <c r="AR894" s="489"/>
      <c r="AS894" s="489"/>
    </row>
    <row r="895" spans="1:45" s="484" customFormat="1" ht="14.5">
      <c r="A895" s="695"/>
      <c r="B895" s="647"/>
      <c r="C895" s="644"/>
      <c r="D895" s="644"/>
      <c r="E895" s="644"/>
      <c r="F895" s="768"/>
      <c r="G895" s="493"/>
      <c r="H895" s="493"/>
      <c r="I895" s="493"/>
      <c r="J895" s="493"/>
      <c r="K895" s="493"/>
      <c r="L895" s="493"/>
      <c r="M895" s="493"/>
      <c r="N895" s="493"/>
      <c r="O895" s="493"/>
      <c r="P895" s="493"/>
      <c r="Q895" s="493"/>
      <c r="R895" s="493"/>
      <c r="S895" s="493"/>
      <c r="T895" s="794"/>
      <c r="V895" s="641">
        <f t="shared" si="319"/>
        <v>0</v>
      </c>
      <c r="W895" s="488"/>
      <c r="X895" s="1016"/>
      <c r="Y895" s="675"/>
      <c r="Z895" s="767"/>
      <c r="AA895" s="675"/>
      <c r="AB895" s="767"/>
      <c r="AC895" s="675"/>
      <c r="AD895" s="767"/>
      <c r="AE895" s="675"/>
      <c r="AF895" s="767"/>
      <c r="AL895" s="489"/>
      <c r="AM895" s="489"/>
      <c r="AN895" s="489"/>
      <c r="AO895" s="489"/>
      <c r="AP895" s="489"/>
      <c r="AQ895" s="489"/>
      <c r="AR895" s="489"/>
      <c r="AS895" s="489"/>
    </row>
    <row r="896" spans="1:45" s="484" customFormat="1">
      <c r="A896" s="490" t="s">
        <v>1345</v>
      </c>
      <c r="B896" s="653"/>
      <c r="C896" s="654"/>
      <c r="D896" s="654">
        <f>SUM(D860:D875)</f>
        <v>0</v>
      </c>
      <c r="E896" s="654">
        <f>SUM(E860:E895)</f>
        <v>8188438.9609831246</v>
      </c>
      <c r="F896" s="707"/>
      <c r="G896" s="654">
        <f>SUM(G860:G895)</f>
        <v>39263689.875463977</v>
      </c>
      <c r="H896" s="654">
        <f t="shared" ref="H896:V896" si="329">SUM(H860:H895)</f>
        <v>107049751.82896173</v>
      </c>
      <c r="I896" s="654">
        <f t="shared" si="329"/>
        <v>196848251.82896173</v>
      </c>
      <c r="J896" s="654">
        <f t="shared" si="329"/>
        <v>291553001.82896173</v>
      </c>
      <c r="K896" s="654">
        <f t="shared" si="329"/>
        <v>386257751.82896167</v>
      </c>
      <c r="L896" s="654">
        <f t="shared" si="329"/>
        <v>476056251.82896167</v>
      </c>
      <c r="M896" s="654">
        <f t="shared" si="329"/>
        <v>565854751.82896173</v>
      </c>
      <c r="N896" s="654">
        <f t="shared" si="329"/>
        <v>660670043.49562848</v>
      </c>
      <c r="O896" s="654">
        <f t="shared" si="329"/>
        <v>748002126.82896173</v>
      </c>
      <c r="P896" s="654">
        <f t="shared" si="329"/>
        <v>822834210.1622951</v>
      </c>
      <c r="Q896" s="654">
        <f t="shared" si="329"/>
        <v>895199876.82896173</v>
      </c>
      <c r="R896" s="654">
        <f>SUM(R860:R895)</f>
        <v>952599126.82896173</v>
      </c>
      <c r="S896" s="654">
        <f>SUM(S860:S895)</f>
        <v>997498376.82896173</v>
      </c>
      <c r="T896" s="816"/>
      <c r="V896" s="654">
        <f t="shared" si="329"/>
        <v>7100423521.9475403</v>
      </c>
      <c r="W896" s="708"/>
      <c r="X896" s="1017"/>
      <c r="Y896" s="718">
        <f>SUM(Y860:Y877)</f>
        <v>1206596289.3205006</v>
      </c>
      <c r="Z896" s="708">
        <f>Y896/V896-1</f>
        <v>-0.83006699732897771</v>
      </c>
      <c r="AA896" s="718">
        <f>SUM(AA860:AA875)</f>
        <v>1025547039.9489672</v>
      </c>
      <c r="AB896" s="708">
        <f>+AA896/Y896-1</f>
        <v>-0.15004956585229678</v>
      </c>
      <c r="AC896" s="718">
        <f>SUM(AC860:AC875)</f>
        <v>1495589433.2589104</v>
      </c>
      <c r="AD896" s="708">
        <f>+AC896/AA896-1</f>
        <v>0.45833333333333326</v>
      </c>
      <c r="AE896" s="718">
        <f>SUM(AE860:AE875)</f>
        <v>2019045734.8995295</v>
      </c>
      <c r="AF896" s="708">
        <f>+AE896/AC896-1</f>
        <v>0.35000000000000031</v>
      </c>
      <c r="AL896" s="489"/>
      <c r="AM896" s="489"/>
      <c r="AN896" s="489"/>
      <c r="AO896" s="489"/>
      <c r="AP896" s="489"/>
      <c r="AQ896" s="489"/>
      <c r="AR896" s="489"/>
      <c r="AS896" s="489"/>
    </row>
    <row r="897" spans="1:45" s="484" customFormat="1">
      <c r="A897" s="499"/>
      <c r="B897" s="773"/>
      <c r="C897" s="774"/>
      <c r="D897" s="774"/>
      <c r="E897" s="774"/>
      <c r="F897" s="733"/>
      <c r="G897" s="774"/>
      <c r="H897" s="774"/>
      <c r="I897" s="774"/>
      <c r="J897" s="774"/>
      <c r="K897" s="774"/>
      <c r="L897" s="774"/>
      <c r="M897" s="774"/>
      <c r="N897" s="774"/>
      <c r="O897" s="774"/>
      <c r="P897" s="774"/>
      <c r="Q897" s="774"/>
      <c r="R897" s="774"/>
      <c r="S897" s="774"/>
      <c r="T897" s="827"/>
      <c r="V897" s="774"/>
      <c r="W897" s="775"/>
      <c r="X897" s="1030"/>
      <c r="Y897" s="776"/>
      <c r="Z897" s="775"/>
      <c r="AA897" s="776"/>
      <c r="AB897" s="775"/>
      <c r="AC897" s="776"/>
      <c r="AD897" s="775"/>
      <c r="AE897" s="776"/>
      <c r="AF897" s="775"/>
      <c r="AL897" s="489"/>
      <c r="AM897" s="489"/>
      <c r="AN897" s="489"/>
      <c r="AO897" s="489"/>
      <c r="AP897" s="489"/>
      <c r="AQ897" s="489"/>
      <c r="AR897" s="489"/>
      <c r="AS897" s="489"/>
    </row>
    <row r="898" spans="1:45" s="484" customFormat="1">
      <c r="A898" s="490" t="s">
        <v>1346</v>
      </c>
      <c r="B898" s="633"/>
      <c r="C898" s="634"/>
      <c r="D898" s="689"/>
      <c r="E898" s="689"/>
      <c r="F898" s="691"/>
      <c r="G898" s="690">
        <v>42735</v>
      </c>
      <c r="H898" s="690">
        <v>42736</v>
      </c>
      <c r="I898" s="690">
        <v>42768</v>
      </c>
      <c r="J898" s="690">
        <v>42800</v>
      </c>
      <c r="K898" s="690">
        <v>42832</v>
      </c>
      <c r="L898" s="690">
        <v>42864</v>
      </c>
      <c r="M898" s="690">
        <v>42896</v>
      </c>
      <c r="N898" s="690">
        <v>42928</v>
      </c>
      <c r="O898" s="690">
        <v>42960</v>
      </c>
      <c r="P898" s="690">
        <v>42992</v>
      </c>
      <c r="Q898" s="690">
        <v>43024</v>
      </c>
      <c r="R898" s="690">
        <v>43056</v>
      </c>
      <c r="S898" s="690">
        <v>43088</v>
      </c>
      <c r="T898" s="822"/>
      <c r="V898" s="690" t="s">
        <v>1159</v>
      </c>
      <c r="W898" s="692"/>
      <c r="X898" s="1022"/>
      <c r="Y898" s="693"/>
      <c r="Z898" s="693"/>
      <c r="AA898" s="694"/>
      <c r="AB898" s="694"/>
      <c r="AC898" s="694"/>
      <c r="AD898" s="694"/>
      <c r="AE898" s="694"/>
      <c r="AF898" s="694"/>
      <c r="AL898" s="489"/>
      <c r="AM898" s="489"/>
      <c r="AN898" s="489"/>
      <c r="AO898" s="489"/>
      <c r="AP898" s="489"/>
      <c r="AQ898" s="489"/>
      <c r="AR898" s="489"/>
      <c r="AS898" s="489"/>
    </row>
    <row r="899" spans="1:45" s="484" customFormat="1">
      <c r="A899" s="695" t="s">
        <v>1275</v>
      </c>
      <c r="B899" s="638"/>
      <c r="C899" s="639"/>
      <c r="D899" s="639"/>
      <c r="E899" s="493">
        <f>(0+E454)/2*$F899/12</f>
        <v>0</v>
      </c>
      <c r="F899" s="763">
        <f>+F860</f>
        <v>0.02</v>
      </c>
      <c r="G899" s="493">
        <f>(E454+G454)/2*$F899/12</f>
        <v>0</v>
      </c>
      <c r="H899" s="493">
        <f t="shared" ref="H899:Q914" si="330">(G454+H454)/2*$F899/12</f>
        <v>0</v>
      </c>
      <c r="I899" s="493">
        <f t="shared" si="330"/>
        <v>0</v>
      </c>
      <c r="J899" s="493">
        <f t="shared" si="330"/>
        <v>0</v>
      </c>
      <c r="K899" s="493">
        <f t="shared" si="330"/>
        <v>0</v>
      </c>
      <c r="L899" s="493">
        <f t="shared" si="330"/>
        <v>0</v>
      </c>
      <c r="M899" s="493">
        <f t="shared" si="330"/>
        <v>0</v>
      </c>
      <c r="N899" s="493">
        <f t="shared" ref="N899:P918" si="331">(M454+N454)/2*$F899/12</f>
        <v>0</v>
      </c>
      <c r="O899" s="493">
        <f t="shared" si="331"/>
        <v>0</v>
      </c>
      <c r="P899" s="493">
        <f t="shared" si="331"/>
        <v>0</v>
      </c>
      <c r="Q899" s="493">
        <f t="shared" si="330"/>
        <v>0</v>
      </c>
      <c r="R899" s="493">
        <f t="shared" ref="R899:R933" si="332">(Q454+R454)/2*$F899/12</f>
        <v>0</v>
      </c>
      <c r="S899" s="493">
        <f t="shared" ref="S899:S933" si="333">(R454+S454)/2*$F899/12</f>
        <v>0</v>
      </c>
      <c r="T899" s="794"/>
      <c r="V899" s="641">
        <f t="shared" ref="V899:V934" si="334">SUM(H899:U899)</f>
        <v>0</v>
      </c>
      <c r="W899" s="704"/>
      <c r="X899" s="1015"/>
      <c r="Y899" s="664">
        <f t="shared" ref="Y899:Y918" si="335">(Y478+V478)/2*Z899</f>
        <v>0</v>
      </c>
      <c r="Z899" s="764">
        <v>0.02</v>
      </c>
      <c r="AA899" s="664">
        <f t="shared" ref="AA899:AA918" si="336">(AA478+Y478)/2*AB899</f>
        <v>0</v>
      </c>
      <c r="AB899" s="764">
        <v>0.02</v>
      </c>
      <c r="AC899" s="664">
        <f t="shared" ref="AC899:AC918" si="337">(AC478+AA478)/2*AD899</f>
        <v>0</v>
      </c>
      <c r="AD899" s="764">
        <v>0.02</v>
      </c>
      <c r="AE899" s="664">
        <f t="shared" ref="AE899:AE918" si="338">(AE478+AC478)/2*AF899</f>
        <v>0</v>
      </c>
      <c r="AF899" s="764">
        <v>0.02</v>
      </c>
      <c r="AL899" s="489"/>
      <c r="AM899" s="489"/>
      <c r="AN899" s="489"/>
      <c r="AO899" s="489"/>
      <c r="AP899" s="489"/>
      <c r="AQ899" s="489"/>
      <c r="AR899" s="489"/>
      <c r="AS899" s="489"/>
    </row>
    <row r="900" spans="1:45" s="484" customFormat="1" ht="14.5">
      <c r="A900" s="695" t="s">
        <v>1276</v>
      </c>
      <c r="B900" s="647"/>
      <c r="C900" s="644"/>
      <c r="D900" s="644"/>
      <c r="E900" s="493">
        <f t="shared" ref="E900:E933" si="339">(0+E455)/2*$F900/12</f>
        <v>0</v>
      </c>
      <c r="F900" s="763">
        <f t="shared" ref="F900:F933" si="340">+F861</f>
        <v>1.2500000000000001E-2</v>
      </c>
      <c r="G900" s="493">
        <f t="shared" ref="G900:G933" si="341">(E455+G455)/2*$F900/12</f>
        <v>0</v>
      </c>
      <c r="H900" s="493">
        <f t="shared" si="330"/>
        <v>0</v>
      </c>
      <c r="I900" s="493">
        <f t="shared" si="330"/>
        <v>0</v>
      </c>
      <c r="J900" s="493">
        <f t="shared" si="330"/>
        <v>0</v>
      </c>
      <c r="K900" s="493">
        <f t="shared" si="330"/>
        <v>0</v>
      </c>
      <c r="L900" s="493">
        <f t="shared" si="330"/>
        <v>0</v>
      </c>
      <c r="M900" s="493">
        <f t="shared" si="330"/>
        <v>0</v>
      </c>
      <c r="N900" s="493">
        <f t="shared" si="331"/>
        <v>0</v>
      </c>
      <c r="O900" s="493">
        <f t="shared" si="331"/>
        <v>0</v>
      </c>
      <c r="P900" s="493">
        <f t="shared" si="331"/>
        <v>0</v>
      </c>
      <c r="Q900" s="493">
        <f t="shared" si="330"/>
        <v>0</v>
      </c>
      <c r="R900" s="493">
        <f t="shared" si="332"/>
        <v>0</v>
      </c>
      <c r="S900" s="493">
        <f t="shared" si="333"/>
        <v>0</v>
      </c>
      <c r="T900" s="794"/>
      <c r="V900" s="641">
        <f t="shared" si="334"/>
        <v>0</v>
      </c>
      <c r="W900" s="765"/>
      <c r="X900" s="1016"/>
      <c r="Y900" s="675">
        <f t="shared" si="335"/>
        <v>0</v>
      </c>
      <c r="Z900" s="766">
        <v>0.02</v>
      </c>
      <c r="AA900" s="675">
        <f t="shared" si="336"/>
        <v>0</v>
      </c>
      <c r="AB900" s="766">
        <v>0.02</v>
      </c>
      <c r="AC900" s="675">
        <f t="shared" si="337"/>
        <v>0</v>
      </c>
      <c r="AD900" s="766">
        <v>0.02</v>
      </c>
      <c r="AE900" s="675">
        <f t="shared" si="338"/>
        <v>0</v>
      </c>
      <c r="AF900" s="766">
        <v>0.02</v>
      </c>
      <c r="AL900" s="489"/>
      <c r="AM900" s="489"/>
      <c r="AN900" s="489"/>
      <c r="AO900" s="489"/>
      <c r="AP900" s="489"/>
      <c r="AQ900" s="489"/>
      <c r="AR900" s="489"/>
      <c r="AS900" s="489"/>
    </row>
    <row r="901" spans="1:45" s="484" customFormat="1">
      <c r="A901" s="695" t="s">
        <v>1277</v>
      </c>
      <c r="B901" s="638"/>
      <c r="C901" s="639"/>
      <c r="D901" s="639"/>
      <c r="E901" s="493">
        <f t="shared" si="339"/>
        <v>0</v>
      </c>
      <c r="F901" s="763">
        <f t="shared" si="340"/>
        <v>1.2500000000000001E-2</v>
      </c>
      <c r="G901" s="493">
        <f t="shared" si="341"/>
        <v>0</v>
      </c>
      <c r="H901" s="493">
        <f t="shared" si="330"/>
        <v>0</v>
      </c>
      <c r="I901" s="493">
        <f t="shared" si="330"/>
        <v>0</v>
      </c>
      <c r="J901" s="493">
        <f t="shared" si="330"/>
        <v>0</v>
      </c>
      <c r="K901" s="493">
        <f t="shared" si="330"/>
        <v>0</v>
      </c>
      <c r="L901" s="493">
        <f t="shared" si="330"/>
        <v>0</v>
      </c>
      <c r="M901" s="493">
        <f t="shared" si="330"/>
        <v>0</v>
      </c>
      <c r="N901" s="493">
        <f t="shared" si="331"/>
        <v>0</v>
      </c>
      <c r="O901" s="493">
        <f t="shared" si="331"/>
        <v>0</v>
      </c>
      <c r="P901" s="493">
        <f t="shared" si="331"/>
        <v>0</v>
      </c>
      <c r="Q901" s="493">
        <f t="shared" si="330"/>
        <v>0</v>
      </c>
      <c r="R901" s="493">
        <f t="shared" si="332"/>
        <v>0</v>
      </c>
      <c r="S901" s="493">
        <f t="shared" si="333"/>
        <v>0</v>
      </c>
      <c r="T901" s="794"/>
      <c r="V901" s="641">
        <f t="shared" si="334"/>
        <v>0</v>
      </c>
      <c r="W901" s="713"/>
      <c r="X901" s="1015"/>
      <c r="Y901" s="675">
        <f t="shared" si="335"/>
        <v>0</v>
      </c>
      <c r="Z901" s="766">
        <v>1.2500000000000001E-2</v>
      </c>
      <c r="AA901" s="675">
        <f t="shared" si="336"/>
        <v>0</v>
      </c>
      <c r="AB901" s="766">
        <v>1.2500000000000001E-2</v>
      </c>
      <c r="AC901" s="675">
        <f t="shared" si="337"/>
        <v>0</v>
      </c>
      <c r="AD901" s="766">
        <v>1.2500000000000001E-2</v>
      </c>
      <c r="AE901" s="675">
        <f t="shared" si="338"/>
        <v>0</v>
      </c>
      <c r="AF901" s="766">
        <v>1.2500000000000001E-2</v>
      </c>
      <c r="AL901" s="489"/>
      <c r="AM901" s="489"/>
      <c r="AN901" s="489"/>
      <c r="AO901" s="489"/>
      <c r="AP901" s="489"/>
      <c r="AQ901" s="489"/>
      <c r="AR901" s="489"/>
      <c r="AS901" s="489"/>
    </row>
    <row r="902" spans="1:45" s="484" customFormat="1" ht="14.5">
      <c r="A902" s="695" t="s">
        <v>1278</v>
      </c>
      <c r="B902" s="647"/>
      <c r="C902" s="644"/>
      <c r="D902" s="644"/>
      <c r="E902" s="493">
        <f t="shared" si="339"/>
        <v>0</v>
      </c>
      <c r="F902" s="763">
        <f t="shared" si="340"/>
        <v>1.2500000000000001E-2</v>
      </c>
      <c r="G902" s="493">
        <f t="shared" si="341"/>
        <v>0</v>
      </c>
      <c r="H902" s="493">
        <f t="shared" si="330"/>
        <v>0</v>
      </c>
      <c r="I902" s="493">
        <f t="shared" si="330"/>
        <v>0</v>
      </c>
      <c r="J902" s="493">
        <f t="shared" si="330"/>
        <v>0</v>
      </c>
      <c r="K902" s="493">
        <f t="shared" si="330"/>
        <v>0</v>
      </c>
      <c r="L902" s="493">
        <f t="shared" si="330"/>
        <v>0</v>
      </c>
      <c r="M902" s="493">
        <f t="shared" si="330"/>
        <v>0</v>
      </c>
      <c r="N902" s="493">
        <f t="shared" si="331"/>
        <v>0</v>
      </c>
      <c r="O902" s="493">
        <f t="shared" si="331"/>
        <v>0</v>
      </c>
      <c r="P902" s="493">
        <f t="shared" si="331"/>
        <v>0</v>
      </c>
      <c r="Q902" s="493">
        <f t="shared" si="330"/>
        <v>0</v>
      </c>
      <c r="R902" s="493">
        <f t="shared" si="332"/>
        <v>0</v>
      </c>
      <c r="S902" s="493">
        <f t="shared" si="333"/>
        <v>0</v>
      </c>
      <c r="T902" s="794"/>
      <c r="V902" s="641">
        <f t="shared" si="334"/>
        <v>0</v>
      </c>
      <c r="W902" s="765"/>
      <c r="X902" s="1016"/>
      <c r="Y902" s="675">
        <f t="shared" si="335"/>
        <v>893327329.12568748</v>
      </c>
      <c r="Z902" s="766">
        <v>1.2500000000000001E-2</v>
      </c>
      <c r="AA902" s="675">
        <f t="shared" si="336"/>
        <v>0</v>
      </c>
      <c r="AB902" s="766">
        <v>1.2500000000000001E-2</v>
      </c>
      <c r="AC902" s="675">
        <f t="shared" si="337"/>
        <v>0</v>
      </c>
      <c r="AD902" s="766">
        <v>1.2500000000000001E-2</v>
      </c>
      <c r="AE902" s="675">
        <f t="shared" si="338"/>
        <v>0</v>
      </c>
      <c r="AF902" s="766">
        <v>1.2500000000000001E-2</v>
      </c>
      <c r="AL902" s="489"/>
      <c r="AM902" s="489"/>
      <c r="AN902" s="489"/>
      <c r="AO902" s="489"/>
      <c r="AP902" s="489"/>
      <c r="AQ902" s="489"/>
      <c r="AR902" s="489"/>
      <c r="AS902" s="489"/>
    </row>
    <row r="903" spans="1:45" s="484" customFormat="1">
      <c r="A903" s="695" t="s">
        <v>1279</v>
      </c>
      <c r="B903" s="638"/>
      <c r="C903" s="639"/>
      <c r="D903" s="639"/>
      <c r="E903" s="493">
        <f t="shared" si="339"/>
        <v>0</v>
      </c>
      <c r="F903" s="763">
        <f t="shared" si="340"/>
        <v>0.03</v>
      </c>
      <c r="G903" s="493">
        <f t="shared" si="341"/>
        <v>0</v>
      </c>
      <c r="H903" s="493">
        <f t="shared" si="330"/>
        <v>0</v>
      </c>
      <c r="I903" s="493">
        <f t="shared" si="330"/>
        <v>0</v>
      </c>
      <c r="J903" s="493">
        <f t="shared" si="330"/>
        <v>0</v>
      </c>
      <c r="K903" s="493">
        <f t="shared" si="330"/>
        <v>0</v>
      </c>
      <c r="L903" s="493">
        <f t="shared" si="330"/>
        <v>0</v>
      </c>
      <c r="M903" s="493">
        <f t="shared" si="330"/>
        <v>0</v>
      </c>
      <c r="N903" s="493">
        <f t="shared" si="331"/>
        <v>0</v>
      </c>
      <c r="O903" s="493">
        <f t="shared" si="331"/>
        <v>0</v>
      </c>
      <c r="P903" s="493">
        <f t="shared" si="331"/>
        <v>0</v>
      </c>
      <c r="Q903" s="493">
        <f t="shared" si="330"/>
        <v>0</v>
      </c>
      <c r="R903" s="493">
        <f t="shared" si="332"/>
        <v>0</v>
      </c>
      <c r="S903" s="493">
        <f t="shared" si="333"/>
        <v>0</v>
      </c>
      <c r="T903" s="794"/>
      <c r="V903" s="641">
        <f t="shared" si="334"/>
        <v>0</v>
      </c>
      <c r="W903" s="713"/>
      <c r="X903" s="1015"/>
      <c r="Y903" s="675">
        <f t="shared" si="335"/>
        <v>1087618250</v>
      </c>
      <c r="Z903" s="766">
        <f>1%/1.1</f>
        <v>9.0909090909090905E-3</v>
      </c>
      <c r="AA903" s="675">
        <f t="shared" si="336"/>
        <v>0</v>
      </c>
      <c r="AB903" s="766">
        <f>1%/1.1</f>
        <v>9.0909090909090905E-3</v>
      </c>
      <c r="AC903" s="675">
        <f t="shared" si="337"/>
        <v>0</v>
      </c>
      <c r="AD903" s="766">
        <f>1%/1.1</f>
        <v>9.0909090909090905E-3</v>
      </c>
      <c r="AE903" s="675">
        <f t="shared" si="338"/>
        <v>0</v>
      </c>
      <c r="AF903" s="766">
        <f>1%/1.1</f>
        <v>9.0909090909090905E-3</v>
      </c>
      <c r="AL903" s="489"/>
      <c r="AM903" s="489"/>
      <c r="AN903" s="489"/>
      <c r="AO903" s="489"/>
      <c r="AP903" s="489"/>
      <c r="AQ903" s="489"/>
      <c r="AR903" s="489"/>
      <c r="AS903" s="489"/>
    </row>
    <row r="904" spans="1:45" s="484" customFormat="1" ht="14.5">
      <c r="A904" s="695" t="s">
        <v>1280</v>
      </c>
      <c r="B904" s="647"/>
      <c r="C904" s="644"/>
      <c r="D904" s="644"/>
      <c r="E904" s="493">
        <f t="shared" si="339"/>
        <v>0</v>
      </c>
      <c r="F904" s="763">
        <f t="shared" si="340"/>
        <v>1.2500000000000001E-2</v>
      </c>
      <c r="G904" s="493">
        <f t="shared" si="341"/>
        <v>0</v>
      </c>
      <c r="H904" s="493">
        <f t="shared" si="330"/>
        <v>0</v>
      </c>
      <c r="I904" s="493">
        <f t="shared" si="330"/>
        <v>0</v>
      </c>
      <c r="J904" s="493">
        <f t="shared" si="330"/>
        <v>0</v>
      </c>
      <c r="K904" s="493">
        <f t="shared" si="330"/>
        <v>0</v>
      </c>
      <c r="L904" s="493">
        <f t="shared" si="330"/>
        <v>0</v>
      </c>
      <c r="M904" s="493">
        <f t="shared" si="330"/>
        <v>0</v>
      </c>
      <c r="N904" s="493">
        <f t="shared" si="331"/>
        <v>0</v>
      </c>
      <c r="O904" s="493">
        <f t="shared" si="331"/>
        <v>0</v>
      </c>
      <c r="P904" s="493">
        <f t="shared" si="331"/>
        <v>0</v>
      </c>
      <c r="Q904" s="493">
        <f t="shared" si="330"/>
        <v>0</v>
      </c>
      <c r="R904" s="493">
        <f t="shared" si="332"/>
        <v>0</v>
      </c>
      <c r="S904" s="493">
        <f t="shared" si="333"/>
        <v>0</v>
      </c>
      <c r="T904" s="794"/>
      <c r="V904" s="641">
        <f t="shared" si="334"/>
        <v>0</v>
      </c>
      <c r="W904" s="765"/>
      <c r="X904" s="1016"/>
      <c r="Y904" s="675">
        <f t="shared" si="335"/>
        <v>742640700.75</v>
      </c>
      <c r="Z904" s="766">
        <v>1.2500000000000001E-2</v>
      </c>
      <c r="AA904" s="675">
        <f t="shared" si="336"/>
        <v>0</v>
      </c>
      <c r="AB904" s="766">
        <v>1.2500000000000001E-2</v>
      </c>
      <c r="AC904" s="675">
        <f t="shared" si="337"/>
        <v>0</v>
      </c>
      <c r="AD904" s="766">
        <v>1.2500000000000001E-2</v>
      </c>
      <c r="AE904" s="675">
        <f t="shared" si="338"/>
        <v>0</v>
      </c>
      <c r="AF904" s="766">
        <v>1.2500000000000001E-2</v>
      </c>
      <c r="AL904" s="489"/>
      <c r="AM904" s="489"/>
      <c r="AN904" s="489"/>
      <c r="AO904" s="489"/>
      <c r="AP904" s="489"/>
      <c r="AQ904" s="489"/>
      <c r="AR904" s="489"/>
      <c r="AS904" s="489"/>
    </row>
    <row r="905" spans="1:45" s="484" customFormat="1">
      <c r="A905" s="695" t="s">
        <v>1281</v>
      </c>
      <c r="B905" s="638"/>
      <c r="C905" s="639"/>
      <c r="D905" s="639"/>
      <c r="E905" s="493">
        <f t="shared" si="339"/>
        <v>0</v>
      </c>
      <c r="F905" s="763">
        <f t="shared" si="340"/>
        <v>8.9999999999999993E-3</v>
      </c>
      <c r="G905" s="493">
        <f t="shared" si="341"/>
        <v>0</v>
      </c>
      <c r="H905" s="493">
        <f t="shared" si="330"/>
        <v>0</v>
      </c>
      <c r="I905" s="493">
        <f t="shared" si="330"/>
        <v>0</v>
      </c>
      <c r="J905" s="493">
        <f t="shared" si="330"/>
        <v>0</v>
      </c>
      <c r="K905" s="493">
        <f t="shared" si="330"/>
        <v>0</v>
      </c>
      <c r="L905" s="493">
        <f t="shared" si="330"/>
        <v>0</v>
      </c>
      <c r="M905" s="493">
        <f t="shared" si="330"/>
        <v>0</v>
      </c>
      <c r="N905" s="493">
        <f t="shared" si="331"/>
        <v>0</v>
      </c>
      <c r="O905" s="493">
        <f t="shared" si="331"/>
        <v>0</v>
      </c>
      <c r="P905" s="493">
        <f t="shared" si="331"/>
        <v>0</v>
      </c>
      <c r="Q905" s="493">
        <f t="shared" si="330"/>
        <v>0</v>
      </c>
      <c r="R905" s="493">
        <f t="shared" si="332"/>
        <v>0</v>
      </c>
      <c r="S905" s="493">
        <f t="shared" si="333"/>
        <v>0</v>
      </c>
      <c r="T905" s="794"/>
      <c r="V905" s="641">
        <f t="shared" si="334"/>
        <v>0</v>
      </c>
      <c r="W905" s="713"/>
      <c r="X905" s="1015"/>
      <c r="Y905" s="675">
        <f t="shared" si="335"/>
        <v>0</v>
      </c>
      <c r="Z905" s="766">
        <v>1.2500000000000001E-2</v>
      </c>
      <c r="AA905" s="675">
        <f t="shared" si="336"/>
        <v>0</v>
      </c>
      <c r="AB905" s="766">
        <v>1.2500000000000001E-2</v>
      </c>
      <c r="AC905" s="675">
        <f t="shared" si="337"/>
        <v>0</v>
      </c>
      <c r="AD905" s="766">
        <v>1.2500000000000001E-2</v>
      </c>
      <c r="AE905" s="675">
        <f t="shared" si="338"/>
        <v>0</v>
      </c>
      <c r="AF905" s="766">
        <v>1.2500000000000001E-2</v>
      </c>
      <c r="AL905" s="489"/>
      <c r="AM905" s="489"/>
      <c r="AN905" s="489"/>
      <c r="AO905" s="489"/>
      <c r="AP905" s="489"/>
      <c r="AQ905" s="489"/>
      <c r="AR905" s="489"/>
      <c r="AS905" s="489"/>
    </row>
    <row r="906" spans="1:45" s="484" customFormat="1" ht="14.5">
      <c r="A906" s="695" t="s">
        <v>1282</v>
      </c>
      <c r="B906" s="647"/>
      <c r="C906" s="644"/>
      <c r="D906" s="644"/>
      <c r="E906" s="493">
        <f t="shared" si="339"/>
        <v>0</v>
      </c>
      <c r="F906" s="763">
        <f t="shared" si="340"/>
        <v>0</v>
      </c>
      <c r="G906" s="493">
        <f t="shared" si="341"/>
        <v>0</v>
      </c>
      <c r="H906" s="493">
        <f t="shared" si="330"/>
        <v>0</v>
      </c>
      <c r="I906" s="493">
        <f t="shared" si="330"/>
        <v>0</v>
      </c>
      <c r="J906" s="493">
        <f t="shared" si="330"/>
        <v>0</v>
      </c>
      <c r="K906" s="493">
        <f t="shared" si="330"/>
        <v>0</v>
      </c>
      <c r="L906" s="493">
        <f t="shared" si="330"/>
        <v>0</v>
      </c>
      <c r="M906" s="493">
        <f t="shared" si="330"/>
        <v>0</v>
      </c>
      <c r="N906" s="493">
        <f t="shared" si="331"/>
        <v>0</v>
      </c>
      <c r="O906" s="493">
        <f t="shared" si="331"/>
        <v>0</v>
      </c>
      <c r="P906" s="493">
        <f t="shared" si="331"/>
        <v>0</v>
      </c>
      <c r="Q906" s="493">
        <f t="shared" si="330"/>
        <v>0</v>
      </c>
      <c r="R906" s="493">
        <f t="shared" si="332"/>
        <v>0</v>
      </c>
      <c r="S906" s="493">
        <f t="shared" si="333"/>
        <v>0</v>
      </c>
      <c r="T906" s="794"/>
      <c r="V906" s="641">
        <f t="shared" si="334"/>
        <v>0</v>
      </c>
      <c r="W906" s="765"/>
      <c r="X906" s="1016"/>
      <c r="Y906" s="675">
        <f t="shared" si="335"/>
        <v>0</v>
      </c>
      <c r="Z906" s="766">
        <v>1.2500000000000001E-2</v>
      </c>
      <c r="AA906" s="675">
        <f t="shared" si="336"/>
        <v>0</v>
      </c>
      <c r="AB906" s="766">
        <v>1.2500000000000001E-2</v>
      </c>
      <c r="AC906" s="675">
        <f t="shared" si="337"/>
        <v>0</v>
      </c>
      <c r="AD906" s="766">
        <v>1.2500000000000001E-2</v>
      </c>
      <c r="AE906" s="675">
        <f t="shared" si="338"/>
        <v>0</v>
      </c>
      <c r="AF906" s="766">
        <v>1.2500000000000001E-2</v>
      </c>
      <c r="AL906" s="489"/>
      <c r="AM906" s="489"/>
      <c r="AN906" s="489"/>
      <c r="AO906" s="489"/>
      <c r="AP906" s="489"/>
      <c r="AQ906" s="489"/>
      <c r="AR906" s="489"/>
      <c r="AS906" s="489"/>
    </row>
    <row r="907" spans="1:45" s="484" customFormat="1">
      <c r="A907" s="695" t="s">
        <v>1283</v>
      </c>
      <c r="B907" s="638"/>
      <c r="C907" s="639"/>
      <c r="D907" s="639"/>
      <c r="E907" s="493">
        <f t="shared" si="339"/>
        <v>0</v>
      </c>
      <c r="F907" s="763">
        <f t="shared" si="340"/>
        <v>0</v>
      </c>
      <c r="G907" s="493">
        <f t="shared" si="341"/>
        <v>0</v>
      </c>
      <c r="H907" s="493">
        <f t="shared" si="330"/>
        <v>0</v>
      </c>
      <c r="I907" s="493">
        <f t="shared" si="330"/>
        <v>0</v>
      </c>
      <c r="J907" s="493">
        <f t="shared" si="330"/>
        <v>0</v>
      </c>
      <c r="K907" s="493">
        <f t="shared" si="330"/>
        <v>0</v>
      </c>
      <c r="L907" s="493">
        <f t="shared" si="330"/>
        <v>0</v>
      </c>
      <c r="M907" s="493">
        <f t="shared" si="330"/>
        <v>0</v>
      </c>
      <c r="N907" s="493">
        <f t="shared" si="331"/>
        <v>0</v>
      </c>
      <c r="O907" s="493">
        <f t="shared" si="331"/>
        <v>0</v>
      </c>
      <c r="P907" s="493">
        <f t="shared" si="331"/>
        <v>0</v>
      </c>
      <c r="Q907" s="493">
        <f t="shared" si="330"/>
        <v>0</v>
      </c>
      <c r="R907" s="493">
        <f t="shared" si="332"/>
        <v>0</v>
      </c>
      <c r="S907" s="493">
        <f t="shared" si="333"/>
        <v>0</v>
      </c>
      <c r="T907" s="794"/>
      <c r="V907" s="641">
        <f t="shared" si="334"/>
        <v>0</v>
      </c>
      <c r="W907" s="713"/>
      <c r="X907" s="1015"/>
      <c r="Y907" s="675">
        <f t="shared" si="335"/>
        <v>0</v>
      </c>
      <c r="Z907" s="766">
        <v>1.2500000000000001E-2</v>
      </c>
      <c r="AA907" s="675">
        <f t="shared" si="336"/>
        <v>0</v>
      </c>
      <c r="AB907" s="766">
        <v>1.2500000000000001E-2</v>
      </c>
      <c r="AC907" s="675">
        <f t="shared" si="337"/>
        <v>0</v>
      </c>
      <c r="AD907" s="766">
        <v>1.2500000000000001E-2</v>
      </c>
      <c r="AE907" s="675">
        <f t="shared" si="338"/>
        <v>0</v>
      </c>
      <c r="AF907" s="766">
        <v>1.2500000000000001E-2</v>
      </c>
      <c r="AL907" s="489"/>
      <c r="AM907" s="489"/>
      <c r="AN907" s="489"/>
      <c r="AO907" s="489"/>
      <c r="AP907" s="489"/>
      <c r="AQ907" s="489"/>
      <c r="AR907" s="489"/>
      <c r="AS907" s="489"/>
    </row>
    <row r="908" spans="1:45" s="484" customFormat="1" ht="14.5">
      <c r="A908" s="695" t="s">
        <v>1284</v>
      </c>
      <c r="B908" s="647"/>
      <c r="C908" s="644"/>
      <c r="D908" s="644"/>
      <c r="E908" s="493">
        <f t="shared" si="339"/>
        <v>0</v>
      </c>
      <c r="F908" s="763">
        <f t="shared" si="340"/>
        <v>1.4999999999999999E-2</v>
      </c>
      <c r="G908" s="493">
        <f t="shared" si="341"/>
        <v>0</v>
      </c>
      <c r="H908" s="493">
        <f t="shared" si="330"/>
        <v>0</v>
      </c>
      <c r="I908" s="493">
        <f t="shared" si="330"/>
        <v>0</v>
      </c>
      <c r="J908" s="493">
        <f t="shared" si="330"/>
        <v>0</v>
      </c>
      <c r="K908" s="493">
        <f t="shared" si="330"/>
        <v>0</v>
      </c>
      <c r="L908" s="493">
        <f t="shared" si="330"/>
        <v>0</v>
      </c>
      <c r="M908" s="493">
        <f t="shared" si="330"/>
        <v>0</v>
      </c>
      <c r="N908" s="493">
        <f t="shared" si="331"/>
        <v>0</v>
      </c>
      <c r="O908" s="493">
        <f t="shared" si="331"/>
        <v>0</v>
      </c>
      <c r="P908" s="493">
        <f t="shared" si="331"/>
        <v>0</v>
      </c>
      <c r="Q908" s="493">
        <f t="shared" si="330"/>
        <v>0</v>
      </c>
      <c r="R908" s="493">
        <f t="shared" si="332"/>
        <v>0</v>
      </c>
      <c r="S908" s="493">
        <f t="shared" si="333"/>
        <v>0</v>
      </c>
      <c r="T908" s="794"/>
      <c r="V908" s="641">
        <f t="shared" si="334"/>
        <v>0</v>
      </c>
      <c r="W908" s="765"/>
      <c r="X908" s="1016"/>
      <c r="Y908" s="675">
        <f t="shared" si="335"/>
        <v>625000000</v>
      </c>
      <c r="Z908" s="766">
        <v>1.2500000000000001E-2</v>
      </c>
      <c r="AA908" s="675">
        <f t="shared" si="336"/>
        <v>0</v>
      </c>
      <c r="AB908" s="766">
        <v>1.2500000000000001E-2</v>
      </c>
      <c r="AC908" s="675">
        <f t="shared" si="337"/>
        <v>0</v>
      </c>
      <c r="AD908" s="766">
        <v>1.2500000000000001E-2</v>
      </c>
      <c r="AE908" s="675">
        <f t="shared" si="338"/>
        <v>0</v>
      </c>
      <c r="AF908" s="766">
        <v>1.2500000000000001E-2</v>
      </c>
      <c r="AL908" s="489"/>
      <c r="AM908" s="489"/>
      <c r="AN908" s="489"/>
      <c r="AO908" s="489"/>
      <c r="AP908" s="489"/>
      <c r="AQ908" s="489"/>
      <c r="AR908" s="489"/>
      <c r="AS908" s="489"/>
    </row>
    <row r="909" spans="1:45" s="484" customFormat="1">
      <c r="A909" s="695" t="s">
        <v>1285</v>
      </c>
      <c r="B909" s="638"/>
      <c r="C909" s="639"/>
      <c r="D909" s="639"/>
      <c r="E909" s="493">
        <f t="shared" si="339"/>
        <v>0</v>
      </c>
      <c r="F909" s="763">
        <f t="shared" si="340"/>
        <v>1.4999999999999999E-2</v>
      </c>
      <c r="G909" s="493">
        <f t="shared" si="341"/>
        <v>0</v>
      </c>
      <c r="H909" s="493">
        <f t="shared" si="330"/>
        <v>0</v>
      </c>
      <c r="I909" s="493">
        <f t="shared" si="330"/>
        <v>0</v>
      </c>
      <c r="J909" s="493">
        <f t="shared" si="330"/>
        <v>0</v>
      </c>
      <c r="K909" s="493">
        <f t="shared" si="330"/>
        <v>0</v>
      </c>
      <c r="L909" s="493">
        <f t="shared" si="330"/>
        <v>0</v>
      </c>
      <c r="M909" s="493">
        <f t="shared" si="330"/>
        <v>0</v>
      </c>
      <c r="N909" s="493">
        <f t="shared" si="331"/>
        <v>0</v>
      </c>
      <c r="O909" s="493">
        <f t="shared" si="331"/>
        <v>0</v>
      </c>
      <c r="P909" s="493">
        <f t="shared" si="331"/>
        <v>0</v>
      </c>
      <c r="Q909" s="493">
        <f t="shared" si="330"/>
        <v>0</v>
      </c>
      <c r="R909" s="493">
        <f t="shared" si="332"/>
        <v>0</v>
      </c>
      <c r="S909" s="493">
        <f t="shared" si="333"/>
        <v>0</v>
      </c>
      <c r="T909" s="794"/>
      <c r="V909" s="641">
        <f t="shared" si="334"/>
        <v>0</v>
      </c>
      <c r="W909" s="713"/>
      <c r="X909" s="1015"/>
      <c r="Y909" s="675">
        <f t="shared" si="335"/>
        <v>0</v>
      </c>
      <c r="Z909" s="766">
        <v>1.2500000000000001E-2</v>
      </c>
      <c r="AA909" s="675">
        <f t="shared" si="336"/>
        <v>0</v>
      </c>
      <c r="AB909" s="766">
        <v>1.2500000000000001E-2</v>
      </c>
      <c r="AC909" s="675">
        <f t="shared" si="337"/>
        <v>0</v>
      </c>
      <c r="AD909" s="766">
        <v>1.2500000000000001E-2</v>
      </c>
      <c r="AE909" s="675">
        <f t="shared" si="338"/>
        <v>0</v>
      </c>
      <c r="AF909" s="766">
        <v>1.2500000000000001E-2</v>
      </c>
      <c r="AL909" s="489"/>
      <c r="AM909" s="489"/>
      <c r="AN909" s="489"/>
      <c r="AO909" s="489"/>
      <c r="AP909" s="489"/>
      <c r="AQ909" s="489"/>
      <c r="AR909" s="489"/>
      <c r="AS909" s="489"/>
    </row>
    <row r="910" spans="1:45" s="484" customFormat="1" ht="14.5">
      <c r="A910" s="695" t="s">
        <v>1286</v>
      </c>
      <c r="B910" s="647"/>
      <c r="C910" s="644"/>
      <c r="D910" s="644"/>
      <c r="E910" s="493">
        <f t="shared" si="339"/>
        <v>0</v>
      </c>
      <c r="F910" s="763">
        <f t="shared" si="340"/>
        <v>1.2500000000000001E-2</v>
      </c>
      <c r="G910" s="493">
        <f t="shared" si="341"/>
        <v>0</v>
      </c>
      <c r="H910" s="493">
        <f t="shared" si="330"/>
        <v>0</v>
      </c>
      <c r="I910" s="493">
        <f t="shared" si="330"/>
        <v>0</v>
      </c>
      <c r="J910" s="493">
        <f t="shared" si="330"/>
        <v>0</v>
      </c>
      <c r="K910" s="493">
        <f t="shared" si="330"/>
        <v>0</v>
      </c>
      <c r="L910" s="493">
        <f t="shared" si="330"/>
        <v>0</v>
      </c>
      <c r="M910" s="493">
        <f t="shared" si="330"/>
        <v>0</v>
      </c>
      <c r="N910" s="493">
        <f t="shared" si="331"/>
        <v>0</v>
      </c>
      <c r="O910" s="493">
        <f t="shared" si="331"/>
        <v>0</v>
      </c>
      <c r="P910" s="493">
        <f t="shared" si="331"/>
        <v>0</v>
      </c>
      <c r="Q910" s="493">
        <f t="shared" si="330"/>
        <v>0</v>
      </c>
      <c r="R910" s="493">
        <f t="shared" si="332"/>
        <v>0</v>
      </c>
      <c r="S910" s="493">
        <f t="shared" si="333"/>
        <v>0</v>
      </c>
      <c r="T910" s="794"/>
      <c r="V910" s="641">
        <f t="shared" si="334"/>
        <v>0</v>
      </c>
      <c r="W910" s="765"/>
      <c r="X910" s="1016"/>
      <c r="Y910" s="675">
        <f t="shared" si="335"/>
        <v>0</v>
      </c>
      <c r="Z910" s="766">
        <f>1%/1.1</f>
        <v>9.0909090909090905E-3</v>
      </c>
      <c r="AA910" s="675">
        <f t="shared" si="336"/>
        <v>0</v>
      </c>
      <c r="AB910" s="766">
        <f>1%/1.1</f>
        <v>9.0909090909090905E-3</v>
      </c>
      <c r="AC910" s="675">
        <f t="shared" si="337"/>
        <v>0</v>
      </c>
      <c r="AD910" s="766">
        <f>1%/1.1</f>
        <v>9.0909090909090905E-3</v>
      </c>
      <c r="AE910" s="675">
        <f t="shared" si="338"/>
        <v>0</v>
      </c>
      <c r="AF910" s="766">
        <f>1%/1.1</f>
        <v>9.0909090909090905E-3</v>
      </c>
      <c r="AL910" s="489"/>
      <c r="AM910" s="489"/>
      <c r="AN910" s="489"/>
      <c r="AO910" s="489"/>
      <c r="AP910" s="489"/>
      <c r="AQ910" s="489"/>
      <c r="AR910" s="489"/>
      <c r="AS910" s="489"/>
    </row>
    <row r="911" spans="1:45" s="484" customFormat="1">
      <c r="A911" s="695" t="s">
        <v>1287</v>
      </c>
      <c r="B911" s="638"/>
      <c r="C911" s="639"/>
      <c r="D911" s="639"/>
      <c r="E911" s="493">
        <f t="shared" si="339"/>
        <v>0</v>
      </c>
      <c r="F911" s="763">
        <f t="shared" si="340"/>
        <v>1.2500000000000001E-2</v>
      </c>
      <c r="G911" s="493">
        <f t="shared" si="341"/>
        <v>0</v>
      </c>
      <c r="H911" s="493">
        <f t="shared" si="330"/>
        <v>0</v>
      </c>
      <c r="I911" s="493">
        <f t="shared" si="330"/>
        <v>0</v>
      </c>
      <c r="J911" s="493">
        <f t="shared" si="330"/>
        <v>0</v>
      </c>
      <c r="K911" s="493">
        <f t="shared" si="330"/>
        <v>0</v>
      </c>
      <c r="L911" s="493">
        <f t="shared" si="330"/>
        <v>0</v>
      </c>
      <c r="M911" s="493">
        <f t="shared" si="330"/>
        <v>0</v>
      </c>
      <c r="N911" s="493">
        <f t="shared" si="331"/>
        <v>0</v>
      </c>
      <c r="O911" s="493">
        <f t="shared" si="331"/>
        <v>0</v>
      </c>
      <c r="P911" s="493">
        <f t="shared" si="331"/>
        <v>0</v>
      </c>
      <c r="Q911" s="493">
        <f t="shared" si="330"/>
        <v>0</v>
      </c>
      <c r="R911" s="493">
        <f t="shared" si="332"/>
        <v>0</v>
      </c>
      <c r="S911" s="493">
        <f t="shared" si="333"/>
        <v>0</v>
      </c>
      <c r="T911" s="794"/>
      <c r="V911" s="641">
        <f t="shared" si="334"/>
        <v>0</v>
      </c>
      <c r="W911" s="713"/>
      <c r="X911" s="1015"/>
      <c r="Y911" s="675">
        <f t="shared" si="335"/>
        <v>871573346.96878636</v>
      </c>
      <c r="Z911" s="766">
        <v>1.5E-3</v>
      </c>
      <c r="AA911" s="675">
        <f t="shared" si="336"/>
        <v>550865679.88412154</v>
      </c>
      <c r="AB911" s="766">
        <v>1.5E-3</v>
      </c>
      <c r="AC911" s="675">
        <f t="shared" si="337"/>
        <v>803345783.16434395</v>
      </c>
      <c r="AD911" s="766">
        <v>1.5E-3</v>
      </c>
      <c r="AE911" s="675">
        <f t="shared" si="338"/>
        <v>1084516807.2718644</v>
      </c>
      <c r="AF911" s="766">
        <v>1.5E-3</v>
      </c>
      <c r="AL911" s="489"/>
      <c r="AM911" s="489"/>
      <c r="AN911" s="489"/>
      <c r="AO911" s="489"/>
      <c r="AP911" s="489"/>
      <c r="AQ911" s="489"/>
      <c r="AR911" s="489"/>
      <c r="AS911" s="489"/>
    </row>
    <row r="912" spans="1:45" s="484" customFormat="1" ht="14.5">
      <c r="A912" s="695" t="s">
        <v>1288</v>
      </c>
      <c r="B912" s="647"/>
      <c r="C912" s="644"/>
      <c r="D912" s="644"/>
      <c r="E912" s="493">
        <f t="shared" si="339"/>
        <v>31996130.524219897</v>
      </c>
      <c r="F912" s="763">
        <f t="shared" si="340"/>
        <v>1.75E-3</v>
      </c>
      <c r="G912" s="493">
        <f t="shared" si="341"/>
        <v>40991235.833151773</v>
      </c>
      <c r="H912" s="493">
        <f t="shared" si="330"/>
        <v>17990210.617863756</v>
      </c>
      <c r="I912" s="493">
        <f t="shared" si="330"/>
        <v>17990210.617863756</v>
      </c>
      <c r="J912" s="493">
        <f t="shared" si="330"/>
        <v>17990210.617863756</v>
      </c>
      <c r="K912" s="493">
        <f t="shared" si="330"/>
        <v>17990210.617863756</v>
      </c>
      <c r="L912" s="493">
        <f t="shared" si="330"/>
        <v>17990210.617863756</v>
      </c>
      <c r="M912" s="493">
        <f t="shared" si="330"/>
        <v>17990210.617863756</v>
      </c>
      <c r="N912" s="493">
        <f t="shared" si="331"/>
        <v>17990210.617863756</v>
      </c>
      <c r="O912" s="493">
        <f t="shared" si="331"/>
        <v>17990210.617863756</v>
      </c>
      <c r="P912" s="493">
        <f t="shared" si="331"/>
        <v>17990210.617863756</v>
      </c>
      <c r="Q912" s="493">
        <f t="shared" si="330"/>
        <v>17990210.617863756</v>
      </c>
      <c r="R912" s="493">
        <f t="shared" si="332"/>
        <v>17990210.617863756</v>
      </c>
      <c r="S912" s="493">
        <f t="shared" si="333"/>
        <v>17990210.617863756</v>
      </c>
      <c r="T912" s="794"/>
      <c r="V912" s="641">
        <f t="shared" si="334"/>
        <v>215882527.41436502</v>
      </c>
      <c r="W912" s="765"/>
      <c r="X912" s="1016"/>
      <c r="Y912" s="675">
        <f t="shared" si="335"/>
        <v>0</v>
      </c>
      <c r="Z912" s="766">
        <v>1.2500000000000001E-2</v>
      </c>
      <c r="AA912" s="675">
        <f t="shared" si="336"/>
        <v>0</v>
      </c>
      <c r="AB912" s="766">
        <v>1.2500000000000001E-2</v>
      </c>
      <c r="AC912" s="675">
        <f t="shared" si="337"/>
        <v>0</v>
      </c>
      <c r="AD912" s="766">
        <v>1.2500000000000001E-2</v>
      </c>
      <c r="AE912" s="675">
        <f t="shared" si="338"/>
        <v>0</v>
      </c>
      <c r="AF912" s="766">
        <v>1.2500000000000001E-2</v>
      </c>
      <c r="AL912" s="489"/>
      <c r="AM912" s="489"/>
      <c r="AN912" s="489"/>
      <c r="AO912" s="489"/>
      <c r="AP912" s="489"/>
      <c r="AQ912" s="489"/>
      <c r="AR912" s="489"/>
      <c r="AS912" s="489"/>
    </row>
    <row r="913" spans="1:45" s="484" customFormat="1">
      <c r="A913" s="695" t="s">
        <v>1289</v>
      </c>
      <c r="B913" s="647"/>
      <c r="C913" s="648"/>
      <c r="D913" s="639"/>
      <c r="E913" s="493">
        <f t="shared" si="339"/>
        <v>0</v>
      </c>
      <c r="F913" s="763">
        <f t="shared" si="340"/>
        <v>1.125E-2</v>
      </c>
      <c r="G913" s="493">
        <f t="shared" si="341"/>
        <v>0</v>
      </c>
      <c r="H913" s="493">
        <f t="shared" si="330"/>
        <v>0</v>
      </c>
      <c r="I913" s="493">
        <f t="shared" si="330"/>
        <v>0</v>
      </c>
      <c r="J913" s="493">
        <f t="shared" si="330"/>
        <v>0</v>
      </c>
      <c r="K913" s="493">
        <f t="shared" si="330"/>
        <v>0</v>
      </c>
      <c r="L913" s="493">
        <f t="shared" si="330"/>
        <v>0</v>
      </c>
      <c r="M913" s="493">
        <f t="shared" si="330"/>
        <v>0</v>
      </c>
      <c r="N913" s="493">
        <f t="shared" si="331"/>
        <v>0</v>
      </c>
      <c r="O913" s="493">
        <f t="shared" si="331"/>
        <v>0</v>
      </c>
      <c r="P913" s="493">
        <f t="shared" si="331"/>
        <v>0</v>
      </c>
      <c r="Q913" s="493">
        <f t="shared" si="330"/>
        <v>0</v>
      </c>
      <c r="R913" s="493">
        <f t="shared" si="332"/>
        <v>0</v>
      </c>
      <c r="S913" s="493">
        <f t="shared" si="333"/>
        <v>0</v>
      </c>
      <c r="T913" s="794"/>
      <c r="V913" s="641">
        <f t="shared" si="334"/>
        <v>0</v>
      </c>
      <c r="W913" s="713"/>
      <c r="X913" s="1015"/>
      <c r="Y913" s="675">
        <f t="shared" si="335"/>
        <v>3.0255000000000001</v>
      </c>
      <c r="Z913" s="766">
        <v>3.0000000000000001E-3</v>
      </c>
      <c r="AA913" s="675">
        <f t="shared" si="336"/>
        <v>0</v>
      </c>
      <c r="AB913" s="766">
        <v>3.0000000000000001E-3</v>
      </c>
      <c r="AC913" s="675">
        <f t="shared" si="337"/>
        <v>0</v>
      </c>
      <c r="AD913" s="766">
        <v>3.0000000000000001E-3</v>
      </c>
      <c r="AE913" s="675">
        <f t="shared" si="338"/>
        <v>0</v>
      </c>
      <c r="AF913" s="766">
        <v>3.0000000000000001E-3</v>
      </c>
      <c r="AL913" s="489"/>
      <c r="AM913" s="489"/>
      <c r="AN913" s="489"/>
      <c r="AO913" s="489"/>
      <c r="AP913" s="489"/>
      <c r="AQ913" s="489"/>
      <c r="AR913" s="489"/>
      <c r="AS913" s="489"/>
    </row>
    <row r="914" spans="1:45" s="484" customFormat="1" ht="14.5">
      <c r="A914" s="695" t="s">
        <v>1290</v>
      </c>
      <c r="B914" s="647"/>
      <c r="C914" s="644"/>
      <c r="D914" s="644"/>
      <c r="E914" s="493">
        <f t="shared" si="339"/>
        <v>4841925.5759706246</v>
      </c>
      <c r="F914" s="763">
        <f t="shared" si="340"/>
        <v>1.5E-3</v>
      </c>
      <c r="G914" s="493">
        <f t="shared" si="341"/>
        <v>13071235.770781875</v>
      </c>
      <c r="H914" s="493">
        <f t="shared" si="330"/>
        <v>16458620.3896225</v>
      </c>
      <c r="I914" s="493">
        <f t="shared" si="330"/>
        <v>16458620.3896225</v>
      </c>
      <c r="J914" s="493">
        <f t="shared" si="330"/>
        <v>16458620.3896225</v>
      </c>
      <c r="K914" s="493">
        <f t="shared" si="330"/>
        <v>16458620.3896225</v>
      </c>
      <c r="L914" s="493">
        <f t="shared" si="330"/>
        <v>16458620.3896225</v>
      </c>
      <c r="M914" s="493">
        <f t="shared" si="330"/>
        <v>16458620.3896225</v>
      </c>
      <c r="N914" s="493">
        <f t="shared" si="331"/>
        <v>16458620.3896225</v>
      </c>
      <c r="O914" s="493">
        <f t="shared" si="331"/>
        <v>16458620.3896225</v>
      </c>
      <c r="P914" s="493">
        <f t="shared" si="331"/>
        <v>16458620.3896225</v>
      </c>
      <c r="Q914" s="493">
        <f t="shared" si="330"/>
        <v>16458620.3896225</v>
      </c>
      <c r="R914" s="493">
        <f t="shared" si="332"/>
        <v>16458620.3896225</v>
      </c>
      <c r="S914" s="493">
        <f t="shared" si="333"/>
        <v>16458620.3896225</v>
      </c>
      <c r="T914" s="794"/>
      <c r="V914" s="641">
        <f t="shared" si="334"/>
        <v>197503444.67547002</v>
      </c>
      <c r="W914" s="488"/>
      <c r="X914" s="1016"/>
      <c r="Y914" s="675">
        <f t="shared" si="335"/>
        <v>454148.87604240002</v>
      </c>
      <c r="Z914" s="767">
        <v>6.8000000000000005E-4</v>
      </c>
      <c r="AA914" s="675">
        <f t="shared" si="336"/>
        <v>594522.16500096</v>
      </c>
      <c r="AB914" s="767">
        <v>6.8000000000000005E-4</v>
      </c>
      <c r="AC914" s="675">
        <f t="shared" si="337"/>
        <v>867011.49062639987</v>
      </c>
      <c r="AD914" s="767">
        <v>6.8000000000000005E-4</v>
      </c>
      <c r="AE914" s="675">
        <f t="shared" si="338"/>
        <v>1170465.51234564</v>
      </c>
      <c r="AF914" s="767">
        <v>6.8000000000000005E-4</v>
      </c>
      <c r="AL914" s="489"/>
      <c r="AM914" s="489"/>
      <c r="AN914" s="489"/>
      <c r="AO914" s="489"/>
      <c r="AP914" s="489"/>
      <c r="AQ914" s="489"/>
      <c r="AR914" s="489"/>
      <c r="AS914" s="489"/>
    </row>
    <row r="915" spans="1:45" s="484" customFormat="1">
      <c r="A915" s="695" t="s">
        <v>1291</v>
      </c>
      <c r="B915" s="647"/>
      <c r="C915" s="648"/>
      <c r="D915" s="639"/>
      <c r="E915" s="493">
        <f t="shared" si="339"/>
        <v>0</v>
      </c>
      <c r="F915" s="763">
        <f t="shared" si="340"/>
        <v>1.4999999999999999E-2</v>
      </c>
      <c r="G915" s="493">
        <f t="shared" si="341"/>
        <v>0</v>
      </c>
      <c r="H915" s="493">
        <f t="shared" ref="H915:Q930" si="342">(G470+H470)/2*$F915/12</f>
        <v>0</v>
      </c>
      <c r="I915" s="493">
        <f t="shared" si="342"/>
        <v>0</v>
      </c>
      <c r="J915" s="493">
        <f t="shared" si="342"/>
        <v>0</v>
      </c>
      <c r="K915" s="493">
        <f t="shared" si="342"/>
        <v>0</v>
      </c>
      <c r="L915" s="493">
        <f t="shared" si="342"/>
        <v>0</v>
      </c>
      <c r="M915" s="493">
        <f t="shared" si="342"/>
        <v>0</v>
      </c>
      <c r="N915" s="493">
        <f t="shared" si="331"/>
        <v>0</v>
      </c>
      <c r="O915" s="493">
        <f t="shared" si="331"/>
        <v>0</v>
      </c>
      <c r="P915" s="493">
        <f t="shared" si="331"/>
        <v>0</v>
      </c>
      <c r="Q915" s="493">
        <f t="shared" si="342"/>
        <v>0</v>
      </c>
      <c r="R915" s="493">
        <f t="shared" si="332"/>
        <v>0</v>
      </c>
      <c r="S915" s="493">
        <f t="shared" si="333"/>
        <v>0</v>
      </c>
      <c r="T915" s="794"/>
      <c r="V915" s="641">
        <f t="shared" si="334"/>
        <v>0</v>
      </c>
      <c r="W915" s="713"/>
      <c r="X915" s="1015"/>
      <c r="Y915" s="675">
        <f t="shared" si="335"/>
        <v>0</v>
      </c>
      <c r="Z915" s="767">
        <v>7.5000000000000002E-4</v>
      </c>
      <c r="AA915" s="675">
        <f t="shared" si="336"/>
        <v>0</v>
      </c>
      <c r="AB915" s="767">
        <v>7.5000000000000002E-4</v>
      </c>
      <c r="AC915" s="675">
        <f t="shared" si="337"/>
        <v>0</v>
      </c>
      <c r="AD915" s="767">
        <v>7.5000000000000002E-4</v>
      </c>
      <c r="AE915" s="675">
        <f t="shared" si="338"/>
        <v>0</v>
      </c>
      <c r="AF915" s="767">
        <v>7.5000000000000002E-4</v>
      </c>
      <c r="AL915" s="489"/>
      <c r="AM915" s="489"/>
      <c r="AN915" s="489"/>
      <c r="AO915" s="489"/>
      <c r="AP915" s="489"/>
      <c r="AQ915" s="489"/>
      <c r="AR915" s="489"/>
      <c r="AS915" s="489"/>
    </row>
    <row r="916" spans="1:45" s="484" customFormat="1" ht="14.5">
      <c r="A916" s="695" t="s">
        <v>1292</v>
      </c>
      <c r="B916" s="647"/>
      <c r="C916" s="644"/>
      <c r="D916" s="644"/>
      <c r="E916" s="493">
        <f t="shared" si="339"/>
        <v>0</v>
      </c>
      <c r="F916" s="763">
        <f t="shared" si="340"/>
        <v>1.4999999999999999E-2</v>
      </c>
      <c r="G916" s="493">
        <f t="shared" si="341"/>
        <v>0</v>
      </c>
      <c r="H916" s="493">
        <f t="shared" si="342"/>
        <v>0</v>
      </c>
      <c r="I916" s="493">
        <f t="shared" si="342"/>
        <v>0</v>
      </c>
      <c r="J916" s="493">
        <f t="shared" si="342"/>
        <v>0</v>
      </c>
      <c r="K916" s="493">
        <f t="shared" si="342"/>
        <v>0</v>
      </c>
      <c r="L916" s="493">
        <f t="shared" si="342"/>
        <v>0</v>
      </c>
      <c r="M916" s="493">
        <f t="shared" si="342"/>
        <v>0</v>
      </c>
      <c r="N916" s="493">
        <f t="shared" si="331"/>
        <v>0</v>
      </c>
      <c r="O916" s="493">
        <f t="shared" si="331"/>
        <v>0</v>
      </c>
      <c r="P916" s="493">
        <f t="shared" si="331"/>
        <v>0</v>
      </c>
      <c r="Q916" s="493">
        <f t="shared" si="342"/>
        <v>0</v>
      </c>
      <c r="R916" s="493">
        <f t="shared" si="332"/>
        <v>0</v>
      </c>
      <c r="S916" s="493">
        <f t="shared" si="333"/>
        <v>0</v>
      </c>
      <c r="T916" s="794"/>
      <c r="V916" s="641">
        <f t="shared" si="334"/>
        <v>0</v>
      </c>
      <c r="W916" s="488"/>
      <c r="X916" s="1016"/>
      <c r="Y916" s="675">
        <f t="shared" si="335"/>
        <v>0</v>
      </c>
      <c r="Z916" s="767">
        <f>0.3%/1.1</f>
        <v>2.7272727272727271E-3</v>
      </c>
      <c r="AA916" s="675">
        <f t="shared" si="336"/>
        <v>0</v>
      </c>
      <c r="AB916" s="767">
        <f>0.3%/1.1</f>
        <v>2.7272727272727271E-3</v>
      </c>
      <c r="AC916" s="675">
        <f t="shared" si="337"/>
        <v>0</v>
      </c>
      <c r="AD916" s="767">
        <f>0.3%/1.1</f>
        <v>2.7272727272727271E-3</v>
      </c>
      <c r="AE916" s="675">
        <f t="shared" si="338"/>
        <v>0</v>
      </c>
      <c r="AF916" s="767">
        <f>0.3%/1.1</f>
        <v>2.7272727272727271E-3</v>
      </c>
      <c r="AL916" s="489"/>
      <c r="AM916" s="489"/>
      <c r="AN916" s="489"/>
      <c r="AO916" s="489"/>
      <c r="AP916" s="489"/>
      <c r="AQ916" s="489"/>
      <c r="AR916" s="489"/>
      <c r="AS916" s="489"/>
    </row>
    <row r="917" spans="1:45" s="484" customFormat="1" ht="14.5">
      <c r="A917" s="695" t="s">
        <v>1293</v>
      </c>
      <c r="B917" s="647"/>
      <c r="C917" s="644"/>
      <c r="D917" s="644"/>
      <c r="E917" s="493">
        <f t="shared" si="339"/>
        <v>0</v>
      </c>
      <c r="F917" s="763">
        <f t="shared" si="340"/>
        <v>1.4999999999999999E-2</v>
      </c>
      <c r="G917" s="493">
        <f t="shared" si="341"/>
        <v>0</v>
      </c>
      <c r="H917" s="493">
        <f t="shared" si="342"/>
        <v>0</v>
      </c>
      <c r="I917" s="493">
        <f t="shared" si="342"/>
        <v>0</v>
      </c>
      <c r="J917" s="493">
        <f t="shared" si="342"/>
        <v>0</v>
      </c>
      <c r="K917" s="493">
        <f t="shared" si="342"/>
        <v>0</v>
      </c>
      <c r="L917" s="493">
        <f t="shared" si="342"/>
        <v>0</v>
      </c>
      <c r="M917" s="493">
        <f t="shared" si="342"/>
        <v>0</v>
      </c>
      <c r="N917" s="493">
        <f t="shared" si="331"/>
        <v>0</v>
      </c>
      <c r="O917" s="493">
        <f t="shared" si="331"/>
        <v>0</v>
      </c>
      <c r="P917" s="493">
        <f t="shared" si="331"/>
        <v>0</v>
      </c>
      <c r="Q917" s="493">
        <f t="shared" si="342"/>
        <v>0</v>
      </c>
      <c r="R917" s="493">
        <f t="shared" si="332"/>
        <v>0</v>
      </c>
      <c r="S917" s="493">
        <f t="shared" si="333"/>
        <v>0</v>
      </c>
      <c r="T917" s="794"/>
      <c r="V917" s="641">
        <f t="shared" si="334"/>
        <v>0</v>
      </c>
      <c r="W917" s="488"/>
      <c r="X917" s="1016"/>
      <c r="Y917" s="675">
        <f t="shared" si="335"/>
        <v>0</v>
      </c>
      <c r="Z917" s="767">
        <f>0.3%/1.1</f>
        <v>2.7272727272727271E-3</v>
      </c>
      <c r="AA917" s="675">
        <f t="shared" si="336"/>
        <v>0</v>
      </c>
      <c r="AB917" s="767">
        <f>0.3%/1.1</f>
        <v>2.7272727272727271E-3</v>
      </c>
      <c r="AC917" s="675">
        <f t="shared" si="337"/>
        <v>0</v>
      </c>
      <c r="AD917" s="767">
        <f>0.3%/1.1</f>
        <v>2.7272727272727271E-3</v>
      </c>
      <c r="AE917" s="675">
        <f t="shared" si="338"/>
        <v>0</v>
      </c>
      <c r="AF917" s="767">
        <f>0.3%/1.1</f>
        <v>2.7272727272727271E-3</v>
      </c>
      <c r="AL917" s="489"/>
      <c r="AM917" s="489"/>
      <c r="AN917" s="489"/>
      <c r="AO917" s="489"/>
      <c r="AP917" s="489"/>
      <c r="AQ917" s="489"/>
      <c r="AR917" s="489"/>
      <c r="AS917" s="489"/>
    </row>
    <row r="918" spans="1:45" s="484" customFormat="1" ht="14.5">
      <c r="A918" s="695" t="s">
        <v>1294</v>
      </c>
      <c r="B918" s="647"/>
      <c r="C918" s="644"/>
      <c r="D918" s="644"/>
      <c r="E918" s="493">
        <f t="shared" si="339"/>
        <v>0</v>
      </c>
      <c r="F918" s="763">
        <f t="shared" si="340"/>
        <v>6.4999999999999997E-3</v>
      </c>
      <c r="G918" s="493">
        <f t="shared" si="341"/>
        <v>0</v>
      </c>
      <c r="H918" s="493">
        <f t="shared" si="342"/>
        <v>0</v>
      </c>
      <c r="I918" s="493">
        <f t="shared" si="342"/>
        <v>0</v>
      </c>
      <c r="J918" s="493">
        <f t="shared" si="342"/>
        <v>0</v>
      </c>
      <c r="K918" s="493">
        <f t="shared" si="342"/>
        <v>0</v>
      </c>
      <c r="L918" s="493">
        <f t="shared" si="342"/>
        <v>0</v>
      </c>
      <c r="M918" s="493">
        <f t="shared" si="342"/>
        <v>0</v>
      </c>
      <c r="N918" s="493">
        <f t="shared" si="331"/>
        <v>0</v>
      </c>
      <c r="O918" s="493">
        <f t="shared" si="331"/>
        <v>0</v>
      </c>
      <c r="P918" s="493">
        <f t="shared" si="331"/>
        <v>0</v>
      </c>
      <c r="Q918" s="493">
        <f t="shared" si="342"/>
        <v>0</v>
      </c>
      <c r="R918" s="493">
        <f t="shared" si="332"/>
        <v>0</v>
      </c>
      <c r="S918" s="493">
        <f t="shared" si="333"/>
        <v>0</v>
      </c>
      <c r="T918" s="794"/>
      <c r="V918" s="641">
        <f t="shared" si="334"/>
        <v>0</v>
      </c>
      <c r="W918" s="488"/>
      <c r="X918" s="1016"/>
      <c r="Y918" s="675">
        <f t="shared" si="335"/>
        <v>304968841.33625996</v>
      </c>
      <c r="Z918" s="767">
        <f>0.3%/1.1</f>
        <v>2.7272727272727271E-3</v>
      </c>
      <c r="AA918" s="675">
        <f t="shared" si="336"/>
        <v>399231937.74928576</v>
      </c>
      <c r="AB918" s="767">
        <f>0.3%/1.1</f>
        <v>2.7272727272727271E-3</v>
      </c>
      <c r="AC918" s="675">
        <f t="shared" si="337"/>
        <v>582213242.5510416</v>
      </c>
      <c r="AD918" s="767">
        <f>0.3%/1.1</f>
        <v>2.7272727272727271E-3</v>
      </c>
      <c r="AE918" s="675">
        <f t="shared" si="338"/>
        <v>785987877.44390631</v>
      </c>
      <c r="AF918" s="767">
        <f>0.3%/1.1</f>
        <v>2.7272727272727271E-3</v>
      </c>
      <c r="AL918" s="489"/>
      <c r="AM918" s="489"/>
      <c r="AN918" s="489"/>
      <c r="AO918" s="489"/>
      <c r="AP918" s="489"/>
      <c r="AQ918" s="489"/>
      <c r="AR918" s="489"/>
      <c r="AS918" s="489"/>
    </row>
    <row r="919" spans="1:45" s="484" customFormat="1" ht="14.5">
      <c r="A919" s="695" t="s">
        <v>1295</v>
      </c>
      <c r="B919" s="647"/>
      <c r="C919" s="644"/>
      <c r="D919" s="644"/>
      <c r="E919" s="493">
        <f t="shared" si="339"/>
        <v>0</v>
      </c>
      <c r="F919" s="763">
        <f t="shared" si="340"/>
        <v>6.4999999999999997E-3</v>
      </c>
      <c r="G919" s="493">
        <f t="shared" si="341"/>
        <v>0</v>
      </c>
      <c r="H919" s="493">
        <f t="shared" si="342"/>
        <v>0</v>
      </c>
      <c r="I919" s="493">
        <f t="shared" si="342"/>
        <v>0</v>
      </c>
      <c r="J919" s="493">
        <f t="shared" si="342"/>
        <v>0</v>
      </c>
      <c r="K919" s="493">
        <f t="shared" si="342"/>
        <v>0</v>
      </c>
      <c r="L919" s="493">
        <f t="shared" si="342"/>
        <v>0</v>
      </c>
      <c r="M919" s="493">
        <f t="shared" si="342"/>
        <v>0</v>
      </c>
      <c r="N919" s="493">
        <f t="shared" si="342"/>
        <v>0</v>
      </c>
      <c r="O919" s="493">
        <f t="shared" si="342"/>
        <v>0</v>
      </c>
      <c r="P919" s="493">
        <f t="shared" si="342"/>
        <v>0</v>
      </c>
      <c r="Q919" s="493">
        <f t="shared" si="342"/>
        <v>0</v>
      </c>
      <c r="R919" s="493">
        <f t="shared" si="332"/>
        <v>0</v>
      </c>
      <c r="S919" s="493">
        <f t="shared" si="333"/>
        <v>0</v>
      </c>
      <c r="T919" s="794"/>
      <c r="V919" s="641">
        <f t="shared" si="334"/>
        <v>0</v>
      </c>
      <c r="W919" s="488"/>
      <c r="X919" s="1016"/>
      <c r="Y919" s="675"/>
      <c r="Z919" s="767"/>
      <c r="AA919" s="675"/>
      <c r="AB919" s="767"/>
      <c r="AC919" s="675"/>
      <c r="AD919" s="767"/>
      <c r="AE919" s="675"/>
      <c r="AF919" s="767"/>
      <c r="AL919" s="489"/>
      <c r="AM919" s="489"/>
      <c r="AN919" s="489"/>
      <c r="AO919" s="489"/>
      <c r="AP919" s="489"/>
      <c r="AQ919" s="489"/>
      <c r="AR919" s="489"/>
      <c r="AS919" s="489"/>
    </row>
    <row r="920" spans="1:45" s="484" customFormat="1" ht="14.5">
      <c r="A920" s="695" t="s">
        <v>1296</v>
      </c>
      <c r="B920" s="647"/>
      <c r="C920" s="644"/>
      <c r="D920" s="644"/>
      <c r="E920" s="493">
        <f t="shared" si="339"/>
        <v>0</v>
      </c>
      <c r="F920" s="763">
        <f t="shared" si="340"/>
        <v>3.0000000000000001E-3</v>
      </c>
      <c r="G920" s="493">
        <f t="shared" si="341"/>
        <v>0</v>
      </c>
      <c r="H920" s="493">
        <f t="shared" si="342"/>
        <v>0</v>
      </c>
      <c r="I920" s="493">
        <f t="shared" si="342"/>
        <v>0</v>
      </c>
      <c r="J920" s="493">
        <f t="shared" si="342"/>
        <v>0</v>
      </c>
      <c r="K920" s="493">
        <f t="shared" si="342"/>
        <v>0</v>
      </c>
      <c r="L920" s="493">
        <f t="shared" si="342"/>
        <v>0</v>
      </c>
      <c r="M920" s="493">
        <f t="shared" si="342"/>
        <v>0</v>
      </c>
      <c r="N920" s="493">
        <f t="shared" si="342"/>
        <v>0</v>
      </c>
      <c r="O920" s="493">
        <f t="shared" si="342"/>
        <v>0</v>
      </c>
      <c r="P920" s="493">
        <f t="shared" si="342"/>
        <v>0</v>
      </c>
      <c r="Q920" s="493">
        <f t="shared" si="342"/>
        <v>0</v>
      </c>
      <c r="R920" s="493">
        <f t="shared" si="332"/>
        <v>0</v>
      </c>
      <c r="S920" s="493">
        <f t="shared" si="333"/>
        <v>0</v>
      </c>
      <c r="T920" s="794"/>
      <c r="V920" s="641">
        <f t="shared" si="334"/>
        <v>0</v>
      </c>
      <c r="W920" s="488"/>
      <c r="X920" s="1016"/>
      <c r="Y920" s="675"/>
      <c r="Z920" s="767"/>
      <c r="AA920" s="675"/>
      <c r="AB920" s="767"/>
      <c r="AC920" s="675"/>
      <c r="AD920" s="767"/>
      <c r="AE920" s="675"/>
      <c r="AF920" s="767"/>
      <c r="AL920" s="489"/>
      <c r="AM920" s="489"/>
      <c r="AN920" s="489"/>
      <c r="AO920" s="489"/>
      <c r="AP920" s="489"/>
      <c r="AQ920" s="489"/>
      <c r="AR920" s="489"/>
      <c r="AS920" s="489"/>
    </row>
    <row r="921" spans="1:45" s="484" customFormat="1" ht="14.5">
      <c r="A921" s="695" t="s">
        <v>1297</v>
      </c>
      <c r="B921" s="647"/>
      <c r="C921" s="644"/>
      <c r="D921" s="644"/>
      <c r="E921" s="493">
        <f t="shared" si="339"/>
        <v>0</v>
      </c>
      <c r="F921" s="763">
        <f t="shared" si="340"/>
        <v>6.8000000000000005E-4</v>
      </c>
      <c r="G921" s="493">
        <f t="shared" si="341"/>
        <v>0</v>
      </c>
      <c r="H921" s="493">
        <f t="shared" si="342"/>
        <v>0</v>
      </c>
      <c r="I921" s="493">
        <f t="shared" si="342"/>
        <v>0</v>
      </c>
      <c r="J921" s="493">
        <f t="shared" si="342"/>
        <v>0</v>
      </c>
      <c r="K921" s="493">
        <f t="shared" si="342"/>
        <v>0</v>
      </c>
      <c r="L921" s="493">
        <f t="shared" si="342"/>
        <v>0</v>
      </c>
      <c r="M921" s="493">
        <f t="shared" si="342"/>
        <v>0</v>
      </c>
      <c r="N921" s="493">
        <f t="shared" si="342"/>
        <v>0</v>
      </c>
      <c r="O921" s="493">
        <f t="shared" si="342"/>
        <v>0</v>
      </c>
      <c r="P921" s="493">
        <f t="shared" si="342"/>
        <v>0</v>
      </c>
      <c r="Q921" s="493">
        <f t="shared" si="342"/>
        <v>0</v>
      </c>
      <c r="R921" s="493">
        <f t="shared" si="332"/>
        <v>0</v>
      </c>
      <c r="S921" s="493">
        <f t="shared" si="333"/>
        <v>0</v>
      </c>
      <c r="T921" s="794"/>
      <c r="V921" s="641">
        <f t="shared" si="334"/>
        <v>0</v>
      </c>
      <c r="W921" s="488"/>
      <c r="X921" s="1016"/>
      <c r="Y921" s="675"/>
      <c r="Z921" s="767"/>
      <c r="AA921" s="675"/>
      <c r="AB921" s="767"/>
      <c r="AC921" s="675"/>
      <c r="AD921" s="767"/>
      <c r="AE921" s="675"/>
      <c r="AF921" s="767"/>
      <c r="AL921" s="489"/>
      <c r="AM921" s="489"/>
      <c r="AN921" s="489"/>
      <c r="AO921" s="489"/>
      <c r="AP921" s="489"/>
      <c r="AQ921" s="489"/>
      <c r="AR921" s="489"/>
      <c r="AS921" s="489"/>
    </row>
    <row r="922" spans="1:45" s="484" customFormat="1" ht="14.5">
      <c r="A922" s="695" t="s">
        <v>1298</v>
      </c>
      <c r="B922" s="647"/>
      <c r="C922" s="644"/>
      <c r="D922" s="644"/>
      <c r="E922" s="493">
        <f t="shared" si="339"/>
        <v>0</v>
      </c>
      <c r="F922" s="763">
        <f t="shared" si="340"/>
        <v>6.8000000000000005E-4</v>
      </c>
      <c r="G922" s="493">
        <f t="shared" si="341"/>
        <v>0</v>
      </c>
      <c r="H922" s="493">
        <f t="shared" si="342"/>
        <v>0</v>
      </c>
      <c r="I922" s="493">
        <f t="shared" si="342"/>
        <v>0</v>
      </c>
      <c r="J922" s="493">
        <f t="shared" si="342"/>
        <v>0</v>
      </c>
      <c r="K922" s="493">
        <f t="shared" si="342"/>
        <v>0</v>
      </c>
      <c r="L922" s="493">
        <f t="shared" si="342"/>
        <v>0</v>
      </c>
      <c r="M922" s="493">
        <f t="shared" si="342"/>
        <v>0</v>
      </c>
      <c r="N922" s="493">
        <f t="shared" si="342"/>
        <v>0</v>
      </c>
      <c r="O922" s="493">
        <f t="shared" si="342"/>
        <v>0</v>
      </c>
      <c r="P922" s="493">
        <f t="shared" si="342"/>
        <v>0</v>
      </c>
      <c r="Q922" s="493">
        <f t="shared" si="342"/>
        <v>0</v>
      </c>
      <c r="R922" s="493">
        <f t="shared" si="332"/>
        <v>0</v>
      </c>
      <c r="S922" s="493">
        <f t="shared" si="333"/>
        <v>0</v>
      </c>
      <c r="T922" s="794"/>
      <c r="V922" s="641">
        <f t="shared" si="334"/>
        <v>0</v>
      </c>
      <c r="W922" s="488"/>
      <c r="X922" s="1016"/>
      <c r="Y922" s="675"/>
      <c r="Z922" s="767"/>
      <c r="AA922" s="675"/>
      <c r="AB922" s="767"/>
      <c r="AC922" s="675"/>
      <c r="AD922" s="767"/>
      <c r="AE922" s="675"/>
      <c r="AF922" s="767"/>
      <c r="AL922" s="489"/>
      <c r="AM922" s="489"/>
      <c r="AN922" s="489"/>
      <c r="AO922" s="489"/>
      <c r="AP922" s="489"/>
      <c r="AQ922" s="489"/>
      <c r="AR922" s="489"/>
      <c r="AS922" s="489"/>
    </row>
    <row r="923" spans="1:45" s="484" customFormat="1" ht="14.5">
      <c r="A923" s="695" t="s">
        <v>1299</v>
      </c>
      <c r="B923" s="647"/>
      <c r="C923" s="644"/>
      <c r="D923" s="644"/>
      <c r="E923" s="493">
        <f t="shared" si="339"/>
        <v>0</v>
      </c>
      <c r="F923" s="763">
        <f t="shared" si="340"/>
        <v>2.7000000000000001E-3</v>
      </c>
      <c r="G923" s="493">
        <f t="shared" si="341"/>
        <v>0</v>
      </c>
      <c r="H923" s="493">
        <f t="shared" si="342"/>
        <v>0</v>
      </c>
      <c r="I923" s="493">
        <f t="shared" si="342"/>
        <v>0</v>
      </c>
      <c r="J923" s="493">
        <f t="shared" si="342"/>
        <v>0</v>
      </c>
      <c r="K923" s="493">
        <f t="shared" si="342"/>
        <v>0</v>
      </c>
      <c r="L923" s="493">
        <f t="shared" si="342"/>
        <v>0</v>
      </c>
      <c r="M923" s="493">
        <f t="shared" si="342"/>
        <v>0</v>
      </c>
      <c r="N923" s="493">
        <f t="shared" si="342"/>
        <v>0</v>
      </c>
      <c r="O923" s="493">
        <f t="shared" si="342"/>
        <v>0</v>
      </c>
      <c r="P923" s="493">
        <f t="shared" si="342"/>
        <v>0</v>
      </c>
      <c r="Q923" s="493">
        <f t="shared" si="342"/>
        <v>0</v>
      </c>
      <c r="R923" s="493">
        <f t="shared" si="332"/>
        <v>0</v>
      </c>
      <c r="S923" s="493">
        <f t="shared" si="333"/>
        <v>0</v>
      </c>
      <c r="T923" s="794"/>
      <c r="V923" s="641">
        <f t="shared" si="334"/>
        <v>0</v>
      </c>
      <c r="W923" s="488"/>
      <c r="X923" s="1016"/>
      <c r="Y923" s="675"/>
      <c r="Z923" s="767"/>
      <c r="AA923" s="675"/>
      <c r="AB923" s="767"/>
      <c r="AC923" s="675"/>
      <c r="AD923" s="767"/>
      <c r="AE923" s="675"/>
      <c r="AF923" s="767"/>
      <c r="AL923" s="489"/>
      <c r="AM923" s="489"/>
      <c r="AN923" s="489"/>
      <c r="AO923" s="489"/>
      <c r="AP923" s="489"/>
      <c r="AQ923" s="489"/>
      <c r="AR923" s="489"/>
      <c r="AS923" s="489"/>
    </row>
    <row r="924" spans="1:45" s="484" customFormat="1" ht="14.5">
      <c r="A924" s="695" t="s">
        <v>1300</v>
      </c>
      <c r="B924" s="647"/>
      <c r="C924" s="644"/>
      <c r="D924" s="644"/>
      <c r="E924" s="493">
        <f t="shared" si="339"/>
        <v>0</v>
      </c>
      <c r="F924" s="763">
        <f t="shared" si="340"/>
        <v>8.1999999999999998E-4</v>
      </c>
      <c r="G924" s="493">
        <f t="shared" si="341"/>
        <v>0</v>
      </c>
      <c r="H924" s="493">
        <f t="shared" si="342"/>
        <v>0</v>
      </c>
      <c r="I924" s="493">
        <f t="shared" si="342"/>
        <v>0</v>
      </c>
      <c r="J924" s="493">
        <f t="shared" si="342"/>
        <v>0</v>
      </c>
      <c r="K924" s="493">
        <f t="shared" si="342"/>
        <v>0</v>
      </c>
      <c r="L924" s="493">
        <f t="shared" si="342"/>
        <v>0</v>
      </c>
      <c r="M924" s="493">
        <f t="shared" si="342"/>
        <v>0</v>
      </c>
      <c r="N924" s="493">
        <f t="shared" si="342"/>
        <v>0</v>
      </c>
      <c r="O924" s="493">
        <f t="shared" si="342"/>
        <v>0</v>
      </c>
      <c r="P924" s="493">
        <f t="shared" si="342"/>
        <v>0</v>
      </c>
      <c r="Q924" s="493">
        <f t="shared" si="342"/>
        <v>0</v>
      </c>
      <c r="R924" s="493">
        <f t="shared" si="332"/>
        <v>0</v>
      </c>
      <c r="S924" s="493">
        <f t="shared" si="333"/>
        <v>0</v>
      </c>
      <c r="T924" s="794"/>
      <c r="V924" s="641">
        <f t="shared" si="334"/>
        <v>0</v>
      </c>
      <c r="W924" s="488"/>
      <c r="X924" s="1016"/>
      <c r="Y924" s="675"/>
      <c r="Z924" s="767"/>
      <c r="AA924" s="675"/>
      <c r="AB924" s="767"/>
      <c r="AC924" s="675"/>
      <c r="AD924" s="767"/>
      <c r="AE924" s="675"/>
      <c r="AF924" s="767"/>
      <c r="AL924" s="489"/>
      <c r="AM924" s="489"/>
      <c r="AN924" s="489"/>
      <c r="AO924" s="489"/>
      <c r="AP924" s="489"/>
      <c r="AQ924" s="489"/>
      <c r="AR924" s="489"/>
      <c r="AS924" s="489"/>
    </row>
    <row r="925" spans="1:45" s="484" customFormat="1" ht="14.5">
      <c r="A925" s="695" t="s">
        <v>1301</v>
      </c>
      <c r="B925" s="647"/>
      <c r="C925" s="644"/>
      <c r="D925" s="644"/>
      <c r="E925" s="493">
        <f t="shared" si="339"/>
        <v>0</v>
      </c>
      <c r="F925" s="763">
        <f t="shared" si="340"/>
        <v>6.9300000000000004E-3</v>
      </c>
      <c r="G925" s="493">
        <f t="shared" si="341"/>
        <v>0</v>
      </c>
      <c r="H925" s="493">
        <f t="shared" si="342"/>
        <v>0</v>
      </c>
      <c r="I925" s="493">
        <f t="shared" si="342"/>
        <v>0</v>
      </c>
      <c r="J925" s="493">
        <f t="shared" si="342"/>
        <v>0</v>
      </c>
      <c r="K925" s="493">
        <f t="shared" si="342"/>
        <v>0</v>
      </c>
      <c r="L925" s="493">
        <f t="shared" si="342"/>
        <v>0</v>
      </c>
      <c r="M925" s="493">
        <f t="shared" si="342"/>
        <v>0</v>
      </c>
      <c r="N925" s="493">
        <f t="shared" si="342"/>
        <v>0</v>
      </c>
      <c r="O925" s="493">
        <f t="shared" si="342"/>
        <v>0</v>
      </c>
      <c r="P925" s="493">
        <f t="shared" si="342"/>
        <v>0</v>
      </c>
      <c r="Q925" s="493">
        <f t="shared" si="342"/>
        <v>0</v>
      </c>
      <c r="R925" s="493">
        <f t="shared" si="332"/>
        <v>0</v>
      </c>
      <c r="S925" s="493">
        <f t="shared" si="333"/>
        <v>0</v>
      </c>
      <c r="T925" s="794"/>
      <c r="V925" s="641">
        <f t="shared" si="334"/>
        <v>0</v>
      </c>
      <c r="W925" s="488"/>
      <c r="X925" s="1016"/>
      <c r="Y925" s="675"/>
      <c r="Z925" s="767"/>
      <c r="AA925" s="675"/>
      <c r="AB925" s="767"/>
      <c r="AC925" s="675"/>
      <c r="AD925" s="767"/>
      <c r="AE925" s="675"/>
      <c r="AF925" s="767"/>
      <c r="AL925" s="489"/>
      <c r="AM925" s="489"/>
      <c r="AN925" s="489"/>
      <c r="AO925" s="489"/>
      <c r="AP925" s="489"/>
      <c r="AQ925" s="489"/>
      <c r="AR925" s="489"/>
      <c r="AS925" s="489"/>
    </row>
    <row r="926" spans="1:45" s="484" customFormat="1" ht="14.5">
      <c r="A926" s="695" t="s">
        <v>1302</v>
      </c>
      <c r="B926" s="647"/>
      <c r="C926" s="644"/>
      <c r="D926" s="644"/>
      <c r="E926" s="493">
        <f t="shared" si="339"/>
        <v>8965438.9542900007</v>
      </c>
      <c r="F926" s="763">
        <f t="shared" si="340"/>
        <v>1.5E-3</v>
      </c>
      <c r="G926" s="493">
        <f t="shared" si="341"/>
        <v>17898712.245546874</v>
      </c>
      <c r="H926" s="493">
        <f t="shared" si="342"/>
        <v>17866546.58251375</v>
      </c>
      <c r="I926" s="493">
        <f t="shared" si="342"/>
        <v>17866546.58251375</v>
      </c>
      <c r="J926" s="493">
        <f t="shared" si="342"/>
        <v>17866546.58251375</v>
      </c>
      <c r="K926" s="493">
        <f t="shared" si="342"/>
        <v>17866546.58251375</v>
      </c>
      <c r="L926" s="493">
        <f t="shared" si="342"/>
        <v>17866546.58251375</v>
      </c>
      <c r="M926" s="493">
        <f t="shared" si="342"/>
        <v>17866546.58251375</v>
      </c>
      <c r="N926" s="493">
        <f t="shared" si="342"/>
        <v>17866546.58251375</v>
      </c>
      <c r="O926" s="493">
        <f t="shared" si="342"/>
        <v>17866546.58251375</v>
      </c>
      <c r="P926" s="493">
        <f t="shared" si="342"/>
        <v>17866546.58251375</v>
      </c>
      <c r="Q926" s="493">
        <f t="shared" si="342"/>
        <v>17866546.58251375</v>
      </c>
      <c r="R926" s="493">
        <f t="shared" si="332"/>
        <v>17866546.58251375</v>
      </c>
      <c r="S926" s="493">
        <f t="shared" si="333"/>
        <v>17866546.58251375</v>
      </c>
      <c r="T926" s="794"/>
      <c r="V926" s="641">
        <f t="shared" si="334"/>
        <v>214398558.990165</v>
      </c>
      <c r="W926" s="488"/>
      <c r="X926" s="1016"/>
      <c r="Y926" s="675"/>
      <c r="Z926" s="767"/>
      <c r="AA926" s="675"/>
      <c r="AB926" s="767"/>
      <c r="AC926" s="675"/>
      <c r="AD926" s="767"/>
      <c r="AE926" s="675"/>
      <c r="AF926" s="767"/>
      <c r="AL926" s="489"/>
      <c r="AM926" s="489"/>
      <c r="AN926" s="489"/>
      <c r="AO926" s="489"/>
      <c r="AP926" s="489"/>
      <c r="AQ926" s="489"/>
      <c r="AR926" s="489"/>
      <c r="AS926" s="489"/>
    </row>
    <row r="927" spans="1:45" s="484" customFormat="1" ht="14.5">
      <c r="A927" s="695" t="s">
        <v>1303</v>
      </c>
      <c r="B927" s="647"/>
      <c r="C927" s="644"/>
      <c r="D927" s="644"/>
      <c r="E927" s="493">
        <f t="shared" si="339"/>
        <v>15087604.6875</v>
      </c>
      <c r="F927" s="763">
        <f t="shared" si="340"/>
        <v>1.5E-3</v>
      </c>
      <c r="G927" s="493">
        <f t="shared" si="341"/>
        <v>30042355.625</v>
      </c>
      <c r="H927" s="493">
        <f t="shared" si="342"/>
        <v>29909501.875</v>
      </c>
      <c r="I927" s="493">
        <f t="shared" si="342"/>
        <v>29909501.875</v>
      </c>
      <c r="J927" s="493">
        <f t="shared" si="342"/>
        <v>29909501.875</v>
      </c>
      <c r="K927" s="493">
        <f t="shared" si="342"/>
        <v>29909501.875</v>
      </c>
      <c r="L927" s="493">
        <f t="shared" si="342"/>
        <v>29909501.875</v>
      </c>
      <c r="M927" s="493">
        <f t="shared" si="342"/>
        <v>29909501.875</v>
      </c>
      <c r="N927" s="493">
        <f t="shared" si="342"/>
        <v>29909501.875</v>
      </c>
      <c r="O927" s="493">
        <f t="shared" si="342"/>
        <v>29909501.875</v>
      </c>
      <c r="P927" s="493">
        <f t="shared" si="342"/>
        <v>29909501.875</v>
      </c>
      <c r="Q927" s="493">
        <f t="shared" si="342"/>
        <v>29909501.875</v>
      </c>
      <c r="R927" s="493">
        <f t="shared" si="332"/>
        <v>29909501.875</v>
      </c>
      <c r="S927" s="493">
        <f t="shared" si="333"/>
        <v>29909501.875</v>
      </c>
      <c r="T927" s="794"/>
      <c r="V927" s="641">
        <f t="shared" si="334"/>
        <v>358914022.5</v>
      </c>
      <c r="W927" s="488"/>
      <c r="X927" s="1016"/>
      <c r="Y927" s="675"/>
      <c r="Z927" s="767"/>
      <c r="AA927" s="675"/>
      <c r="AB927" s="767"/>
      <c r="AC927" s="675"/>
      <c r="AD927" s="767"/>
      <c r="AE927" s="675"/>
      <c r="AF927" s="767"/>
      <c r="AL927" s="489"/>
      <c r="AM927" s="489"/>
      <c r="AN927" s="489"/>
      <c r="AO927" s="489"/>
      <c r="AP927" s="489"/>
      <c r="AQ927" s="489"/>
      <c r="AR927" s="489"/>
      <c r="AS927" s="489"/>
    </row>
    <row r="928" spans="1:45" s="484" customFormat="1" ht="14.5">
      <c r="A928" s="695" t="s">
        <v>1304</v>
      </c>
      <c r="B928" s="647"/>
      <c r="C928" s="644"/>
      <c r="D928" s="644"/>
      <c r="E928" s="493">
        <f t="shared" si="339"/>
        <v>7421898.4162500007</v>
      </c>
      <c r="F928" s="763">
        <f t="shared" si="340"/>
        <v>1.5E-3</v>
      </c>
      <c r="G928" s="493">
        <f t="shared" si="341"/>
        <v>14848305.42375</v>
      </c>
      <c r="H928" s="493">
        <f t="shared" si="342"/>
        <v>14852814.015000001</v>
      </c>
      <c r="I928" s="493">
        <f t="shared" si="342"/>
        <v>14852814.015000001</v>
      </c>
      <c r="J928" s="493">
        <f t="shared" si="342"/>
        <v>14852814.015000001</v>
      </c>
      <c r="K928" s="493">
        <f t="shared" si="342"/>
        <v>14852814.015000001</v>
      </c>
      <c r="L928" s="493">
        <f t="shared" si="342"/>
        <v>14852814.015000001</v>
      </c>
      <c r="M928" s="493">
        <f t="shared" si="342"/>
        <v>14852814.015000001</v>
      </c>
      <c r="N928" s="493">
        <f t="shared" si="342"/>
        <v>14852814.015000001</v>
      </c>
      <c r="O928" s="493">
        <f t="shared" si="342"/>
        <v>14852814.015000001</v>
      </c>
      <c r="P928" s="493">
        <f t="shared" si="342"/>
        <v>14852814.015000001</v>
      </c>
      <c r="Q928" s="493">
        <f t="shared" si="342"/>
        <v>14852814.015000001</v>
      </c>
      <c r="R928" s="493">
        <f t="shared" si="332"/>
        <v>14852814.015000001</v>
      </c>
      <c r="S928" s="493">
        <f t="shared" si="333"/>
        <v>14852814.015000001</v>
      </c>
      <c r="T928" s="794"/>
      <c r="V928" s="641">
        <f t="shared" si="334"/>
        <v>178233768.18000001</v>
      </c>
      <c r="W928" s="488"/>
      <c r="X928" s="1016"/>
      <c r="Y928" s="675"/>
      <c r="Z928" s="767"/>
      <c r="AA928" s="675"/>
      <c r="AB928" s="767"/>
      <c r="AC928" s="675"/>
      <c r="AD928" s="767"/>
      <c r="AE928" s="675"/>
      <c r="AF928" s="767"/>
      <c r="AL928" s="489"/>
      <c r="AM928" s="489"/>
      <c r="AN928" s="489"/>
      <c r="AO928" s="489"/>
      <c r="AP928" s="489"/>
      <c r="AQ928" s="489"/>
      <c r="AR928" s="489"/>
      <c r="AS928" s="489"/>
    </row>
    <row r="929" spans="1:45" s="484" customFormat="1" ht="14.5">
      <c r="A929" s="695" t="s">
        <v>1305</v>
      </c>
      <c r="B929" s="647"/>
      <c r="C929" s="644"/>
      <c r="D929" s="644"/>
      <c r="E929" s="493">
        <f t="shared" si="339"/>
        <v>0</v>
      </c>
      <c r="F929" s="763">
        <f t="shared" si="340"/>
        <v>1.75E-3</v>
      </c>
      <c r="G929" s="493">
        <f t="shared" si="341"/>
        <v>0</v>
      </c>
      <c r="H929" s="493">
        <f t="shared" si="342"/>
        <v>0</v>
      </c>
      <c r="I929" s="493">
        <f t="shared" si="342"/>
        <v>0</v>
      </c>
      <c r="J929" s="493">
        <f t="shared" si="342"/>
        <v>0</v>
      </c>
      <c r="K929" s="493">
        <f t="shared" si="342"/>
        <v>0</v>
      </c>
      <c r="L929" s="493">
        <f t="shared" si="342"/>
        <v>0</v>
      </c>
      <c r="M929" s="493">
        <f t="shared" si="342"/>
        <v>0</v>
      </c>
      <c r="N929" s="493">
        <f t="shared" si="342"/>
        <v>0</v>
      </c>
      <c r="O929" s="493">
        <f t="shared" si="342"/>
        <v>0</v>
      </c>
      <c r="P929" s="493">
        <f t="shared" si="342"/>
        <v>0</v>
      </c>
      <c r="Q929" s="493">
        <f t="shared" si="342"/>
        <v>0</v>
      </c>
      <c r="R929" s="493">
        <f t="shared" si="332"/>
        <v>0</v>
      </c>
      <c r="S929" s="493">
        <f t="shared" si="333"/>
        <v>0</v>
      </c>
      <c r="T929" s="794"/>
      <c r="V929" s="641">
        <f t="shared" si="334"/>
        <v>0</v>
      </c>
      <c r="W929" s="488"/>
      <c r="X929" s="1016"/>
      <c r="Y929" s="675"/>
      <c r="Z929" s="767"/>
      <c r="AA929" s="675"/>
      <c r="AB929" s="767"/>
      <c r="AC929" s="675"/>
      <c r="AD929" s="767"/>
      <c r="AE929" s="675"/>
      <c r="AF929" s="767"/>
      <c r="AL929" s="489"/>
      <c r="AM929" s="489"/>
      <c r="AN929" s="489"/>
      <c r="AO929" s="489"/>
      <c r="AP929" s="489"/>
      <c r="AQ929" s="489"/>
      <c r="AR929" s="489"/>
      <c r="AS929" s="489"/>
    </row>
    <row r="930" spans="1:45" s="484" customFormat="1" ht="14.5">
      <c r="A930" s="695" t="s">
        <v>1306</v>
      </c>
      <c r="B930" s="647"/>
      <c r="C930" s="644"/>
      <c r="D930" s="644"/>
      <c r="E930" s="493">
        <f t="shared" si="339"/>
        <v>0</v>
      </c>
      <c r="F930" s="763">
        <f t="shared" si="340"/>
        <v>6.8999999999999999E-3</v>
      </c>
      <c r="G930" s="493">
        <f t="shared" si="341"/>
        <v>0</v>
      </c>
      <c r="H930" s="493">
        <f t="shared" si="342"/>
        <v>0</v>
      </c>
      <c r="I930" s="493">
        <f t="shared" si="342"/>
        <v>0</v>
      </c>
      <c r="J930" s="493">
        <f t="shared" si="342"/>
        <v>0</v>
      </c>
      <c r="K930" s="493">
        <f t="shared" si="342"/>
        <v>0</v>
      </c>
      <c r="L930" s="493">
        <f t="shared" si="342"/>
        <v>0</v>
      </c>
      <c r="M930" s="493">
        <f t="shared" si="342"/>
        <v>0</v>
      </c>
      <c r="N930" s="493">
        <f t="shared" si="342"/>
        <v>0</v>
      </c>
      <c r="O930" s="493">
        <f t="shared" si="342"/>
        <v>0</v>
      </c>
      <c r="P930" s="493">
        <f t="shared" si="342"/>
        <v>0</v>
      </c>
      <c r="Q930" s="493">
        <f t="shared" si="342"/>
        <v>0</v>
      </c>
      <c r="R930" s="493">
        <f t="shared" si="332"/>
        <v>0</v>
      </c>
      <c r="S930" s="493">
        <f t="shared" si="333"/>
        <v>0</v>
      </c>
      <c r="T930" s="794"/>
      <c r="V930" s="641">
        <f t="shared" si="334"/>
        <v>0</v>
      </c>
      <c r="W930" s="488"/>
      <c r="X930" s="1016"/>
      <c r="Y930" s="675"/>
      <c r="Z930" s="767"/>
      <c r="AA930" s="675"/>
      <c r="AB930" s="767"/>
      <c r="AC930" s="675"/>
      <c r="AD930" s="767"/>
      <c r="AE930" s="675"/>
      <c r="AF930" s="767"/>
      <c r="AL930" s="489"/>
      <c r="AM930" s="489"/>
      <c r="AN930" s="489"/>
      <c r="AO930" s="489"/>
      <c r="AP930" s="489"/>
      <c r="AQ930" s="489"/>
      <c r="AR930" s="489"/>
      <c r="AS930" s="489"/>
    </row>
    <row r="931" spans="1:45" s="484" customFormat="1" ht="14.5">
      <c r="A931" s="695" t="s">
        <v>1307</v>
      </c>
      <c r="B931" s="647"/>
      <c r="C931" s="644"/>
      <c r="D931" s="644"/>
      <c r="E931" s="493">
        <f t="shared" si="339"/>
        <v>0</v>
      </c>
      <c r="F931" s="763">
        <f t="shared" si="340"/>
        <v>1.4999999999999999E-2</v>
      </c>
      <c r="G931" s="493">
        <f t="shared" si="341"/>
        <v>0</v>
      </c>
      <c r="H931" s="493">
        <f t="shared" ref="H931:Q933" si="343">(G486+H486)/2*$F931/12</f>
        <v>0</v>
      </c>
      <c r="I931" s="493">
        <f t="shared" si="343"/>
        <v>0</v>
      </c>
      <c r="J931" s="493">
        <f t="shared" si="343"/>
        <v>0</v>
      </c>
      <c r="K931" s="493">
        <f t="shared" si="343"/>
        <v>0</v>
      </c>
      <c r="L931" s="493">
        <f t="shared" si="343"/>
        <v>0</v>
      </c>
      <c r="M931" s="493">
        <f t="shared" si="343"/>
        <v>0</v>
      </c>
      <c r="N931" s="493">
        <f t="shared" si="343"/>
        <v>0</v>
      </c>
      <c r="O931" s="493">
        <f t="shared" si="343"/>
        <v>0</v>
      </c>
      <c r="P931" s="493">
        <f t="shared" si="343"/>
        <v>0</v>
      </c>
      <c r="Q931" s="493">
        <f t="shared" si="343"/>
        <v>0</v>
      </c>
      <c r="R931" s="493">
        <f t="shared" si="332"/>
        <v>0</v>
      </c>
      <c r="S931" s="493">
        <f t="shared" si="333"/>
        <v>0</v>
      </c>
      <c r="T931" s="794"/>
      <c r="V931" s="641">
        <f t="shared" si="334"/>
        <v>0</v>
      </c>
      <c r="W931" s="488"/>
      <c r="X931" s="1016"/>
      <c r="Y931" s="675"/>
      <c r="Z931" s="767"/>
      <c r="AA931" s="675"/>
      <c r="AB931" s="767"/>
      <c r="AC931" s="675"/>
      <c r="AD931" s="767"/>
      <c r="AE931" s="675"/>
      <c r="AF931" s="767"/>
      <c r="AL931" s="489"/>
      <c r="AM931" s="489"/>
      <c r="AN931" s="489"/>
      <c r="AO931" s="489"/>
      <c r="AP931" s="489"/>
      <c r="AQ931" s="489"/>
      <c r="AR931" s="489"/>
      <c r="AS931" s="489"/>
    </row>
    <row r="932" spans="1:45" s="484" customFormat="1" ht="14.5">
      <c r="A932" s="695" t="s">
        <v>1308</v>
      </c>
      <c r="B932" s="647"/>
      <c r="C932" s="644"/>
      <c r="D932" s="644"/>
      <c r="E932" s="493">
        <f t="shared" si="339"/>
        <v>0</v>
      </c>
      <c r="F932" s="763">
        <f t="shared" si="340"/>
        <v>1.5E-3</v>
      </c>
      <c r="G932" s="493">
        <f t="shared" si="341"/>
        <v>6250000</v>
      </c>
      <c r="H932" s="493">
        <f t="shared" si="343"/>
        <v>12500000</v>
      </c>
      <c r="I932" s="493">
        <f t="shared" si="343"/>
        <v>12500000</v>
      </c>
      <c r="J932" s="493">
        <f t="shared" si="343"/>
        <v>12500000</v>
      </c>
      <c r="K932" s="493">
        <f t="shared" si="343"/>
        <v>12500000</v>
      </c>
      <c r="L932" s="493">
        <f t="shared" si="343"/>
        <v>12500000</v>
      </c>
      <c r="M932" s="493">
        <f t="shared" si="343"/>
        <v>12500000</v>
      </c>
      <c r="N932" s="493">
        <f t="shared" si="343"/>
        <v>12500000</v>
      </c>
      <c r="O932" s="493">
        <f t="shared" si="343"/>
        <v>12500000</v>
      </c>
      <c r="P932" s="493">
        <f t="shared" si="343"/>
        <v>12500000</v>
      </c>
      <c r="Q932" s="493">
        <f t="shared" si="343"/>
        <v>12500000</v>
      </c>
      <c r="R932" s="493">
        <f t="shared" si="332"/>
        <v>12500000</v>
      </c>
      <c r="S932" s="493">
        <f t="shared" si="333"/>
        <v>12500000</v>
      </c>
      <c r="T932" s="794"/>
      <c r="V932" s="641">
        <f t="shared" si="334"/>
        <v>150000000</v>
      </c>
      <c r="W932" s="488"/>
      <c r="X932" s="1016"/>
      <c r="Y932" s="675"/>
      <c r="Z932" s="767"/>
      <c r="AA932" s="675"/>
      <c r="AB932" s="767"/>
      <c r="AC932" s="675"/>
      <c r="AD932" s="767"/>
      <c r="AE932" s="675"/>
      <c r="AF932" s="767"/>
      <c r="AL932" s="489"/>
      <c r="AM932" s="489"/>
      <c r="AN932" s="489"/>
      <c r="AO932" s="489"/>
      <c r="AP932" s="489"/>
      <c r="AQ932" s="489"/>
      <c r="AR932" s="489"/>
      <c r="AS932" s="489"/>
    </row>
    <row r="933" spans="1:45" s="484" customFormat="1" ht="14.5">
      <c r="A933" s="695" t="s">
        <v>1309</v>
      </c>
      <c r="B933" s="647"/>
      <c r="C933" s="644"/>
      <c r="D933" s="644"/>
      <c r="E933" s="493">
        <f t="shared" si="339"/>
        <v>0</v>
      </c>
      <c r="F933" s="763">
        <f t="shared" si="340"/>
        <v>8.1799999999999998E-3</v>
      </c>
      <c r="G933" s="493">
        <f t="shared" si="341"/>
        <v>0</v>
      </c>
      <c r="H933" s="493">
        <f t="shared" si="343"/>
        <v>0</v>
      </c>
      <c r="I933" s="493">
        <f t="shared" si="343"/>
        <v>0</v>
      </c>
      <c r="J933" s="493">
        <f t="shared" si="343"/>
        <v>0</v>
      </c>
      <c r="K933" s="493">
        <f t="shared" si="343"/>
        <v>0</v>
      </c>
      <c r="L933" s="493">
        <f t="shared" si="343"/>
        <v>0</v>
      </c>
      <c r="M933" s="493">
        <f t="shared" si="343"/>
        <v>0</v>
      </c>
      <c r="N933" s="493">
        <f t="shared" si="343"/>
        <v>0</v>
      </c>
      <c r="O933" s="493">
        <f t="shared" si="343"/>
        <v>0</v>
      </c>
      <c r="P933" s="493">
        <f t="shared" si="343"/>
        <v>0</v>
      </c>
      <c r="Q933" s="493">
        <f t="shared" si="343"/>
        <v>0</v>
      </c>
      <c r="R933" s="493">
        <f t="shared" si="332"/>
        <v>0</v>
      </c>
      <c r="S933" s="493">
        <f t="shared" si="333"/>
        <v>0</v>
      </c>
      <c r="T933" s="794"/>
      <c r="V933" s="641">
        <f t="shared" si="334"/>
        <v>0</v>
      </c>
      <c r="W933" s="488"/>
      <c r="X933" s="1016"/>
      <c r="Y933" s="675"/>
      <c r="Z933" s="767"/>
      <c r="AA933" s="675"/>
      <c r="AB933" s="767"/>
      <c r="AC933" s="675"/>
      <c r="AD933" s="767"/>
      <c r="AE933" s="675"/>
      <c r="AF933" s="767"/>
      <c r="AL933" s="489"/>
      <c r="AM933" s="489"/>
      <c r="AN933" s="489"/>
      <c r="AO933" s="489"/>
      <c r="AP933" s="489"/>
      <c r="AQ933" s="489"/>
      <c r="AR933" s="489"/>
      <c r="AS933" s="489"/>
    </row>
    <row r="934" spans="1:45" s="484" customFormat="1" ht="14.5">
      <c r="A934" s="695"/>
      <c r="B934" s="647"/>
      <c r="C934" s="644"/>
      <c r="D934" s="644"/>
      <c r="E934" s="644"/>
      <c r="F934" s="768"/>
      <c r="G934" s="493"/>
      <c r="H934" s="493"/>
      <c r="I934" s="493"/>
      <c r="J934" s="493"/>
      <c r="K934" s="493"/>
      <c r="L934" s="493"/>
      <c r="M934" s="493"/>
      <c r="N934" s="493"/>
      <c r="O934" s="493"/>
      <c r="P934" s="493"/>
      <c r="Q934" s="493"/>
      <c r="R934" s="493"/>
      <c r="S934" s="493"/>
      <c r="T934" s="794"/>
      <c r="V934" s="641">
        <f t="shared" si="334"/>
        <v>0</v>
      </c>
      <c r="W934" s="488"/>
      <c r="X934" s="1016"/>
      <c r="Y934" s="675"/>
      <c r="Z934" s="767"/>
      <c r="AA934" s="675"/>
      <c r="AB934" s="767"/>
      <c r="AC934" s="675"/>
      <c r="AD934" s="767"/>
      <c r="AE934" s="675"/>
      <c r="AF934" s="767"/>
      <c r="AL934" s="489"/>
      <c r="AM934" s="489"/>
      <c r="AN934" s="489"/>
      <c r="AO934" s="489"/>
      <c r="AP934" s="489"/>
      <c r="AQ934" s="489"/>
      <c r="AR934" s="489"/>
      <c r="AS934" s="489"/>
    </row>
    <row r="935" spans="1:45" s="484" customFormat="1">
      <c r="A935" s="490" t="s">
        <v>1347</v>
      </c>
      <c r="B935" s="653"/>
      <c r="C935" s="654"/>
      <c r="D935" s="654">
        <f>SUM(D899:D914)</f>
        <v>0</v>
      </c>
      <c r="E935" s="654">
        <f>SUM(E899:E934)</f>
        <v>68312998.158230528</v>
      </c>
      <c r="F935" s="707"/>
      <c r="G935" s="654">
        <f>SUM(G899:G934)</f>
        <v>123101844.89823052</v>
      </c>
      <c r="H935" s="654">
        <f t="shared" ref="H935:V935" si="344">SUM(H899:H934)</f>
        <v>109577693.48</v>
      </c>
      <c r="I935" s="654">
        <f t="shared" si="344"/>
        <v>109577693.48</v>
      </c>
      <c r="J935" s="654">
        <f t="shared" si="344"/>
        <v>109577693.48</v>
      </c>
      <c r="K935" s="654">
        <f t="shared" si="344"/>
        <v>109577693.48</v>
      </c>
      <c r="L935" s="654">
        <f t="shared" si="344"/>
        <v>109577693.48</v>
      </c>
      <c r="M935" s="654">
        <f t="shared" si="344"/>
        <v>109577693.48</v>
      </c>
      <c r="N935" s="654">
        <f t="shared" si="344"/>
        <v>109577693.48</v>
      </c>
      <c r="O935" s="654">
        <f t="shared" si="344"/>
        <v>109577693.48</v>
      </c>
      <c r="P935" s="654">
        <f t="shared" si="344"/>
        <v>109577693.48</v>
      </c>
      <c r="Q935" s="654">
        <f t="shared" si="344"/>
        <v>109577693.48</v>
      </c>
      <c r="R935" s="654">
        <f>SUM(R899:R934)</f>
        <v>109577693.48</v>
      </c>
      <c r="S935" s="654">
        <f>SUM(S899:S934)</f>
        <v>109577693.48</v>
      </c>
      <c r="T935" s="816"/>
      <c r="V935" s="654">
        <f t="shared" si="344"/>
        <v>1314932321.76</v>
      </c>
      <c r="W935" s="708"/>
      <c r="X935" s="1017"/>
      <c r="Y935" s="718">
        <f>SUM(Y899:Y916)</f>
        <v>4220613778.746016</v>
      </c>
      <c r="Z935" s="708">
        <f>Y935/V935-1</f>
        <v>2.2097574216571414</v>
      </c>
      <c r="AA935" s="718">
        <f>SUM(AA899:AA914)</f>
        <v>551460202.04912245</v>
      </c>
      <c r="AB935" s="708">
        <f>+AA935/Y935-1</f>
        <v>-0.86934123069347358</v>
      </c>
      <c r="AC935" s="718">
        <f>SUM(AC899:AC914)</f>
        <v>804212794.65497041</v>
      </c>
      <c r="AD935" s="708">
        <f>+AC935/AA935-1</f>
        <v>0.4583333333333337</v>
      </c>
      <c r="AE935" s="718">
        <f>SUM(AE899:AE914)</f>
        <v>1085687272.78421</v>
      </c>
      <c r="AF935" s="708">
        <f>+AE935/AC935-1</f>
        <v>0.34999999999999987</v>
      </c>
      <c r="AL935" s="489"/>
      <c r="AM935" s="489"/>
      <c r="AN935" s="489"/>
      <c r="AO935" s="489"/>
      <c r="AP935" s="489"/>
      <c r="AQ935" s="489"/>
      <c r="AR935" s="489"/>
      <c r="AS935" s="489"/>
    </row>
    <row r="936" spans="1:45" s="484" customFormat="1">
      <c r="A936" s="499"/>
      <c r="B936" s="773"/>
      <c r="C936" s="774"/>
      <c r="D936" s="774"/>
      <c r="E936" s="774"/>
      <c r="F936" s="733"/>
      <c r="G936" s="774"/>
      <c r="H936" s="774"/>
      <c r="I936" s="774"/>
      <c r="J936" s="774"/>
      <c r="K936" s="774"/>
      <c r="L936" s="774"/>
      <c r="M936" s="774"/>
      <c r="N936" s="774"/>
      <c r="O936" s="774"/>
      <c r="P936" s="774"/>
      <c r="Q936" s="774"/>
      <c r="R936" s="774"/>
      <c r="S936" s="774"/>
      <c r="T936" s="827"/>
      <c r="V936" s="774"/>
      <c r="W936" s="775"/>
      <c r="X936" s="1030"/>
      <c r="Y936" s="776"/>
      <c r="Z936" s="775"/>
      <c r="AA936" s="776"/>
      <c r="AB936" s="775"/>
      <c r="AC936" s="776"/>
      <c r="AD936" s="775"/>
      <c r="AE936" s="776"/>
      <c r="AF936" s="775"/>
      <c r="AL936" s="489"/>
      <c r="AM936" s="489"/>
      <c r="AN936" s="489"/>
      <c r="AO936" s="489"/>
      <c r="AP936" s="489"/>
      <c r="AQ936" s="489"/>
      <c r="AR936" s="489"/>
      <c r="AS936" s="489"/>
    </row>
    <row r="937" spans="1:45" s="484" customFormat="1">
      <c r="A937" s="490" t="s">
        <v>1348</v>
      </c>
      <c r="B937" s="633"/>
      <c r="C937" s="634"/>
      <c r="D937" s="689"/>
      <c r="E937" s="689"/>
      <c r="F937" s="691"/>
      <c r="G937" s="690">
        <v>42735</v>
      </c>
      <c r="H937" s="690">
        <v>42736</v>
      </c>
      <c r="I937" s="690">
        <v>42768</v>
      </c>
      <c r="J937" s="690">
        <v>42800</v>
      </c>
      <c r="K937" s="690">
        <v>42832</v>
      </c>
      <c r="L937" s="690">
        <v>42864</v>
      </c>
      <c r="M937" s="690">
        <v>42896</v>
      </c>
      <c r="N937" s="690">
        <v>42928</v>
      </c>
      <c r="O937" s="690">
        <v>42960</v>
      </c>
      <c r="P937" s="690">
        <v>42992</v>
      </c>
      <c r="Q937" s="690">
        <v>43024</v>
      </c>
      <c r="R937" s="690">
        <v>43056</v>
      </c>
      <c r="S937" s="690">
        <v>43088</v>
      </c>
      <c r="T937" s="822"/>
      <c r="V937" s="690" t="s">
        <v>1159</v>
      </c>
      <c r="W937" s="692"/>
      <c r="X937" s="1022"/>
      <c r="Y937" s="693"/>
      <c r="Z937" s="693"/>
      <c r="AA937" s="694"/>
      <c r="AB937" s="694"/>
      <c r="AC937" s="694"/>
      <c r="AD937" s="694"/>
      <c r="AE937" s="694"/>
      <c r="AF937" s="694"/>
      <c r="AL937" s="489"/>
      <c r="AM937" s="489"/>
      <c r="AN937" s="489"/>
      <c r="AO937" s="489"/>
      <c r="AP937" s="489"/>
      <c r="AQ937" s="489"/>
      <c r="AR937" s="489"/>
      <c r="AS937" s="489"/>
    </row>
    <row r="938" spans="1:45" s="484" customFormat="1">
      <c r="A938" s="695" t="s">
        <v>1275</v>
      </c>
      <c r="B938" s="638"/>
      <c r="C938" s="639"/>
      <c r="D938" s="639"/>
      <c r="E938" s="493">
        <f>(0+E493)/2*$F938/12</f>
        <v>252979.54324999999</v>
      </c>
      <c r="F938" s="763">
        <f>+F899</f>
        <v>0.02</v>
      </c>
      <c r="G938" s="493">
        <f>(E493+G493)/2*$F938/12</f>
        <v>758938.62974999996</v>
      </c>
      <c r="H938" s="493">
        <f t="shared" ref="H938:Q953" si="345">(G493+H493)/2*$F938/12</f>
        <v>1011918.173</v>
      </c>
      <c r="I938" s="493">
        <f t="shared" si="345"/>
        <v>1011918.173</v>
      </c>
      <c r="J938" s="493">
        <f t="shared" si="345"/>
        <v>1011918.173</v>
      </c>
      <c r="K938" s="493">
        <f t="shared" si="345"/>
        <v>1011918.173</v>
      </c>
      <c r="L938" s="493">
        <f t="shared" si="345"/>
        <v>1011918.173</v>
      </c>
      <c r="M938" s="493">
        <f t="shared" si="345"/>
        <v>1011918.173</v>
      </c>
      <c r="N938" s="493">
        <f t="shared" ref="N938:P957" si="346">(M493+N493)/2*$F938/12</f>
        <v>1011918.173</v>
      </c>
      <c r="O938" s="493">
        <f t="shared" si="346"/>
        <v>1011918.173</v>
      </c>
      <c r="P938" s="493">
        <f t="shared" si="346"/>
        <v>1011918.173</v>
      </c>
      <c r="Q938" s="493">
        <f t="shared" si="345"/>
        <v>1011918.173</v>
      </c>
      <c r="R938" s="493">
        <f t="shared" ref="R938:R972" si="347">(Q493+R493)/2*$F938/12</f>
        <v>1011918.173</v>
      </c>
      <c r="S938" s="493">
        <f t="shared" ref="S938:S972" si="348">(R493+S493)/2*$F938/12</f>
        <v>1011918.173</v>
      </c>
      <c r="T938" s="794"/>
      <c r="V938" s="641">
        <f t="shared" ref="V938:V973" si="349">SUM(H938:U938)</f>
        <v>12143018.076000003</v>
      </c>
      <c r="W938" s="704"/>
      <c r="X938" s="1015"/>
      <c r="Y938" s="664">
        <f t="shared" ref="Y938:Y957" si="350">(Y517+V517)/2*Z938</f>
        <v>0</v>
      </c>
      <c r="Z938" s="764">
        <v>0.02</v>
      </c>
      <c r="AA938" s="664">
        <f t="shared" ref="AA938:AA957" si="351">(AA517+Y517)/2*AB938</f>
        <v>0</v>
      </c>
      <c r="AB938" s="764">
        <v>0.02</v>
      </c>
      <c r="AC938" s="664">
        <f t="shared" ref="AC938:AC957" si="352">(AC517+AA517)/2*AD938</f>
        <v>0</v>
      </c>
      <c r="AD938" s="764">
        <v>0.02</v>
      </c>
      <c r="AE938" s="664">
        <f t="shared" ref="AE938:AE957" si="353">(AE517+AC517)/2*AF938</f>
        <v>0</v>
      </c>
      <c r="AF938" s="764">
        <v>0.02</v>
      </c>
      <c r="AL938" s="489"/>
      <c r="AM938" s="489"/>
      <c r="AN938" s="489"/>
      <c r="AO938" s="489"/>
      <c r="AP938" s="489"/>
      <c r="AQ938" s="489"/>
      <c r="AR938" s="489"/>
      <c r="AS938" s="489"/>
    </row>
    <row r="939" spans="1:45" s="484" customFormat="1" ht="14.5">
      <c r="A939" s="695" t="s">
        <v>1276</v>
      </c>
      <c r="B939" s="647"/>
      <c r="C939" s="644"/>
      <c r="D939" s="644"/>
      <c r="E939" s="493">
        <f t="shared" ref="E939:E972" si="354">(0+E494)/2*$F939/12</f>
        <v>0</v>
      </c>
      <c r="F939" s="763">
        <f t="shared" ref="F939:F972" si="355">+F900</f>
        <v>1.2500000000000001E-2</v>
      </c>
      <c r="G939" s="493">
        <f t="shared" ref="G939:G972" si="356">(E494+G494)/2*$F939/12</f>
        <v>0</v>
      </c>
      <c r="H939" s="493">
        <f t="shared" si="345"/>
        <v>0</v>
      </c>
      <c r="I939" s="493">
        <f t="shared" si="345"/>
        <v>0</v>
      </c>
      <c r="J939" s="493">
        <f t="shared" si="345"/>
        <v>0</v>
      </c>
      <c r="K939" s="493">
        <f t="shared" si="345"/>
        <v>0</v>
      </c>
      <c r="L939" s="493">
        <f t="shared" si="345"/>
        <v>0</v>
      </c>
      <c r="M939" s="493">
        <f t="shared" si="345"/>
        <v>0</v>
      </c>
      <c r="N939" s="493">
        <f t="shared" si="346"/>
        <v>0</v>
      </c>
      <c r="O939" s="493">
        <f t="shared" si="346"/>
        <v>0</v>
      </c>
      <c r="P939" s="493">
        <f t="shared" si="346"/>
        <v>0</v>
      </c>
      <c r="Q939" s="493">
        <f t="shared" si="345"/>
        <v>0</v>
      </c>
      <c r="R939" s="493">
        <f t="shared" si="347"/>
        <v>0</v>
      </c>
      <c r="S939" s="493">
        <f t="shared" si="348"/>
        <v>0</v>
      </c>
      <c r="T939" s="794"/>
      <c r="V939" s="641">
        <f t="shared" si="349"/>
        <v>0</v>
      </c>
      <c r="W939" s="765"/>
      <c r="X939" s="1016"/>
      <c r="Y939" s="675">
        <f t="shared" si="350"/>
        <v>0</v>
      </c>
      <c r="Z939" s="766">
        <v>0.02</v>
      </c>
      <c r="AA939" s="675">
        <f t="shared" si="351"/>
        <v>0</v>
      </c>
      <c r="AB939" s="766">
        <v>0.02</v>
      </c>
      <c r="AC939" s="675">
        <f t="shared" si="352"/>
        <v>0</v>
      </c>
      <c r="AD939" s="766">
        <v>0.02</v>
      </c>
      <c r="AE939" s="675">
        <f t="shared" si="353"/>
        <v>0</v>
      </c>
      <c r="AF939" s="766">
        <v>0.02</v>
      </c>
      <c r="AL939" s="489"/>
      <c r="AM939" s="489"/>
      <c r="AN939" s="489"/>
      <c r="AO939" s="489"/>
      <c r="AP939" s="489"/>
      <c r="AQ939" s="489"/>
      <c r="AR939" s="489"/>
      <c r="AS939" s="489"/>
    </row>
    <row r="940" spans="1:45" s="484" customFormat="1">
      <c r="A940" s="695" t="s">
        <v>1277</v>
      </c>
      <c r="B940" s="638"/>
      <c r="C940" s="639"/>
      <c r="D940" s="639"/>
      <c r="E940" s="493">
        <f t="shared" si="354"/>
        <v>0</v>
      </c>
      <c r="F940" s="763">
        <f t="shared" si="355"/>
        <v>1.2500000000000001E-2</v>
      </c>
      <c r="G940" s="493">
        <f t="shared" si="356"/>
        <v>0</v>
      </c>
      <c r="H940" s="493">
        <f t="shared" si="345"/>
        <v>0</v>
      </c>
      <c r="I940" s="493">
        <f t="shared" si="345"/>
        <v>0</v>
      </c>
      <c r="J940" s="493">
        <f t="shared" si="345"/>
        <v>0</v>
      </c>
      <c r="K940" s="493">
        <f t="shared" si="345"/>
        <v>0</v>
      </c>
      <c r="L940" s="493">
        <f t="shared" si="345"/>
        <v>0</v>
      </c>
      <c r="M940" s="493">
        <f t="shared" si="345"/>
        <v>0</v>
      </c>
      <c r="N940" s="493">
        <f t="shared" si="346"/>
        <v>0</v>
      </c>
      <c r="O940" s="493">
        <f t="shared" si="346"/>
        <v>0</v>
      </c>
      <c r="P940" s="493">
        <f t="shared" si="346"/>
        <v>0</v>
      </c>
      <c r="Q940" s="493">
        <f t="shared" si="345"/>
        <v>0</v>
      </c>
      <c r="R940" s="493">
        <f t="shared" si="347"/>
        <v>0</v>
      </c>
      <c r="S940" s="493">
        <f t="shared" si="348"/>
        <v>0</v>
      </c>
      <c r="T940" s="794"/>
      <c r="V940" s="641">
        <f t="shared" si="349"/>
        <v>0</v>
      </c>
      <c r="W940" s="713"/>
      <c r="X940" s="1015"/>
      <c r="Y940" s="675">
        <f t="shared" si="350"/>
        <v>0</v>
      </c>
      <c r="Z940" s="766">
        <v>1.2500000000000001E-2</v>
      </c>
      <c r="AA940" s="675">
        <f t="shared" si="351"/>
        <v>0</v>
      </c>
      <c r="AB940" s="766">
        <v>1.2500000000000001E-2</v>
      </c>
      <c r="AC940" s="675">
        <f t="shared" si="352"/>
        <v>0</v>
      </c>
      <c r="AD940" s="766">
        <v>1.2500000000000001E-2</v>
      </c>
      <c r="AE940" s="675">
        <f t="shared" si="353"/>
        <v>0</v>
      </c>
      <c r="AF940" s="766">
        <v>1.2500000000000001E-2</v>
      </c>
      <c r="AL940" s="489"/>
      <c r="AM940" s="489"/>
      <c r="AN940" s="489"/>
      <c r="AO940" s="489"/>
      <c r="AP940" s="489"/>
      <c r="AQ940" s="489"/>
      <c r="AR940" s="489"/>
      <c r="AS940" s="489"/>
    </row>
    <row r="941" spans="1:45" s="484" customFormat="1" ht="14.5">
      <c r="A941" s="695" t="s">
        <v>1278</v>
      </c>
      <c r="B941" s="647"/>
      <c r="C941" s="644"/>
      <c r="D941" s="644"/>
      <c r="E941" s="493">
        <f t="shared" si="354"/>
        <v>0</v>
      </c>
      <c r="F941" s="763">
        <f t="shared" si="355"/>
        <v>1.2500000000000001E-2</v>
      </c>
      <c r="G941" s="493">
        <f t="shared" si="356"/>
        <v>0</v>
      </c>
      <c r="H941" s="493">
        <f t="shared" si="345"/>
        <v>0</v>
      </c>
      <c r="I941" s="493">
        <f t="shared" si="345"/>
        <v>0</v>
      </c>
      <c r="J941" s="493">
        <f t="shared" si="345"/>
        <v>0</v>
      </c>
      <c r="K941" s="493">
        <f t="shared" si="345"/>
        <v>0</v>
      </c>
      <c r="L941" s="493">
        <f t="shared" si="345"/>
        <v>0</v>
      </c>
      <c r="M941" s="493">
        <f t="shared" si="345"/>
        <v>0</v>
      </c>
      <c r="N941" s="493">
        <f t="shared" si="346"/>
        <v>0</v>
      </c>
      <c r="O941" s="493">
        <f t="shared" si="346"/>
        <v>0</v>
      </c>
      <c r="P941" s="493">
        <f t="shared" si="346"/>
        <v>0</v>
      </c>
      <c r="Q941" s="493">
        <f t="shared" si="345"/>
        <v>0</v>
      </c>
      <c r="R941" s="493">
        <f t="shared" si="347"/>
        <v>0</v>
      </c>
      <c r="S941" s="493">
        <f t="shared" si="348"/>
        <v>0</v>
      </c>
      <c r="T941" s="794"/>
      <c r="V941" s="641">
        <f t="shared" si="349"/>
        <v>0</v>
      </c>
      <c r="W941" s="765"/>
      <c r="X941" s="1016"/>
      <c r="Y941" s="675">
        <f t="shared" si="350"/>
        <v>0</v>
      </c>
      <c r="Z941" s="766">
        <v>1.2500000000000001E-2</v>
      </c>
      <c r="AA941" s="675">
        <f t="shared" si="351"/>
        <v>0</v>
      </c>
      <c r="AB941" s="766">
        <v>1.2500000000000001E-2</v>
      </c>
      <c r="AC941" s="675">
        <f t="shared" si="352"/>
        <v>0</v>
      </c>
      <c r="AD941" s="766">
        <v>1.2500000000000001E-2</v>
      </c>
      <c r="AE941" s="675">
        <f t="shared" si="353"/>
        <v>0</v>
      </c>
      <c r="AF941" s="766">
        <v>1.2500000000000001E-2</v>
      </c>
      <c r="AL941" s="489"/>
      <c r="AM941" s="489"/>
      <c r="AN941" s="489"/>
      <c r="AO941" s="489"/>
      <c r="AP941" s="489"/>
      <c r="AQ941" s="489"/>
      <c r="AR941" s="489"/>
      <c r="AS941" s="489"/>
    </row>
    <row r="942" spans="1:45" s="484" customFormat="1">
      <c r="A942" s="695" t="s">
        <v>1279</v>
      </c>
      <c r="B942" s="638"/>
      <c r="C942" s="639"/>
      <c r="D942" s="639"/>
      <c r="E942" s="493">
        <f t="shared" si="354"/>
        <v>535175.27838749997</v>
      </c>
      <c r="F942" s="763">
        <f t="shared" si="355"/>
        <v>0.03</v>
      </c>
      <c r="G942" s="493">
        <f t="shared" si="356"/>
        <v>14105525.835162498</v>
      </c>
      <c r="H942" s="493">
        <f t="shared" si="345"/>
        <v>30890701.113549996</v>
      </c>
      <c r="I942" s="493">
        <f t="shared" si="345"/>
        <v>39640701.113549992</v>
      </c>
      <c r="J942" s="493">
        <f t="shared" si="345"/>
        <v>50890701.11355</v>
      </c>
      <c r="K942" s="493">
        <f t="shared" si="345"/>
        <v>65890701.11355</v>
      </c>
      <c r="L942" s="493">
        <f t="shared" si="345"/>
        <v>84765701.113549992</v>
      </c>
      <c r="M942" s="493">
        <f t="shared" si="345"/>
        <v>106265701.11354999</v>
      </c>
      <c r="N942" s="493">
        <f t="shared" si="346"/>
        <v>129015701.11354999</v>
      </c>
      <c r="O942" s="493">
        <f t="shared" si="346"/>
        <v>151765701.11354998</v>
      </c>
      <c r="P942" s="493">
        <f t="shared" si="346"/>
        <v>174515701.11354998</v>
      </c>
      <c r="Q942" s="493">
        <f t="shared" si="345"/>
        <v>197265701.11354998</v>
      </c>
      <c r="R942" s="493">
        <f t="shared" si="347"/>
        <v>220015701.11354998</v>
      </c>
      <c r="S942" s="493">
        <f t="shared" si="348"/>
        <v>242765701.11354998</v>
      </c>
      <c r="T942" s="794"/>
      <c r="V942" s="641">
        <f t="shared" si="349"/>
        <v>1493688413.3625998</v>
      </c>
      <c r="W942" s="713"/>
      <c r="X942" s="1015"/>
      <c r="Y942" s="675">
        <f t="shared" si="350"/>
        <v>0</v>
      </c>
      <c r="Z942" s="766">
        <f>1%/1.1</f>
        <v>9.0909090909090905E-3</v>
      </c>
      <c r="AA942" s="675">
        <f t="shared" si="351"/>
        <v>0</v>
      </c>
      <c r="AB942" s="766">
        <f>1%/1.1</f>
        <v>9.0909090909090905E-3</v>
      </c>
      <c r="AC942" s="675">
        <f t="shared" si="352"/>
        <v>0</v>
      </c>
      <c r="AD942" s="766">
        <f>1%/1.1</f>
        <v>9.0909090909090905E-3</v>
      </c>
      <c r="AE942" s="675">
        <f t="shared" si="353"/>
        <v>0</v>
      </c>
      <c r="AF942" s="766">
        <f>1%/1.1</f>
        <v>9.0909090909090905E-3</v>
      </c>
      <c r="AL942" s="489"/>
      <c r="AM942" s="489"/>
      <c r="AN942" s="489"/>
      <c r="AO942" s="489"/>
      <c r="AP942" s="489"/>
      <c r="AQ942" s="489"/>
      <c r="AR942" s="489"/>
      <c r="AS942" s="489"/>
    </row>
    <row r="943" spans="1:45" s="484" customFormat="1" ht="14.5">
      <c r="A943" s="695" t="s">
        <v>1280</v>
      </c>
      <c r="B943" s="647"/>
      <c r="C943" s="644"/>
      <c r="D943" s="644"/>
      <c r="E943" s="493">
        <f t="shared" si="354"/>
        <v>0</v>
      </c>
      <c r="F943" s="763">
        <f t="shared" si="355"/>
        <v>1.2500000000000001E-2</v>
      </c>
      <c r="G943" s="493">
        <f t="shared" si="356"/>
        <v>0</v>
      </c>
      <c r="H943" s="493">
        <f t="shared" si="345"/>
        <v>0</v>
      </c>
      <c r="I943" s="493">
        <f t="shared" si="345"/>
        <v>0</v>
      </c>
      <c r="J943" s="493">
        <f t="shared" si="345"/>
        <v>0</v>
      </c>
      <c r="K943" s="493">
        <f t="shared" si="345"/>
        <v>0</v>
      </c>
      <c r="L943" s="493">
        <f t="shared" si="345"/>
        <v>0</v>
      </c>
      <c r="M943" s="493">
        <f t="shared" si="345"/>
        <v>0</v>
      </c>
      <c r="N943" s="493">
        <f t="shared" si="346"/>
        <v>0</v>
      </c>
      <c r="O943" s="493">
        <f t="shared" si="346"/>
        <v>104166.66666666667</v>
      </c>
      <c r="P943" s="493">
        <f t="shared" si="346"/>
        <v>312500</v>
      </c>
      <c r="Q943" s="493">
        <f t="shared" si="345"/>
        <v>520833.33333333331</v>
      </c>
      <c r="R943" s="493">
        <f t="shared" si="347"/>
        <v>729166.66666666663</v>
      </c>
      <c r="S943" s="493">
        <f t="shared" si="348"/>
        <v>937500</v>
      </c>
      <c r="T943" s="794"/>
      <c r="V943" s="641">
        <f t="shared" si="349"/>
        <v>2604166.6666666665</v>
      </c>
      <c r="W943" s="765"/>
      <c r="X943" s="1016"/>
      <c r="Y943" s="675">
        <f t="shared" si="350"/>
        <v>0</v>
      </c>
      <c r="Z943" s="766">
        <v>1.2500000000000001E-2</v>
      </c>
      <c r="AA943" s="675">
        <f t="shared" si="351"/>
        <v>0</v>
      </c>
      <c r="AB943" s="766">
        <v>1.2500000000000001E-2</v>
      </c>
      <c r="AC943" s="675">
        <f t="shared" si="352"/>
        <v>0</v>
      </c>
      <c r="AD943" s="766">
        <v>1.2500000000000001E-2</v>
      </c>
      <c r="AE943" s="675">
        <f t="shared" si="353"/>
        <v>0</v>
      </c>
      <c r="AF943" s="766">
        <v>1.2500000000000001E-2</v>
      </c>
      <c r="AL943" s="489"/>
      <c r="AM943" s="489"/>
      <c r="AN943" s="489"/>
      <c r="AO943" s="489"/>
      <c r="AP943" s="489"/>
      <c r="AQ943" s="489"/>
      <c r="AR943" s="489"/>
      <c r="AS943" s="489"/>
    </row>
    <row r="944" spans="1:45" s="484" customFormat="1">
      <c r="A944" s="695" t="s">
        <v>1281</v>
      </c>
      <c r="B944" s="638"/>
      <c r="C944" s="639"/>
      <c r="D944" s="639"/>
      <c r="E944" s="493">
        <f t="shared" si="354"/>
        <v>0</v>
      </c>
      <c r="F944" s="763">
        <f t="shared" si="355"/>
        <v>8.9999999999999993E-3</v>
      </c>
      <c r="G944" s="493">
        <f t="shared" si="356"/>
        <v>0</v>
      </c>
      <c r="H944" s="493">
        <f t="shared" si="345"/>
        <v>0</v>
      </c>
      <c r="I944" s="493">
        <f t="shared" si="345"/>
        <v>0</v>
      </c>
      <c r="J944" s="493">
        <f t="shared" si="345"/>
        <v>0</v>
      </c>
      <c r="K944" s="493">
        <f t="shared" si="345"/>
        <v>0</v>
      </c>
      <c r="L944" s="493">
        <f t="shared" si="345"/>
        <v>0</v>
      </c>
      <c r="M944" s="493">
        <f t="shared" si="345"/>
        <v>0</v>
      </c>
      <c r="N944" s="493">
        <f t="shared" si="346"/>
        <v>0</v>
      </c>
      <c r="O944" s="493">
        <f t="shared" si="346"/>
        <v>0</v>
      </c>
      <c r="P944" s="493">
        <f t="shared" si="346"/>
        <v>0</v>
      </c>
      <c r="Q944" s="493">
        <f t="shared" si="345"/>
        <v>0</v>
      </c>
      <c r="R944" s="493">
        <f t="shared" si="347"/>
        <v>0</v>
      </c>
      <c r="S944" s="493">
        <f t="shared" si="348"/>
        <v>0</v>
      </c>
      <c r="T944" s="794"/>
      <c r="V944" s="641">
        <f t="shared" si="349"/>
        <v>0</v>
      </c>
      <c r="W944" s="713"/>
      <c r="X944" s="1015"/>
      <c r="Y944" s="675">
        <f t="shared" si="350"/>
        <v>0</v>
      </c>
      <c r="Z944" s="766">
        <v>1.2500000000000001E-2</v>
      </c>
      <c r="AA944" s="675">
        <f t="shared" si="351"/>
        <v>0</v>
      </c>
      <c r="AB944" s="766">
        <v>1.2500000000000001E-2</v>
      </c>
      <c r="AC944" s="675">
        <f t="shared" si="352"/>
        <v>0</v>
      </c>
      <c r="AD944" s="766">
        <v>1.2500000000000001E-2</v>
      </c>
      <c r="AE944" s="675">
        <f t="shared" si="353"/>
        <v>0</v>
      </c>
      <c r="AF944" s="766">
        <v>1.2500000000000001E-2</v>
      </c>
      <c r="AL944" s="489"/>
      <c r="AM944" s="489"/>
      <c r="AN944" s="489"/>
      <c r="AO944" s="489"/>
      <c r="AP944" s="489"/>
      <c r="AQ944" s="489"/>
      <c r="AR944" s="489"/>
      <c r="AS944" s="489"/>
    </row>
    <row r="945" spans="1:45" s="484" customFormat="1" ht="14.5">
      <c r="A945" s="695" t="s">
        <v>1282</v>
      </c>
      <c r="B945" s="647"/>
      <c r="C945" s="644"/>
      <c r="D945" s="644"/>
      <c r="E945" s="493">
        <f t="shared" si="354"/>
        <v>0</v>
      </c>
      <c r="F945" s="763">
        <f t="shared" si="355"/>
        <v>0</v>
      </c>
      <c r="G945" s="493">
        <f t="shared" si="356"/>
        <v>0</v>
      </c>
      <c r="H945" s="493">
        <f t="shared" si="345"/>
        <v>0</v>
      </c>
      <c r="I945" s="493">
        <f t="shared" si="345"/>
        <v>0</v>
      </c>
      <c r="J945" s="493">
        <f t="shared" si="345"/>
        <v>0</v>
      </c>
      <c r="K945" s="493">
        <f t="shared" si="345"/>
        <v>0</v>
      </c>
      <c r="L945" s="493">
        <f t="shared" si="345"/>
        <v>0</v>
      </c>
      <c r="M945" s="493">
        <f t="shared" si="345"/>
        <v>0</v>
      </c>
      <c r="N945" s="493">
        <f t="shared" si="346"/>
        <v>0</v>
      </c>
      <c r="O945" s="493">
        <f t="shared" si="346"/>
        <v>0</v>
      </c>
      <c r="P945" s="493">
        <f t="shared" si="346"/>
        <v>0</v>
      </c>
      <c r="Q945" s="493">
        <f t="shared" si="345"/>
        <v>0</v>
      </c>
      <c r="R945" s="493">
        <f t="shared" si="347"/>
        <v>0</v>
      </c>
      <c r="S945" s="493">
        <f t="shared" si="348"/>
        <v>0</v>
      </c>
      <c r="T945" s="794"/>
      <c r="V945" s="641">
        <f t="shared" si="349"/>
        <v>0</v>
      </c>
      <c r="W945" s="765"/>
      <c r="X945" s="1016"/>
      <c r="Y945" s="675">
        <f t="shared" si="350"/>
        <v>0</v>
      </c>
      <c r="Z945" s="766">
        <v>1.2500000000000001E-2</v>
      </c>
      <c r="AA945" s="675">
        <f t="shared" si="351"/>
        <v>0</v>
      </c>
      <c r="AB945" s="766">
        <v>1.2500000000000001E-2</v>
      </c>
      <c r="AC945" s="675">
        <f t="shared" si="352"/>
        <v>0</v>
      </c>
      <c r="AD945" s="766">
        <v>1.2500000000000001E-2</v>
      </c>
      <c r="AE945" s="675">
        <f t="shared" si="353"/>
        <v>0</v>
      </c>
      <c r="AF945" s="766">
        <v>1.2500000000000001E-2</v>
      </c>
      <c r="AL945" s="489"/>
      <c r="AM945" s="489"/>
      <c r="AN945" s="489"/>
      <c r="AO945" s="489"/>
      <c r="AP945" s="489"/>
      <c r="AQ945" s="489"/>
      <c r="AR945" s="489"/>
      <c r="AS945" s="489"/>
    </row>
    <row r="946" spans="1:45" s="484" customFormat="1">
      <c r="A946" s="695" t="s">
        <v>1283</v>
      </c>
      <c r="B946" s="638"/>
      <c r="C946" s="639"/>
      <c r="D946" s="639"/>
      <c r="E946" s="493">
        <f t="shared" si="354"/>
        <v>0</v>
      </c>
      <c r="F946" s="763">
        <f t="shared" si="355"/>
        <v>0</v>
      </c>
      <c r="G946" s="493">
        <f t="shared" si="356"/>
        <v>0</v>
      </c>
      <c r="H946" s="493">
        <f t="shared" si="345"/>
        <v>0</v>
      </c>
      <c r="I946" s="493">
        <f t="shared" si="345"/>
        <v>0</v>
      </c>
      <c r="J946" s="493">
        <f t="shared" si="345"/>
        <v>0</v>
      </c>
      <c r="K946" s="493">
        <f t="shared" si="345"/>
        <v>0</v>
      </c>
      <c r="L946" s="493">
        <f t="shared" si="345"/>
        <v>0</v>
      </c>
      <c r="M946" s="493">
        <f t="shared" si="345"/>
        <v>0</v>
      </c>
      <c r="N946" s="493">
        <f t="shared" si="346"/>
        <v>0</v>
      </c>
      <c r="O946" s="493">
        <f t="shared" si="346"/>
        <v>0</v>
      </c>
      <c r="P946" s="493">
        <f t="shared" si="346"/>
        <v>0</v>
      </c>
      <c r="Q946" s="493">
        <f t="shared" si="345"/>
        <v>0</v>
      </c>
      <c r="R946" s="493">
        <f t="shared" si="347"/>
        <v>0</v>
      </c>
      <c r="S946" s="493">
        <f t="shared" si="348"/>
        <v>0</v>
      </c>
      <c r="T946" s="794"/>
      <c r="V946" s="641">
        <f t="shared" si="349"/>
        <v>0</v>
      </c>
      <c r="W946" s="713"/>
      <c r="X946" s="1015"/>
      <c r="Y946" s="675">
        <f t="shared" si="350"/>
        <v>156250000</v>
      </c>
      <c r="Z946" s="766">
        <v>1.2500000000000001E-2</v>
      </c>
      <c r="AA946" s="675">
        <f t="shared" si="351"/>
        <v>0</v>
      </c>
      <c r="AB946" s="766">
        <v>1.2500000000000001E-2</v>
      </c>
      <c r="AC946" s="675">
        <f t="shared" si="352"/>
        <v>0</v>
      </c>
      <c r="AD946" s="766">
        <v>1.2500000000000001E-2</v>
      </c>
      <c r="AE946" s="675">
        <f t="shared" si="353"/>
        <v>0</v>
      </c>
      <c r="AF946" s="766">
        <v>1.2500000000000001E-2</v>
      </c>
      <c r="AL946" s="489"/>
      <c r="AM946" s="489"/>
      <c r="AN946" s="489"/>
      <c r="AO946" s="489"/>
      <c r="AP946" s="489"/>
      <c r="AQ946" s="489"/>
      <c r="AR946" s="489"/>
      <c r="AS946" s="489"/>
    </row>
    <row r="947" spans="1:45" s="484" customFormat="1" ht="14.5">
      <c r="A947" s="695" t="s">
        <v>1284</v>
      </c>
      <c r="B947" s="647"/>
      <c r="C947" s="644"/>
      <c r="D947" s="644"/>
      <c r="E947" s="493">
        <f t="shared" si="354"/>
        <v>0</v>
      </c>
      <c r="F947" s="763">
        <f t="shared" si="355"/>
        <v>1.4999999999999999E-2</v>
      </c>
      <c r="G947" s="493">
        <f t="shared" si="356"/>
        <v>0</v>
      </c>
      <c r="H947" s="493">
        <f t="shared" si="345"/>
        <v>0</v>
      </c>
      <c r="I947" s="493">
        <f t="shared" si="345"/>
        <v>0</v>
      </c>
      <c r="J947" s="493">
        <f t="shared" si="345"/>
        <v>0</v>
      </c>
      <c r="K947" s="493">
        <f t="shared" si="345"/>
        <v>0</v>
      </c>
      <c r="L947" s="493">
        <f t="shared" si="345"/>
        <v>0</v>
      </c>
      <c r="M947" s="493">
        <f t="shared" si="345"/>
        <v>0</v>
      </c>
      <c r="N947" s="493">
        <f t="shared" si="346"/>
        <v>0</v>
      </c>
      <c r="O947" s="493">
        <f t="shared" si="346"/>
        <v>125000</v>
      </c>
      <c r="P947" s="493">
        <f t="shared" si="346"/>
        <v>375000</v>
      </c>
      <c r="Q947" s="493">
        <f t="shared" si="345"/>
        <v>625000</v>
      </c>
      <c r="R947" s="493">
        <f t="shared" si="347"/>
        <v>875000</v>
      </c>
      <c r="S947" s="493">
        <f t="shared" si="348"/>
        <v>1125000</v>
      </c>
      <c r="T947" s="794"/>
      <c r="V947" s="641">
        <f t="shared" si="349"/>
        <v>3125000</v>
      </c>
      <c r="W947" s="765"/>
      <c r="X947" s="1016"/>
      <c r="Y947" s="675">
        <f t="shared" si="350"/>
        <v>0</v>
      </c>
      <c r="Z947" s="766">
        <v>1.2500000000000001E-2</v>
      </c>
      <c r="AA947" s="675">
        <f t="shared" si="351"/>
        <v>0</v>
      </c>
      <c r="AB947" s="766">
        <v>1.2500000000000001E-2</v>
      </c>
      <c r="AC947" s="675">
        <f t="shared" si="352"/>
        <v>0</v>
      </c>
      <c r="AD947" s="766">
        <v>1.2500000000000001E-2</v>
      </c>
      <c r="AE947" s="675">
        <f t="shared" si="353"/>
        <v>0</v>
      </c>
      <c r="AF947" s="766">
        <v>1.2500000000000001E-2</v>
      </c>
      <c r="AL947" s="489"/>
      <c r="AM947" s="489"/>
      <c r="AN947" s="489"/>
      <c r="AO947" s="489"/>
      <c r="AP947" s="489"/>
      <c r="AQ947" s="489"/>
      <c r="AR947" s="489"/>
      <c r="AS947" s="489"/>
    </row>
    <row r="948" spans="1:45" s="484" customFormat="1">
      <c r="A948" s="695" t="s">
        <v>1285</v>
      </c>
      <c r="B948" s="638"/>
      <c r="C948" s="639"/>
      <c r="D948" s="639"/>
      <c r="E948" s="493">
        <f t="shared" si="354"/>
        <v>0</v>
      </c>
      <c r="F948" s="763">
        <f t="shared" si="355"/>
        <v>1.4999999999999999E-2</v>
      </c>
      <c r="G948" s="493">
        <f t="shared" si="356"/>
        <v>0</v>
      </c>
      <c r="H948" s="493">
        <f t="shared" si="345"/>
        <v>0</v>
      </c>
      <c r="I948" s="493">
        <f t="shared" si="345"/>
        <v>0</v>
      </c>
      <c r="J948" s="493">
        <f t="shared" si="345"/>
        <v>0</v>
      </c>
      <c r="K948" s="493">
        <f t="shared" si="345"/>
        <v>1250000</v>
      </c>
      <c r="L948" s="493">
        <f t="shared" si="345"/>
        <v>4812500</v>
      </c>
      <c r="M948" s="493">
        <f t="shared" si="345"/>
        <v>10062500</v>
      </c>
      <c r="N948" s="493">
        <f t="shared" si="346"/>
        <v>15937500</v>
      </c>
      <c r="O948" s="493">
        <f t="shared" si="346"/>
        <v>21812500</v>
      </c>
      <c r="P948" s="493">
        <f t="shared" si="346"/>
        <v>27687500</v>
      </c>
      <c r="Q948" s="493">
        <f t="shared" si="345"/>
        <v>33562500</v>
      </c>
      <c r="R948" s="493">
        <f t="shared" si="347"/>
        <v>39437500</v>
      </c>
      <c r="S948" s="493">
        <f t="shared" si="348"/>
        <v>45312500</v>
      </c>
      <c r="T948" s="794"/>
      <c r="V948" s="641">
        <f t="shared" si="349"/>
        <v>199875000</v>
      </c>
      <c r="W948" s="713"/>
      <c r="X948" s="1015"/>
      <c r="Y948" s="675">
        <f t="shared" si="350"/>
        <v>0</v>
      </c>
      <c r="Z948" s="766">
        <v>1.2500000000000001E-2</v>
      </c>
      <c r="AA948" s="675">
        <f t="shared" si="351"/>
        <v>0</v>
      </c>
      <c r="AB948" s="766">
        <v>1.2500000000000001E-2</v>
      </c>
      <c r="AC948" s="675">
        <f t="shared" si="352"/>
        <v>0</v>
      </c>
      <c r="AD948" s="766">
        <v>1.2500000000000001E-2</v>
      </c>
      <c r="AE948" s="675">
        <f t="shared" si="353"/>
        <v>0</v>
      </c>
      <c r="AF948" s="766">
        <v>1.2500000000000001E-2</v>
      </c>
      <c r="AL948" s="489"/>
      <c r="AM948" s="489"/>
      <c r="AN948" s="489"/>
      <c r="AO948" s="489"/>
      <c r="AP948" s="489"/>
      <c r="AQ948" s="489"/>
      <c r="AR948" s="489"/>
      <c r="AS948" s="489"/>
    </row>
    <row r="949" spans="1:45" s="484" customFormat="1" ht="14.5">
      <c r="A949" s="695" t="s">
        <v>1286</v>
      </c>
      <c r="B949" s="647"/>
      <c r="C949" s="644"/>
      <c r="D949" s="644"/>
      <c r="E949" s="493">
        <f t="shared" si="354"/>
        <v>0</v>
      </c>
      <c r="F949" s="763">
        <f t="shared" si="355"/>
        <v>1.2500000000000001E-2</v>
      </c>
      <c r="G949" s="493">
        <f t="shared" si="356"/>
        <v>0</v>
      </c>
      <c r="H949" s="493">
        <f t="shared" si="345"/>
        <v>104166.66666666667</v>
      </c>
      <c r="I949" s="493">
        <f t="shared" si="345"/>
        <v>312500</v>
      </c>
      <c r="J949" s="493">
        <f t="shared" si="345"/>
        <v>520833.33333333331</v>
      </c>
      <c r="K949" s="493">
        <f t="shared" si="345"/>
        <v>833333.33333333337</v>
      </c>
      <c r="L949" s="493">
        <f t="shared" si="345"/>
        <v>1354166.6666666667</v>
      </c>
      <c r="M949" s="493">
        <f t="shared" si="345"/>
        <v>1979166.6666666667</v>
      </c>
      <c r="N949" s="493">
        <f t="shared" si="346"/>
        <v>2604166.6666666665</v>
      </c>
      <c r="O949" s="493">
        <f t="shared" si="346"/>
        <v>3229166.6666666665</v>
      </c>
      <c r="P949" s="493">
        <f t="shared" si="346"/>
        <v>3854166.6666666665</v>
      </c>
      <c r="Q949" s="493">
        <f t="shared" si="345"/>
        <v>4479166.666666667</v>
      </c>
      <c r="R949" s="493">
        <f t="shared" si="347"/>
        <v>5104166.666666667</v>
      </c>
      <c r="S949" s="493">
        <f t="shared" si="348"/>
        <v>5729166.666666667</v>
      </c>
      <c r="T949" s="794"/>
      <c r="V949" s="641">
        <f t="shared" si="349"/>
        <v>30104166.666666668</v>
      </c>
      <c r="W949" s="765"/>
      <c r="X949" s="1016"/>
      <c r="Y949" s="675">
        <f t="shared" si="350"/>
        <v>0</v>
      </c>
      <c r="Z949" s="766">
        <f>1%/1.1</f>
        <v>9.0909090909090905E-3</v>
      </c>
      <c r="AA949" s="675">
        <f t="shared" si="351"/>
        <v>0</v>
      </c>
      <c r="AB949" s="766">
        <f>1%/1.1</f>
        <v>9.0909090909090905E-3</v>
      </c>
      <c r="AC949" s="675">
        <f t="shared" si="352"/>
        <v>0</v>
      </c>
      <c r="AD949" s="766">
        <f>1%/1.1</f>
        <v>9.0909090909090905E-3</v>
      </c>
      <c r="AE949" s="675">
        <f t="shared" si="353"/>
        <v>0</v>
      </c>
      <c r="AF949" s="766">
        <f>1%/1.1</f>
        <v>9.0909090909090905E-3</v>
      </c>
      <c r="AL949" s="489"/>
      <c r="AM949" s="489"/>
      <c r="AN949" s="489"/>
      <c r="AO949" s="489"/>
      <c r="AP949" s="489"/>
      <c r="AQ949" s="489"/>
      <c r="AR949" s="489"/>
      <c r="AS949" s="489"/>
    </row>
    <row r="950" spans="1:45" s="484" customFormat="1">
      <c r="A950" s="695" t="s">
        <v>1287</v>
      </c>
      <c r="B950" s="638"/>
      <c r="C950" s="639"/>
      <c r="D950" s="639"/>
      <c r="E950" s="493">
        <f t="shared" si="354"/>
        <v>0</v>
      </c>
      <c r="F950" s="763">
        <f t="shared" si="355"/>
        <v>1.2500000000000001E-2</v>
      </c>
      <c r="G950" s="493">
        <f t="shared" si="356"/>
        <v>0</v>
      </c>
      <c r="H950" s="493">
        <f t="shared" si="345"/>
        <v>0</v>
      </c>
      <c r="I950" s="493">
        <f t="shared" si="345"/>
        <v>0</v>
      </c>
      <c r="J950" s="493">
        <f t="shared" si="345"/>
        <v>0</v>
      </c>
      <c r="K950" s="493">
        <f t="shared" si="345"/>
        <v>0</v>
      </c>
      <c r="L950" s="493">
        <f t="shared" si="345"/>
        <v>0</v>
      </c>
      <c r="M950" s="493">
        <f t="shared" si="345"/>
        <v>0</v>
      </c>
      <c r="N950" s="493">
        <f t="shared" si="346"/>
        <v>0</v>
      </c>
      <c r="O950" s="493">
        <f t="shared" si="346"/>
        <v>0</v>
      </c>
      <c r="P950" s="493">
        <f t="shared" si="346"/>
        <v>0</v>
      </c>
      <c r="Q950" s="493">
        <f t="shared" si="345"/>
        <v>0</v>
      </c>
      <c r="R950" s="493">
        <f t="shared" si="347"/>
        <v>0</v>
      </c>
      <c r="S950" s="493">
        <f t="shared" si="348"/>
        <v>0</v>
      </c>
      <c r="T950" s="794"/>
      <c r="V950" s="641">
        <f t="shared" si="349"/>
        <v>0</v>
      </c>
      <c r="W950" s="713"/>
      <c r="X950" s="1015"/>
      <c r="Y950" s="675">
        <f t="shared" si="350"/>
        <v>293594661.72621298</v>
      </c>
      <c r="Z950" s="766">
        <v>1.5E-3</v>
      </c>
      <c r="AA950" s="675">
        <f t="shared" si="351"/>
        <v>318953011.71431518</v>
      </c>
      <c r="AB950" s="766">
        <v>1.5E-3</v>
      </c>
      <c r="AC950" s="675">
        <f t="shared" si="352"/>
        <v>465139808.75004292</v>
      </c>
      <c r="AD950" s="766">
        <v>1.5E-3</v>
      </c>
      <c r="AE950" s="675">
        <f t="shared" si="353"/>
        <v>627938741.81255805</v>
      </c>
      <c r="AF950" s="766">
        <v>1.5E-3</v>
      </c>
      <c r="AL950" s="489"/>
      <c r="AM950" s="489"/>
      <c r="AN950" s="489"/>
      <c r="AO950" s="489"/>
      <c r="AP950" s="489"/>
      <c r="AQ950" s="489"/>
      <c r="AR950" s="489"/>
      <c r="AS950" s="489"/>
    </row>
    <row r="951" spans="1:45" s="484" customFormat="1" ht="14.5">
      <c r="A951" s="695" t="s">
        <v>1288</v>
      </c>
      <c r="B951" s="647"/>
      <c r="C951" s="644"/>
      <c r="D951" s="644"/>
      <c r="E951" s="493">
        <f t="shared" si="354"/>
        <v>0</v>
      </c>
      <c r="F951" s="763">
        <f t="shared" si="355"/>
        <v>1.75E-3</v>
      </c>
      <c r="G951" s="493">
        <f t="shared" si="356"/>
        <v>0</v>
      </c>
      <c r="H951" s="493">
        <f t="shared" si="345"/>
        <v>0</v>
      </c>
      <c r="I951" s="493">
        <f t="shared" si="345"/>
        <v>0</v>
      </c>
      <c r="J951" s="493">
        <f t="shared" si="345"/>
        <v>0</v>
      </c>
      <c r="K951" s="493">
        <f t="shared" si="345"/>
        <v>0</v>
      </c>
      <c r="L951" s="493">
        <f t="shared" si="345"/>
        <v>0</v>
      </c>
      <c r="M951" s="493">
        <f t="shared" si="345"/>
        <v>0</v>
      </c>
      <c r="N951" s="493">
        <f t="shared" si="346"/>
        <v>0</v>
      </c>
      <c r="O951" s="493">
        <f t="shared" si="346"/>
        <v>0</v>
      </c>
      <c r="P951" s="493">
        <f t="shared" si="346"/>
        <v>0</v>
      </c>
      <c r="Q951" s="493">
        <f t="shared" si="345"/>
        <v>0</v>
      </c>
      <c r="R951" s="493">
        <f t="shared" si="347"/>
        <v>0</v>
      </c>
      <c r="S951" s="493">
        <f t="shared" si="348"/>
        <v>0</v>
      </c>
      <c r="T951" s="794"/>
      <c r="V951" s="641">
        <f t="shared" si="349"/>
        <v>0</v>
      </c>
      <c r="W951" s="765"/>
      <c r="X951" s="1016"/>
      <c r="Y951" s="675">
        <f t="shared" si="350"/>
        <v>0</v>
      </c>
      <c r="Z951" s="766">
        <v>1.2500000000000001E-2</v>
      </c>
      <c r="AA951" s="675">
        <f t="shared" si="351"/>
        <v>0</v>
      </c>
      <c r="AB951" s="766">
        <v>1.2500000000000001E-2</v>
      </c>
      <c r="AC951" s="675">
        <f t="shared" si="352"/>
        <v>0</v>
      </c>
      <c r="AD951" s="766">
        <v>1.2500000000000001E-2</v>
      </c>
      <c r="AE951" s="675">
        <f t="shared" si="353"/>
        <v>0</v>
      </c>
      <c r="AF951" s="766">
        <v>1.2500000000000001E-2</v>
      </c>
      <c r="AL951" s="489"/>
      <c r="AM951" s="489"/>
      <c r="AN951" s="489"/>
      <c r="AO951" s="489"/>
      <c r="AP951" s="489"/>
      <c r="AQ951" s="489"/>
      <c r="AR951" s="489"/>
      <c r="AS951" s="489"/>
    </row>
    <row r="952" spans="1:45" s="484" customFormat="1">
      <c r="A952" s="695" t="s">
        <v>1289</v>
      </c>
      <c r="B952" s="647"/>
      <c r="C952" s="648"/>
      <c r="D952" s="639"/>
      <c r="E952" s="493">
        <f t="shared" si="354"/>
        <v>0</v>
      </c>
      <c r="F952" s="763">
        <f t="shared" si="355"/>
        <v>1.125E-2</v>
      </c>
      <c r="G952" s="493">
        <f t="shared" si="356"/>
        <v>0</v>
      </c>
      <c r="H952" s="493">
        <f t="shared" si="345"/>
        <v>0</v>
      </c>
      <c r="I952" s="493">
        <f t="shared" si="345"/>
        <v>0</v>
      </c>
      <c r="J952" s="493">
        <f t="shared" si="345"/>
        <v>0</v>
      </c>
      <c r="K952" s="493">
        <f t="shared" si="345"/>
        <v>0</v>
      </c>
      <c r="L952" s="493">
        <f t="shared" si="345"/>
        <v>0</v>
      </c>
      <c r="M952" s="493">
        <f t="shared" si="345"/>
        <v>0</v>
      </c>
      <c r="N952" s="493">
        <f t="shared" si="346"/>
        <v>0</v>
      </c>
      <c r="O952" s="493">
        <f t="shared" si="346"/>
        <v>0</v>
      </c>
      <c r="P952" s="493">
        <f t="shared" si="346"/>
        <v>0</v>
      </c>
      <c r="Q952" s="493">
        <f t="shared" si="345"/>
        <v>0</v>
      </c>
      <c r="R952" s="493">
        <f t="shared" si="347"/>
        <v>0</v>
      </c>
      <c r="S952" s="493">
        <f t="shared" si="348"/>
        <v>0</v>
      </c>
      <c r="T952" s="794"/>
      <c r="V952" s="641">
        <f t="shared" si="349"/>
        <v>0</v>
      </c>
      <c r="W952" s="713"/>
      <c r="X952" s="1015"/>
      <c r="Y952" s="675" t="e">
        <f t="shared" si="350"/>
        <v>#REF!</v>
      </c>
      <c r="Z952" s="766">
        <v>3.0000000000000001E-3</v>
      </c>
      <c r="AA952" s="675" t="e">
        <f t="shared" si="351"/>
        <v>#REF!</v>
      </c>
      <c r="AB952" s="766">
        <v>3.0000000000000001E-3</v>
      </c>
      <c r="AC952" s="675" t="e">
        <f t="shared" si="352"/>
        <v>#REF!</v>
      </c>
      <c r="AD952" s="766">
        <v>3.0000000000000001E-3</v>
      </c>
      <c r="AE952" s="675" t="e">
        <f t="shared" si="353"/>
        <v>#REF!</v>
      </c>
      <c r="AF952" s="766">
        <v>3.0000000000000001E-3</v>
      </c>
      <c r="AL952" s="489"/>
      <c r="AM952" s="489"/>
      <c r="AN952" s="489"/>
      <c r="AO952" s="489"/>
      <c r="AP952" s="489"/>
      <c r="AQ952" s="489"/>
      <c r="AR952" s="489"/>
      <c r="AS952" s="489"/>
    </row>
    <row r="953" spans="1:45" s="484" customFormat="1" ht="14.5">
      <c r="A953" s="695" t="s">
        <v>1290</v>
      </c>
      <c r="B953" s="647"/>
      <c r="C953" s="644"/>
      <c r="D953" s="644"/>
      <c r="E953" s="493">
        <f t="shared" si="354"/>
        <v>0</v>
      </c>
      <c r="F953" s="763">
        <f t="shared" si="355"/>
        <v>1.5E-3</v>
      </c>
      <c r="G953" s="493">
        <f t="shared" si="356"/>
        <v>0</v>
      </c>
      <c r="H953" s="493">
        <f t="shared" si="345"/>
        <v>0</v>
      </c>
      <c r="I953" s="493">
        <f t="shared" si="345"/>
        <v>0</v>
      </c>
      <c r="J953" s="493">
        <f t="shared" si="345"/>
        <v>0</v>
      </c>
      <c r="K953" s="493">
        <f t="shared" si="345"/>
        <v>0</v>
      </c>
      <c r="L953" s="493">
        <f t="shared" si="345"/>
        <v>0</v>
      </c>
      <c r="M953" s="493">
        <f t="shared" si="345"/>
        <v>0</v>
      </c>
      <c r="N953" s="493">
        <f t="shared" si="346"/>
        <v>0</v>
      </c>
      <c r="O953" s="493">
        <f t="shared" si="346"/>
        <v>0</v>
      </c>
      <c r="P953" s="493">
        <f t="shared" si="346"/>
        <v>0</v>
      </c>
      <c r="Q953" s="493">
        <f t="shared" si="345"/>
        <v>0</v>
      </c>
      <c r="R953" s="493">
        <f t="shared" si="347"/>
        <v>0</v>
      </c>
      <c r="S953" s="493">
        <f t="shared" si="348"/>
        <v>0</v>
      </c>
      <c r="T953" s="794"/>
      <c r="V953" s="641">
        <f t="shared" si="349"/>
        <v>0</v>
      </c>
      <c r="W953" s="488"/>
      <c r="X953" s="1016"/>
      <c r="Y953" s="675">
        <f t="shared" si="350"/>
        <v>0.68578000000000006</v>
      </c>
      <c r="Z953" s="767">
        <v>6.8000000000000005E-4</v>
      </c>
      <c r="AA953" s="675">
        <f t="shared" si="351"/>
        <v>0</v>
      </c>
      <c r="AB953" s="767">
        <v>6.8000000000000005E-4</v>
      </c>
      <c r="AC953" s="675">
        <f t="shared" si="352"/>
        <v>0</v>
      </c>
      <c r="AD953" s="767">
        <v>6.8000000000000005E-4</v>
      </c>
      <c r="AE953" s="675">
        <f t="shared" si="353"/>
        <v>0</v>
      </c>
      <c r="AF953" s="767">
        <v>6.8000000000000005E-4</v>
      </c>
      <c r="AL953" s="489"/>
      <c r="AM953" s="489"/>
      <c r="AN953" s="489"/>
      <c r="AO953" s="489"/>
      <c r="AP953" s="489"/>
      <c r="AQ953" s="489"/>
      <c r="AR953" s="489"/>
      <c r="AS953" s="489"/>
    </row>
    <row r="954" spans="1:45" s="484" customFormat="1">
      <c r="A954" s="695" t="s">
        <v>1291</v>
      </c>
      <c r="B954" s="647"/>
      <c r="C954" s="648"/>
      <c r="D954" s="639"/>
      <c r="E954" s="493">
        <f t="shared" si="354"/>
        <v>0</v>
      </c>
      <c r="F954" s="763">
        <f t="shared" si="355"/>
        <v>1.4999999999999999E-2</v>
      </c>
      <c r="G954" s="493">
        <f t="shared" si="356"/>
        <v>0</v>
      </c>
      <c r="H954" s="493">
        <f t="shared" ref="H954:Q969" si="357">(G509+H509)/2*$F954/12</f>
        <v>0</v>
      </c>
      <c r="I954" s="493">
        <f t="shared" si="357"/>
        <v>0</v>
      </c>
      <c r="J954" s="493">
        <f t="shared" si="357"/>
        <v>0</v>
      </c>
      <c r="K954" s="493">
        <f t="shared" si="357"/>
        <v>0</v>
      </c>
      <c r="L954" s="493">
        <f t="shared" si="357"/>
        <v>0</v>
      </c>
      <c r="M954" s="493">
        <f t="shared" si="357"/>
        <v>0</v>
      </c>
      <c r="N954" s="493">
        <f t="shared" si="346"/>
        <v>0</v>
      </c>
      <c r="O954" s="493">
        <f t="shared" si="346"/>
        <v>0</v>
      </c>
      <c r="P954" s="493">
        <f t="shared" si="346"/>
        <v>0</v>
      </c>
      <c r="Q954" s="493">
        <f t="shared" si="357"/>
        <v>0</v>
      </c>
      <c r="R954" s="493">
        <f t="shared" si="347"/>
        <v>0</v>
      </c>
      <c r="S954" s="493">
        <f t="shared" si="348"/>
        <v>0</v>
      </c>
      <c r="T954" s="794"/>
      <c r="V954" s="641">
        <f t="shared" si="349"/>
        <v>0</v>
      </c>
      <c r="W954" s="713"/>
      <c r="X954" s="1015"/>
      <c r="Y954" s="675">
        <f t="shared" si="350"/>
        <v>1412154.7425397499</v>
      </c>
      <c r="Z954" s="767">
        <v>7.5000000000000002E-4</v>
      </c>
      <c r="AA954" s="675">
        <f t="shared" si="351"/>
        <v>1848638.9356883999</v>
      </c>
      <c r="AB954" s="767">
        <v>7.5000000000000002E-4</v>
      </c>
      <c r="AC954" s="675">
        <f t="shared" si="352"/>
        <v>2695931.7812122493</v>
      </c>
      <c r="AD954" s="767">
        <v>7.5000000000000002E-4</v>
      </c>
      <c r="AE954" s="675">
        <f t="shared" si="353"/>
        <v>3639507.9046365367</v>
      </c>
      <c r="AF954" s="767">
        <v>7.5000000000000002E-4</v>
      </c>
      <c r="AL954" s="489"/>
      <c r="AM954" s="489"/>
      <c r="AN954" s="489"/>
      <c r="AO954" s="489"/>
      <c r="AP954" s="489"/>
      <c r="AQ954" s="489"/>
      <c r="AR954" s="489"/>
      <c r="AS954" s="489"/>
    </row>
    <row r="955" spans="1:45" s="484" customFormat="1" ht="14.5">
      <c r="A955" s="695" t="s">
        <v>1292</v>
      </c>
      <c r="B955" s="647"/>
      <c r="C955" s="644"/>
      <c r="D955" s="644"/>
      <c r="E955" s="493">
        <f t="shared" si="354"/>
        <v>0</v>
      </c>
      <c r="F955" s="763">
        <f t="shared" si="355"/>
        <v>1.4999999999999999E-2</v>
      </c>
      <c r="G955" s="493">
        <f t="shared" si="356"/>
        <v>0</v>
      </c>
      <c r="H955" s="493">
        <f t="shared" si="357"/>
        <v>0</v>
      </c>
      <c r="I955" s="493">
        <f t="shared" si="357"/>
        <v>0</v>
      </c>
      <c r="J955" s="493">
        <f t="shared" si="357"/>
        <v>0</v>
      </c>
      <c r="K955" s="493">
        <f t="shared" si="357"/>
        <v>0</v>
      </c>
      <c r="L955" s="493">
        <f t="shared" si="357"/>
        <v>0</v>
      </c>
      <c r="M955" s="493">
        <f t="shared" si="357"/>
        <v>0</v>
      </c>
      <c r="N955" s="493">
        <f t="shared" si="346"/>
        <v>0</v>
      </c>
      <c r="O955" s="493">
        <f t="shared" si="346"/>
        <v>0</v>
      </c>
      <c r="P955" s="493">
        <f t="shared" si="346"/>
        <v>0</v>
      </c>
      <c r="Q955" s="493">
        <f t="shared" si="357"/>
        <v>0</v>
      </c>
      <c r="R955" s="493">
        <f t="shared" si="347"/>
        <v>0</v>
      </c>
      <c r="S955" s="493">
        <f t="shared" si="348"/>
        <v>0</v>
      </c>
      <c r="T955" s="794"/>
      <c r="V955" s="641">
        <f t="shared" si="349"/>
        <v>0</v>
      </c>
      <c r="W955" s="488"/>
      <c r="X955" s="1016"/>
      <c r="Y955" s="675">
        <f t="shared" si="350"/>
        <v>628582.24445999996</v>
      </c>
      <c r="Z955" s="767">
        <f>0.3%/1.1</f>
        <v>2.7272727272727271E-3</v>
      </c>
      <c r="AA955" s="675">
        <f t="shared" si="351"/>
        <v>822871.30183854525</v>
      </c>
      <c r="AB955" s="767">
        <f>0.3%/1.1</f>
        <v>2.7272727272727271E-3</v>
      </c>
      <c r="AC955" s="675">
        <f t="shared" si="352"/>
        <v>1200020.6485145451</v>
      </c>
      <c r="AD955" s="767">
        <f>0.3%/1.1</f>
        <v>2.7272727272727271E-3</v>
      </c>
      <c r="AE955" s="675">
        <f t="shared" si="353"/>
        <v>1620027.8754946361</v>
      </c>
      <c r="AF955" s="767">
        <f>0.3%/1.1</f>
        <v>2.7272727272727271E-3</v>
      </c>
      <c r="AL955" s="489"/>
      <c r="AM955" s="489"/>
      <c r="AN955" s="489"/>
      <c r="AO955" s="489"/>
      <c r="AP955" s="489"/>
      <c r="AQ955" s="489"/>
      <c r="AR955" s="489"/>
      <c r="AS955" s="489"/>
    </row>
    <row r="956" spans="1:45" s="484" customFormat="1" ht="14.5">
      <c r="A956" s="695" t="s">
        <v>1293</v>
      </c>
      <c r="B956" s="647"/>
      <c r="C956" s="644"/>
      <c r="D956" s="644"/>
      <c r="E956" s="493">
        <f t="shared" si="354"/>
        <v>0</v>
      </c>
      <c r="F956" s="763">
        <f t="shared" si="355"/>
        <v>1.4999999999999999E-2</v>
      </c>
      <c r="G956" s="493">
        <f t="shared" si="356"/>
        <v>0</v>
      </c>
      <c r="H956" s="493">
        <f t="shared" si="357"/>
        <v>0</v>
      </c>
      <c r="I956" s="493">
        <f t="shared" si="357"/>
        <v>0</v>
      </c>
      <c r="J956" s="493">
        <f t="shared" si="357"/>
        <v>0</v>
      </c>
      <c r="K956" s="493">
        <f t="shared" si="357"/>
        <v>0</v>
      </c>
      <c r="L956" s="493">
        <f t="shared" si="357"/>
        <v>0</v>
      </c>
      <c r="M956" s="493">
        <f t="shared" si="357"/>
        <v>0</v>
      </c>
      <c r="N956" s="493">
        <f t="shared" si="346"/>
        <v>0</v>
      </c>
      <c r="O956" s="493">
        <f t="shared" si="346"/>
        <v>0</v>
      </c>
      <c r="P956" s="493">
        <f t="shared" si="346"/>
        <v>0</v>
      </c>
      <c r="Q956" s="493">
        <f t="shared" si="357"/>
        <v>0</v>
      </c>
      <c r="R956" s="493">
        <f t="shared" si="347"/>
        <v>0</v>
      </c>
      <c r="S956" s="493">
        <f t="shared" si="348"/>
        <v>0</v>
      </c>
      <c r="T956" s="794"/>
      <c r="V956" s="641">
        <f t="shared" si="349"/>
        <v>0</v>
      </c>
      <c r="W956" s="488"/>
      <c r="X956" s="1016"/>
      <c r="Y956" s="675">
        <f t="shared" si="350"/>
        <v>2333487.1579200001</v>
      </c>
      <c r="Z956" s="767">
        <f>0.3%/1.1</f>
        <v>2.7272727272727271E-3</v>
      </c>
      <c r="AA956" s="675">
        <f t="shared" si="351"/>
        <v>3054746.8249134542</v>
      </c>
      <c r="AB956" s="767">
        <f>0.3%/1.1</f>
        <v>2.7272727272727271E-3</v>
      </c>
      <c r="AC956" s="675">
        <f t="shared" si="352"/>
        <v>4454839.1196654541</v>
      </c>
      <c r="AD956" s="767">
        <f>0.3%/1.1</f>
        <v>2.7272727272727271E-3</v>
      </c>
      <c r="AE956" s="675">
        <f t="shared" si="353"/>
        <v>6014032.8115483625</v>
      </c>
      <c r="AF956" s="767">
        <f>0.3%/1.1</f>
        <v>2.7272727272727271E-3</v>
      </c>
      <c r="AL956" s="489"/>
      <c r="AM956" s="489"/>
      <c r="AN956" s="489"/>
      <c r="AO956" s="489"/>
      <c r="AP956" s="489"/>
      <c r="AQ956" s="489"/>
      <c r="AR956" s="489"/>
      <c r="AS956" s="489"/>
    </row>
    <row r="957" spans="1:45" s="484" customFormat="1" ht="14.5">
      <c r="A957" s="695" t="s">
        <v>1294</v>
      </c>
      <c r="B957" s="647"/>
      <c r="C957" s="644"/>
      <c r="D957" s="644"/>
      <c r="E957" s="493">
        <f t="shared" si="354"/>
        <v>0</v>
      </c>
      <c r="F957" s="763">
        <f t="shared" si="355"/>
        <v>6.4999999999999997E-3</v>
      </c>
      <c r="G957" s="493">
        <f t="shared" si="356"/>
        <v>0</v>
      </c>
      <c r="H957" s="493">
        <f t="shared" si="357"/>
        <v>0</v>
      </c>
      <c r="I957" s="493">
        <f t="shared" si="357"/>
        <v>0</v>
      </c>
      <c r="J957" s="493">
        <f t="shared" si="357"/>
        <v>270833.33333333331</v>
      </c>
      <c r="K957" s="493">
        <f t="shared" si="357"/>
        <v>1083333.3333333333</v>
      </c>
      <c r="L957" s="493">
        <f t="shared" si="357"/>
        <v>2572916.6666666665</v>
      </c>
      <c r="M957" s="493">
        <f t="shared" si="357"/>
        <v>4739583.333333333</v>
      </c>
      <c r="N957" s="493">
        <f t="shared" si="346"/>
        <v>7177083.333333333</v>
      </c>
      <c r="O957" s="493">
        <f t="shared" si="346"/>
        <v>9614583.333333334</v>
      </c>
      <c r="P957" s="493">
        <f t="shared" si="346"/>
        <v>12052083.333333334</v>
      </c>
      <c r="Q957" s="493">
        <f t="shared" si="357"/>
        <v>14489583.333333334</v>
      </c>
      <c r="R957" s="493">
        <f t="shared" si="347"/>
        <v>16927083.333333332</v>
      </c>
      <c r="S957" s="493">
        <f t="shared" si="348"/>
        <v>19364583.333333332</v>
      </c>
      <c r="T957" s="794"/>
      <c r="V957" s="641">
        <f t="shared" si="349"/>
        <v>88291666.666666672</v>
      </c>
      <c r="W957" s="488"/>
      <c r="X957" s="1016"/>
      <c r="Y957" s="675">
        <f t="shared" si="350"/>
        <v>0</v>
      </c>
      <c r="Z957" s="767">
        <f>0.3%/1.1</f>
        <v>2.7272727272727271E-3</v>
      </c>
      <c r="AA957" s="675">
        <f t="shared" si="351"/>
        <v>0</v>
      </c>
      <c r="AB957" s="767">
        <f>0.3%/1.1</f>
        <v>2.7272727272727271E-3</v>
      </c>
      <c r="AC957" s="675">
        <f t="shared" si="352"/>
        <v>0</v>
      </c>
      <c r="AD957" s="767">
        <f>0.3%/1.1</f>
        <v>2.7272727272727271E-3</v>
      </c>
      <c r="AE957" s="675">
        <f t="shared" si="353"/>
        <v>0</v>
      </c>
      <c r="AF957" s="767">
        <f>0.3%/1.1</f>
        <v>2.7272727272727271E-3</v>
      </c>
      <c r="AL957" s="489"/>
      <c r="AM957" s="489"/>
      <c r="AN957" s="489"/>
      <c r="AO957" s="489"/>
      <c r="AP957" s="489"/>
      <c r="AQ957" s="489"/>
      <c r="AR957" s="489"/>
      <c r="AS957" s="489"/>
    </row>
    <row r="958" spans="1:45" s="484" customFormat="1" ht="14.5">
      <c r="A958" s="695" t="s">
        <v>1295</v>
      </c>
      <c r="B958" s="647"/>
      <c r="C958" s="644"/>
      <c r="D958" s="644"/>
      <c r="E958" s="493">
        <f t="shared" si="354"/>
        <v>0</v>
      </c>
      <c r="F958" s="763">
        <f t="shared" si="355"/>
        <v>6.4999999999999997E-3</v>
      </c>
      <c r="G958" s="493">
        <f t="shared" si="356"/>
        <v>0</v>
      </c>
      <c r="H958" s="493">
        <f t="shared" si="357"/>
        <v>0</v>
      </c>
      <c r="I958" s="493">
        <f t="shared" si="357"/>
        <v>0</v>
      </c>
      <c r="J958" s="493">
        <f t="shared" si="357"/>
        <v>0</v>
      </c>
      <c r="K958" s="493">
        <f t="shared" si="357"/>
        <v>0</v>
      </c>
      <c r="L958" s="493">
        <f t="shared" si="357"/>
        <v>54166.666666666664</v>
      </c>
      <c r="M958" s="493">
        <f t="shared" si="357"/>
        <v>162500</v>
      </c>
      <c r="N958" s="493">
        <f t="shared" si="357"/>
        <v>270833.33333333331</v>
      </c>
      <c r="O958" s="493">
        <f t="shared" si="357"/>
        <v>433333.33333333331</v>
      </c>
      <c r="P958" s="493">
        <f t="shared" si="357"/>
        <v>650000</v>
      </c>
      <c r="Q958" s="493">
        <f t="shared" si="357"/>
        <v>866666.66666666663</v>
      </c>
      <c r="R958" s="493">
        <f t="shared" si="347"/>
        <v>1083333.3333333333</v>
      </c>
      <c r="S958" s="493">
        <f t="shared" si="348"/>
        <v>1300000</v>
      </c>
      <c r="T958" s="794"/>
      <c r="V958" s="641">
        <f t="shared" si="349"/>
        <v>4820833.333333333</v>
      </c>
      <c r="W958" s="488"/>
      <c r="X958" s="1016"/>
      <c r="Y958" s="675"/>
      <c r="Z958" s="767"/>
      <c r="AA958" s="675"/>
      <c r="AB958" s="767"/>
      <c r="AC958" s="675"/>
      <c r="AD958" s="767"/>
      <c r="AE958" s="675"/>
      <c r="AF958" s="767"/>
      <c r="AL958" s="489"/>
      <c r="AM958" s="489"/>
      <c r="AN958" s="489"/>
      <c r="AO958" s="489"/>
      <c r="AP958" s="489"/>
      <c r="AQ958" s="489"/>
      <c r="AR958" s="489"/>
      <c r="AS958" s="489"/>
    </row>
    <row r="959" spans="1:45" s="484" customFormat="1" ht="14.5">
      <c r="A959" s="695" t="s">
        <v>1296</v>
      </c>
      <c r="B959" s="647"/>
      <c r="C959" s="644"/>
      <c r="D959" s="644"/>
      <c r="E959" s="493">
        <f t="shared" si="354"/>
        <v>0</v>
      </c>
      <c r="F959" s="763">
        <f t="shared" si="355"/>
        <v>3.0000000000000001E-3</v>
      </c>
      <c r="G959" s="493">
        <f t="shared" si="356"/>
        <v>0</v>
      </c>
      <c r="H959" s="493">
        <f t="shared" si="357"/>
        <v>0</v>
      </c>
      <c r="I959" s="493">
        <f t="shared" si="357"/>
        <v>0</v>
      </c>
      <c r="J959" s="493">
        <f t="shared" si="357"/>
        <v>0</v>
      </c>
      <c r="K959" s="493">
        <f t="shared" si="357"/>
        <v>0</v>
      </c>
      <c r="L959" s="493">
        <f t="shared" si="357"/>
        <v>0</v>
      </c>
      <c r="M959" s="493">
        <f t="shared" si="357"/>
        <v>0</v>
      </c>
      <c r="N959" s="493">
        <f t="shared" si="357"/>
        <v>0</v>
      </c>
      <c r="O959" s="493">
        <f t="shared" si="357"/>
        <v>0</v>
      </c>
      <c r="P959" s="493">
        <f t="shared" si="357"/>
        <v>0</v>
      </c>
      <c r="Q959" s="493">
        <f t="shared" si="357"/>
        <v>0</v>
      </c>
      <c r="R959" s="493">
        <f t="shared" si="347"/>
        <v>0</v>
      </c>
      <c r="S959" s="493">
        <f t="shared" si="348"/>
        <v>0</v>
      </c>
      <c r="T959" s="794"/>
      <c r="V959" s="641">
        <f t="shared" si="349"/>
        <v>0</v>
      </c>
      <c r="W959" s="488"/>
      <c r="X959" s="1016"/>
      <c r="Y959" s="675"/>
      <c r="Z959" s="767"/>
      <c r="AA959" s="675"/>
      <c r="AB959" s="767"/>
      <c r="AC959" s="675"/>
      <c r="AD959" s="767"/>
      <c r="AE959" s="675"/>
      <c r="AF959" s="767"/>
      <c r="AL959" s="489"/>
      <c r="AM959" s="489"/>
      <c r="AN959" s="489"/>
      <c r="AO959" s="489"/>
      <c r="AP959" s="489"/>
      <c r="AQ959" s="489"/>
      <c r="AR959" s="489"/>
      <c r="AS959" s="489"/>
    </row>
    <row r="960" spans="1:45" s="484" customFormat="1" ht="14.5">
      <c r="A960" s="695" t="s">
        <v>1297</v>
      </c>
      <c r="B960" s="647"/>
      <c r="C960" s="644"/>
      <c r="D960" s="644"/>
      <c r="E960" s="493">
        <f t="shared" si="354"/>
        <v>0</v>
      </c>
      <c r="F960" s="763">
        <f t="shared" si="355"/>
        <v>6.8000000000000005E-4</v>
      </c>
      <c r="G960" s="493">
        <f t="shared" si="356"/>
        <v>0</v>
      </c>
      <c r="H960" s="493">
        <f t="shared" si="357"/>
        <v>0</v>
      </c>
      <c r="I960" s="493">
        <f t="shared" si="357"/>
        <v>0</v>
      </c>
      <c r="J960" s="493">
        <f t="shared" si="357"/>
        <v>0</v>
      </c>
      <c r="K960" s="493">
        <f t="shared" si="357"/>
        <v>0</v>
      </c>
      <c r="L960" s="493">
        <f t="shared" si="357"/>
        <v>0</v>
      </c>
      <c r="M960" s="493">
        <f t="shared" si="357"/>
        <v>0</v>
      </c>
      <c r="N960" s="493">
        <f t="shared" si="357"/>
        <v>0</v>
      </c>
      <c r="O960" s="493">
        <f t="shared" si="357"/>
        <v>0</v>
      </c>
      <c r="P960" s="493">
        <f t="shared" si="357"/>
        <v>0</v>
      </c>
      <c r="Q960" s="493">
        <f t="shared" si="357"/>
        <v>0</v>
      </c>
      <c r="R960" s="493">
        <f t="shared" si="347"/>
        <v>0</v>
      </c>
      <c r="S960" s="493">
        <f t="shared" si="348"/>
        <v>0</v>
      </c>
      <c r="T960" s="794"/>
      <c r="V960" s="641">
        <f t="shared" si="349"/>
        <v>0</v>
      </c>
      <c r="W960" s="488"/>
      <c r="X960" s="1016"/>
      <c r="Y960" s="675"/>
      <c r="Z960" s="767"/>
      <c r="AA960" s="675"/>
      <c r="AB960" s="767"/>
      <c r="AC960" s="675"/>
      <c r="AD960" s="767"/>
      <c r="AE960" s="675"/>
      <c r="AF960" s="767"/>
      <c r="AL960" s="489"/>
      <c r="AM960" s="489"/>
      <c r="AN960" s="489"/>
      <c r="AO960" s="489"/>
      <c r="AP960" s="489"/>
      <c r="AQ960" s="489"/>
      <c r="AR960" s="489"/>
      <c r="AS960" s="489"/>
    </row>
    <row r="961" spans="1:45" s="484" customFormat="1" ht="14.5">
      <c r="A961" s="695" t="s">
        <v>1298</v>
      </c>
      <c r="B961" s="647"/>
      <c r="C961" s="644"/>
      <c r="D961" s="644"/>
      <c r="E961" s="493">
        <f t="shared" si="354"/>
        <v>0</v>
      </c>
      <c r="F961" s="763">
        <f t="shared" si="355"/>
        <v>6.8000000000000005E-4</v>
      </c>
      <c r="G961" s="493">
        <f t="shared" si="356"/>
        <v>0</v>
      </c>
      <c r="H961" s="493">
        <f t="shared" si="357"/>
        <v>0</v>
      </c>
      <c r="I961" s="493">
        <f t="shared" si="357"/>
        <v>0</v>
      </c>
      <c r="J961" s="493">
        <f t="shared" si="357"/>
        <v>0</v>
      </c>
      <c r="K961" s="493">
        <f t="shared" si="357"/>
        <v>0</v>
      </c>
      <c r="L961" s="493">
        <f t="shared" si="357"/>
        <v>0</v>
      </c>
      <c r="M961" s="493">
        <f t="shared" si="357"/>
        <v>0</v>
      </c>
      <c r="N961" s="493">
        <f t="shared" si="357"/>
        <v>0</v>
      </c>
      <c r="O961" s="493">
        <f t="shared" si="357"/>
        <v>0</v>
      </c>
      <c r="P961" s="493">
        <f t="shared" si="357"/>
        <v>0</v>
      </c>
      <c r="Q961" s="493">
        <f t="shared" si="357"/>
        <v>0</v>
      </c>
      <c r="R961" s="493">
        <f t="shared" si="347"/>
        <v>0</v>
      </c>
      <c r="S961" s="493">
        <f t="shared" si="348"/>
        <v>0</v>
      </c>
      <c r="T961" s="794"/>
      <c r="V961" s="641">
        <f t="shared" si="349"/>
        <v>0</v>
      </c>
      <c r="W961" s="488"/>
      <c r="X961" s="1016"/>
      <c r="Y961" s="675"/>
      <c r="Z961" s="767"/>
      <c r="AA961" s="675"/>
      <c r="AB961" s="767"/>
      <c r="AC961" s="675"/>
      <c r="AD961" s="767"/>
      <c r="AE961" s="675"/>
      <c r="AF961" s="767"/>
      <c r="AL961" s="489"/>
      <c r="AM961" s="489"/>
      <c r="AN961" s="489"/>
      <c r="AO961" s="489"/>
      <c r="AP961" s="489"/>
      <c r="AQ961" s="489"/>
      <c r="AR961" s="489"/>
      <c r="AS961" s="489"/>
    </row>
    <row r="962" spans="1:45" s="484" customFormat="1" ht="14.5">
      <c r="A962" s="695" t="s">
        <v>1299</v>
      </c>
      <c r="B962" s="647"/>
      <c r="C962" s="644"/>
      <c r="D962" s="644"/>
      <c r="E962" s="493">
        <f t="shared" si="354"/>
        <v>0</v>
      </c>
      <c r="F962" s="763">
        <f t="shared" si="355"/>
        <v>2.7000000000000001E-3</v>
      </c>
      <c r="G962" s="493">
        <f t="shared" si="356"/>
        <v>0</v>
      </c>
      <c r="H962" s="493">
        <f t="shared" si="357"/>
        <v>0</v>
      </c>
      <c r="I962" s="493">
        <f t="shared" si="357"/>
        <v>0</v>
      </c>
      <c r="J962" s="493">
        <f t="shared" si="357"/>
        <v>0</v>
      </c>
      <c r="K962" s="493">
        <f t="shared" si="357"/>
        <v>0</v>
      </c>
      <c r="L962" s="493">
        <f t="shared" si="357"/>
        <v>0</v>
      </c>
      <c r="M962" s="493">
        <f t="shared" si="357"/>
        <v>0</v>
      </c>
      <c r="N962" s="493">
        <f t="shared" si="357"/>
        <v>0</v>
      </c>
      <c r="O962" s="493">
        <f t="shared" si="357"/>
        <v>0</v>
      </c>
      <c r="P962" s="493">
        <f t="shared" si="357"/>
        <v>0</v>
      </c>
      <c r="Q962" s="493">
        <f t="shared" si="357"/>
        <v>0</v>
      </c>
      <c r="R962" s="493">
        <f t="shared" si="347"/>
        <v>0</v>
      </c>
      <c r="S962" s="493">
        <f t="shared" si="348"/>
        <v>0</v>
      </c>
      <c r="T962" s="794"/>
      <c r="V962" s="641">
        <f t="shared" si="349"/>
        <v>0</v>
      </c>
      <c r="W962" s="488"/>
      <c r="X962" s="1016"/>
      <c r="Y962" s="675"/>
      <c r="Z962" s="767"/>
      <c r="AA962" s="675"/>
      <c r="AB962" s="767"/>
      <c r="AC962" s="675"/>
      <c r="AD962" s="767"/>
      <c r="AE962" s="675"/>
      <c r="AF962" s="767"/>
      <c r="AL962" s="489"/>
      <c r="AM962" s="489"/>
      <c r="AN962" s="489"/>
      <c r="AO962" s="489"/>
      <c r="AP962" s="489"/>
      <c r="AQ962" s="489"/>
      <c r="AR962" s="489"/>
      <c r="AS962" s="489"/>
    </row>
    <row r="963" spans="1:45" s="484" customFormat="1" ht="14.5">
      <c r="A963" s="695" t="s">
        <v>1300</v>
      </c>
      <c r="B963" s="647"/>
      <c r="C963" s="644"/>
      <c r="D963" s="644"/>
      <c r="E963" s="493">
        <f t="shared" si="354"/>
        <v>0</v>
      </c>
      <c r="F963" s="763">
        <f t="shared" si="355"/>
        <v>8.1999999999999998E-4</v>
      </c>
      <c r="G963" s="493">
        <f t="shared" si="356"/>
        <v>0</v>
      </c>
      <c r="H963" s="493">
        <f t="shared" si="357"/>
        <v>0</v>
      </c>
      <c r="I963" s="493">
        <f t="shared" si="357"/>
        <v>0</v>
      </c>
      <c r="J963" s="493">
        <f t="shared" si="357"/>
        <v>0</v>
      </c>
      <c r="K963" s="493">
        <f t="shared" si="357"/>
        <v>0</v>
      </c>
      <c r="L963" s="493">
        <f t="shared" si="357"/>
        <v>0</v>
      </c>
      <c r="M963" s="493">
        <f t="shared" si="357"/>
        <v>0</v>
      </c>
      <c r="N963" s="493">
        <f t="shared" si="357"/>
        <v>0</v>
      </c>
      <c r="O963" s="493">
        <f t="shared" si="357"/>
        <v>0</v>
      </c>
      <c r="P963" s="493">
        <f t="shared" si="357"/>
        <v>0</v>
      </c>
      <c r="Q963" s="493">
        <f t="shared" si="357"/>
        <v>0</v>
      </c>
      <c r="R963" s="493">
        <f t="shared" si="347"/>
        <v>0</v>
      </c>
      <c r="S963" s="493">
        <f t="shared" si="348"/>
        <v>0</v>
      </c>
      <c r="T963" s="794"/>
      <c r="V963" s="641">
        <f t="shared" si="349"/>
        <v>0</v>
      </c>
      <c r="W963" s="488"/>
      <c r="X963" s="1016"/>
      <c r="Y963" s="675"/>
      <c r="Z963" s="767"/>
      <c r="AA963" s="675"/>
      <c r="AB963" s="767"/>
      <c r="AC963" s="675"/>
      <c r="AD963" s="767"/>
      <c r="AE963" s="675"/>
      <c r="AF963" s="767"/>
      <c r="AL963" s="489"/>
      <c r="AM963" s="489"/>
      <c r="AN963" s="489"/>
      <c r="AO963" s="489"/>
      <c r="AP963" s="489"/>
      <c r="AQ963" s="489"/>
      <c r="AR963" s="489"/>
      <c r="AS963" s="489"/>
    </row>
    <row r="964" spans="1:45" s="484" customFormat="1" ht="14.5">
      <c r="A964" s="695" t="s">
        <v>1301</v>
      </c>
      <c r="B964" s="647"/>
      <c r="C964" s="644"/>
      <c r="D964" s="644"/>
      <c r="E964" s="493">
        <f t="shared" si="354"/>
        <v>0</v>
      </c>
      <c r="F964" s="763">
        <f t="shared" si="355"/>
        <v>6.9300000000000004E-3</v>
      </c>
      <c r="G964" s="493">
        <f t="shared" si="356"/>
        <v>0</v>
      </c>
      <c r="H964" s="493">
        <f t="shared" si="357"/>
        <v>0</v>
      </c>
      <c r="I964" s="493">
        <f t="shared" si="357"/>
        <v>0</v>
      </c>
      <c r="J964" s="493">
        <f t="shared" si="357"/>
        <v>0</v>
      </c>
      <c r="K964" s="493">
        <f t="shared" si="357"/>
        <v>0</v>
      </c>
      <c r="L964" s="493">
        <f t="shared" si="357"/>
        <v>0</v>
      </c>
      <c r="M964" s="493">
        <f t="shared" si="357"/>
        <v>0</v>
      </c>
      <c r="N964" s="493">
        <f t="shared" si="357"/>
        <v>0</v>
      </c>
      <c r="O964" s="493">
        <f t="shared" si="357"/>
        <v>0</v>
      </c>
      <c r="P964" s="493">
        <f t="shared" si="357"/>
        <v>0</v>
      </c>
      <c r="Q964" s="493">
        <f t="shared" si="357"/>
        <v>0</v>
      </c>
      <c r="R964" s="493">
        <f t="shared" si="347"/>
        <v>0</v>
      </c>
      <c r="S964" s="493">
        <f t="shared" si="348"/>
        <v>0</v>
      </c>
      <c r="T964" s="794"/>
      <c r="V964" s="641">
        <f t="shared" si="349"/>
        <v>0</v>
      </c>
      <c r="W964" s="488"/>
      <c r="X964" s="1016"/>
      <c r="Y964" s="675"/>
      <c r="Z964" s="767"/>
      <c r="AA964" s="675"/>
      <c r="AB964" s="767"/>
      <c r="AC964" s="675"/>
      <c r="AD964" s="767"/>
      <c r="AE964" s="675"/>
      <c r="AF964" s="767"/>
      <c r="AL964" s="489"/>
      <c r="AM964" s="489"/>
      <c r="AN964" s="489"/>
      <c r="AO964" s="489"/>
      <c r="AP964" s="489"/>
      <c r="AQ964" s="489"/>
      <c r="AR964" s="489"/>
      <c r="AS964" s="489"/>
    </row>
    <row r="965" spans="1:45" s="484" customFormat="1" ht="14.5">
      <c r="A965" s="695" t="s">
        <v>1302</v>
      </c>
      <c r="B965" s="647"/>
      <c r="C965" s="644"/>
      <c r="D965" s="644"/>
      <c r="E965" s="493">
        <f t="shared" si="354"/>
        <v>0</v>
      </c>
      <c r="F965" s="763">
        <f t="shared" si="355"/>
        <v>1.5E-3</v>
      </c>
      <c r="G965" s="493">
        <f t="shared" si="356"/>
        <v>0</v>
      </c>
      <c r="H965" s="493">
        <f t="shared" si="357"/>
        <v>0</v>
      </c>
      <c r="I965" s="493">
        <f t="shared" si="357"/>
        <v>0</v>
      </c>
      <c r="J965" s="493">
        <f t="shared" si="357"/>
        <v>0</v>
      </c>
      <c r="K965" s="493">
        <f t="shared" si="357"/>
        <v>0</v>
      </c>
      <c r="L965" s="493">
        <f t="shared" si="357"/>
        <v>0</v>
      </c>
      <c r="M965" s="493">
        <f t="shared" si="357"/>
        <v>0</v>
      </c>
      <c r="N965" s="493">
        <f t="shared" si="357"/>
        <v>0</v>
      </c>
      <c r="O965" s="493">
        <f t="shared" si="357"/>
        <v>0</v>
      </c>
      <c r="P965" s="493">
        <f t="shared" si="357"/>
        <v>0</v>
      </c>
      <c r="Q965" s="493">
        <f t="shared" si="357"/>
        <v>0</v>
      </c>
      <c r="R965" s="493">
        <f t="shared" si="347"/>
        <v>0</v>
      </c>
      <c r="S965" s="493">
        <f t="shared" si="348"/>
        <v>0</v>
      </c>
      <c r="T965" s="794"/>
      <c r="V965" s="641">
        <f t="shared" si="349"/>
        <v>0</v>
      </c>
      <c r="W965" s="488"/>
      <c r="X965" s="1016"/>
      <c r="Y965" s="675"/>
      <c r="Z965" s="767"/>
      <c r="AA965" s="675"/>
      <c r="AB965" s="767"/>
      <c r="AC965" s="675"/>
      <c r="AD965" s="767"/>
      <c r="AE965" s="675"/>
      <c r="AF965" s="767"/>
      <c r="AL965" s="489"/>
      <c r="AM965" s="489"/>
      <c r="AN965" s="489"/>
      <c r="AO965" s="489"/>
      <c r="AP965" s="489"/>
      <c r="AQ965" s="489"/>
      <c r="AR965" s="489"/>
      <c r="AS965" s="489"/>
    </row>
    <row r="966" spans="1:45" s="484" customFormat="1" ht="14.5">
      <c r="A966" s="695" t="s">
        <v>1303</v>
      </c>
      <c r="B966" s="647"/>
      <c r="C966" s="644"/>
      <c r="D966" s="644"/>
      <c r="E966" s="493">
        <f t="shared" si="354"/>
        <v>0</v>
      </c>
      <c r="F966" s="763">
        <f t="shared" si="355"/>
        <v>1.5E-3</v>
      </c>
      <c r="G966" s="493">
        <f t="shared" si="356"/>
        <v>0</v>
      </c>
      <c r="H966" s="493">
        <f t="shared" si="357"/>
        <v>0</v>
      </c>
      <c r="I966" s="493">
        <f t="shared" si="357"/>
        <v>0</v>
      </c>
      <c r="J966" s="493">
        <f t="shared" si="357"/>
        <v>0</v>
      </c>
      <c r="K966" s="493">
        <f t="shared" si="357"/>
        <v>0</v>
      </c>
      <c r="L966" s="493">
        <f t="shared" si="357"/>
        <v>0</v>
      </c>
      <c r="M966" s="493">
        <f t="shared" si="357"/>
        <v>0</v>
      </c>
      <c r="N966" s="493">
        <f t="shared" si="357"/>
        <v>0</v>
      </c>
      <c r="O966" s="493">
        <f t="shared" si="357"/>
        <v>0</v>
      </c>
      <c r="P966" s="493">
        <f t="shared" si="357"/>
        <v>0</v>
      </c>
      <c r="Q966" s="493">
        <f t="shared" si="357"/>
        <v>0</v>
      </c>
      <c r="R966" s="493">
        <f t="shared" si="347"/>
        <v>0</v>
      </c>
      <c r="S966" s="493">
        <f t="shared" si="348"/>
        <v>0</v>
      </c>
      <c r="T966" s="794"/>
      <c r="V966" s="641">
        <f t="shared" si="349"/>
        <v>0</v>
      </c>
      <c r="W966" s="488"/>
      <c r="X966" s="1016"/>
      <c r="Y966" s="675"/>
      <c r="Z966" s="767"/>
      <c r="AA966" s="675"/>
      <c r="AB966" s="767"/>
      <c r="AC966" s="675"/>
      <c r="AD966" s="767"/>
      <c r="AE966" s="675"/>
      <c r="AF966" s="767"/>
      <c r="AL966" s="489"/>
      <c r="AM966" s="489"/>
      <c r="AN966" s="489"/>
      <c r="AO966" s="489"/>
      <c r="AP966" s="489"/>
      <c r="AQ966" s="489"/>
      <c r="AR966" s="489"/>
      <c r="AS966" s="489"/>
    </row>
    <row r="967" spans="1:45" s="484" customFormat="1" ht="14.5">
      <c r="A967" s="695" t="s">
        <v>1304</v>
      </c>
      <c r="B967" s="647"/>
      <c r="C967" s="644"/>
      <c r="D967" s="644"/>
      <c r="E967" s="493">
        <f t="shared" si="354"/>
        <v>0</v>
      </c>
      <c r="F967" s="763">
        <f t="shared" si="355"/>
        <v>1.5E-3</v>
      </c>
      <c r="G967" s="493">
        <f t="shared" si="356"/>
        <v>0</v>
      </c>
      <c r="H967" s="493">
        <f t="shared" si="357"/>
        <v>0</v>
      </c>
      <c r="I967" s="493">
        <f t="shared" si="357"/>
        <v>0</v>
      </c>
      <c r="J967" s="493">
        <f t="shared" si="357"/>
        <v>0</v>
      </c>
      <c r="K967" s="493">
        <f t="shared" si="357"/>
        <v>0</v>
      </c>
      <c r="L967" s="493">
        <f t="shared" si="357"/>
        <v>0</v>
      </c>
      <c r="M967" s="493">
        <f t="shared" si="357"/>
        <v>0</v>
      </c>
      <c r="N967" s="493">
        <f t="shared" si="357"/>
        <v>0</v>
      </c>
      <c r="O967" s="493">
        <f t="shared" si="357"/>
        <v>0</v>
      </c>
      <c r="P967" s="493">
        <f t="shared" si="357"/>
        <v>0</v>
      </c>
      <c r="Q967" s="493">
        <f t="shared" si="357"/>
        <v>0</v>
      </c>
      <c r="R967" s="493">
        <f t="shared" si="347"/>
        <v>0</v>
      </c>
      <c r="S967" s="493">
        <f t="shared" si="348"/>
        <v>0</v>
      </c>
      <c r="T967" s="794"/>
      <c r="V967" s="641">
        <f t="shared" si="349"/>
        <v>0</v>
      </c>
      <c r="W967" s="488"/>
      <c r="X967" s="1016"/>
      <c r="Y967" s="675"/>
      <c r="Z967" s="767"/>
      <c r="AA967" s="675"/>
      <c r="AB967" s="767"/>
      <c r="AC967" s="675"/>
      <c r="AD967" s="767"/>
      <c r="AE967" s="675"/>
      <c r="AF967" s="767"/>
      <c r="AL967" s="489"/>
      <c r="AM967" s="489"/>
      <c r="AN967" s="489"/>
      <c r="AO967" s="489"/>
      <c r="AP967" s="489"/>
      <c r="AQ967" s="489"/>
      <c r="AR967" s="489"/>
      <c r="AS967" s="489"/>
    </row>
    <row r="968" spans="1:45" s="484" customFormat="1" ht="14.5">
      <c r="A968" s="695" t="s">
        <v>1305</v>
      </c>
      <c r="B968" s="647"/>
      <c r="C968" s="644"/>
      <c r="D968" s="644"/>
      <c r="E968" s="493">
        <f t="shared" si="354"/>
        <v>0</v>
      </c>
      <c r="F968" s="763">
        <f t="shared" si="355"/>
        <v>1.75E-3</v>
      </c>
      <c r="G968" s="493">
        <f t="shared" si="356"/>
        <v>0</v>
      </c>
      <c r="H968" s="493">
        <f t="shared" si="357"/>
        <v>0</v>
      </c>
      <c r="I968" s="493">
        <f t="shared" si="357"/>
        <v>0</v>
      </c>
      <c r="J968" s="493">
        <f t="shared" si="357"/>
        <v>0</v>
      </c>
      <c r="K968" s="493">
        <f t="shared" si="357"/>
        <v>0</v>
      </c>
      <c r="L968" s="493">
        <f t="shared" si="357"/>
        <v>0</v>
      </c>
      <c r="M968" s="493">
        <f t="shared" si="357"/>
        <v>0</v>
      </c>
      <c r="N968" s="493">
        <f t="shared" si="357"/>
        <v>0</v>
      </c>
      <c r="O968" s="493">
        <f t="shared" si="357"/>
        <v>0</v>
      </c>
      <c r="P968" s="493">
        <f t="shared" si="357"/>
        <v>0</v>
      </c>
      <c r="Q968" s="493">
        <f t="shared" si="357"/>
        <v>0</v>
      </c>
      <c r="R968" s="493">
        <f t="shared" si="347"/>
        <v>0</v>
      </c>
      <c r="S968" s="493">
        <f t="shared" si="348"/>
        <v>0</v>
      </c>
      <c r="T968" s="794"/>
      <c r="V968" s="641">
        <f t="shared" si="349"/>
        <v>0</v>
      </c>
      <c r="W968" s="488"/>
      <c r="X968" s="1016"/>
      <c r="Y968" s="675"/>
      <c r="Z968" s="767"/>
      <c r="AA968" s="675"/>
      <c r="AB968" s="767"/>
      <c r="AC968" s="675"/>
      <c r="AD968" s="767"/>
      <c r="AE968" s="675"/>
      <c r="AF968" s="767"/>
      <c r="AL968" s="489"/>
      <c r="AM968" s="489"/>
      <c r="AN968" s="489"/>
      <c r="AO968" s="489"/>
      <c r="AP968" s="489"/>
      <c r="AQ968" s="489"/>
      <c r="AR968" s="489"/>
      <c r="AS968" s="489"/>
    </row>
    <row r="969" spans="1:45" s="484" customFormat="1" ht="14.5">
      <c r="A969" s="695" t="s">
        <v>1306</v>
      </c>
      <c r="B969" s="647"/>
      <c r="C969" s="644"/>
      <c r="D969" s="644"/>
      <c r="E969" s="493">
        <f t="shared" si="354"/>
        <v>0</v>
      </c>
      <c r="F969" s="763">
        <f t="shared" si="355"/>
        <v>6.8999999999999999E-3</v>
      </c>
      <c r="G969" s="493">
        <f t="shared" si="356"/>
        <v>0</v>
      </c>
      <c r="H969" s="493">
        <f t="shared" si="357"/>
        <v>0</v>
      </c>
      <c r="I969" s="493">
        <f t="shared" si="357"/>
        <v>0</v>
      </c>
      <c r="J969" s="493">
        <f t="shared" si="357"/>
        <v>0</v>
      </c>
      <c r="K969" s="493">
        <f t="shared" si="357"/>
        <v>0</v>
      </c>
      <c r="L969" s="493">
        <f t="shared" si="357"/>
        <v>0</v>
      </c>
      <c r="M969" s="493">
        <f t="shared" si="357"/>
        <v>0</v>
      </c>
      <c r="N969" s="493">
        <f t="shared" si="357"/>
        <v>0</v>
      </c>
      <c r="O969" s="493">
        <f t="shared" si="357"/>
        <v>0</v>
      </c>
      <c r="P969" s="493">
        <f t="shared" si="357"/>
        <v>0</v>
      </c>
      <c r="Q969" s="493">
        <f t="shared" si="357"/>
        <v>0</v>
      </c>
      <c r="R969" s="493">
        <f t="shared" si="347"/>
        <v>0</v>
      </c>
      <c r="S969" s="493">
        <f t="shared" si="348"/>
        <v>0</v>
      </c>
      <c r="T969" s="794"/>
      <c r="V969" s="641">
        <f t="shared" si="349"/>
        <v>0</v>
      </c>
      <c r="W969" s="488"/>
      <c r="X969" s="1016"/>
      <c r="Y969" s="675"/>
      <c r="Z969" s="767"/>
      <c r="AA969" s="675"/>
      <c r="AB969" s="767"/>
      <c r="AC969" s="675"/>
      <c r="AD969" s="767"/>
      <c r="AE969" s="675"/>
      <c r="AF969" s="767"/>
      <c r="AL969" s="489"/>
      <c r="AM969" s="489"/>
      <c r="AN969" s="489"/>
      <c r="AO969" s="489"/>
      <c r="AP969" s="489"/>
      <c r="AQ969" s="489"/>
      <c r="AR969" s="489"/>
      <c r="AS969" s="489"/>
    </row>
    <row r="970" spans="1:45" s="484" customFormat="1" ht="14.5">
      <c r="A970" s="695" t="s">
        <v>1307</v>
      </c>
      <c r="B970" s="647"/>
      <c r="C970" s="644"/>
      <c r="D970" s="644"/>
      <c r="E970" s="493">
        <f t="shared" si="354"/>
        <v>0</v>
      </c>
      <c r="F970" s="763">
        <f t="shared" si="355"/>
        <v>1.4999999999999999E-2</v>
      </c>
      <c r="G970" s="493">
        <f t="shared" si="356"/>
        <v>0</v>
      </c>
      <c r="H970" s="493">
        <f t="shared" ref="H970:Q972" si="358">(G525+H525)/2*$F970/12</f>
        <v>0</v>
      </c>
      <c r="I970" s="493">
        <f t="shared" si="358"/>
        <v>0</v>
      </c>
      <c r="J970" s="493">
        <f t="shared" si="358"/>
        <v>0</v>
      </c>
      <c r="K970" s="493">
        <f t="shared" si="358"/>
        <v>0</v>
      </c>
      <c r="L970" s="493">
        <f t="shared" si="358"/>
        <v>0</v>
      </c>
      <c r="M970" s="493">
        <f t="shared" si="358"/>
        <v>0</v>
      </c>
      <c r="N970" s="493">
        <f t="shared" si="358"/>
        <v>15625000</v>
      </c>
      <c r="O970" s="493">
        <f t="shared" si="358"/>
        <v>31250000</v>
      </c>
      <c r="P970" s="493">
        <f t="shared" si="358"/>
        <v>31250000</v>
      </c>
      <c r="Q970" s="493">
        <f t="shared" si="358"/>
        <v>31250000</v>
      </c>
      <c r="R970" s="493">
        <f t="shared" si="347"/>
        <v>31250000</v>
      </c>
      <c r="S970" s="493">
        <f t="shared" si="348"/>
        <v>31250000</v>
      </c>
      <c r="T970" s="794"/>
      <c r="V970" s="641">
        <f t="shared" si="349"/>
        <v>171875000</v>
      </c>
      <c r="W970" s="488"/>
      <c r="X970" s="1016"/>
      <c r="Y970" s="675"/>
      <c r="Z970" s="767"/>
      <c r="AA970" s="675"/>
      <c r="AB970" s="767"/>
      <c r="AC970" s="675"/>
      <c r="AD970" s="767"/>
      <c r="AE970" s="675"/>
      <c r="AF970" s="767"/>
      <c r="AL970" s="489"/>
      <c r="AM970" s="489"/>
      <c r="AN970" s="489"/>
      <c r="AO970" s="489"/>
      <c r="AP970" s="489"/>
      <c r="AQ970" s="489"/>
      <c r="AR970" s="489"/>
      <c r="AS970" s="489"/>
    </row>
    <row r="971" spans="1:45" s="484" customFormat="1" ht="14.5">
      <c r="A971" s="695" t="s">
        <v>1308</v>
      </c>
      <c r="B971" s="647"/>
      <c r="C971" s="644"/>
      <c r="D971" s="644"/>
      <c r="E971" s="493">
        <f t="shared" si="354"/>
        <v>0</v>
      </c>
      <c r="F971" s="763">
        <f t="shared" si="355"/>
        <v>1.5E-3</v>
      </c>
      <c r="G971" s="493">
        <f t="shared" si="356"/>
        <v>0</v>
      </c>
      <c r="H971" s="493">
        <f t="shared" si="358"/>
        <v>0</v>
      </c>
      <c r="I971" s="493">
        <f t="shared" si="358"/>
        <v>0</v>
      </c>
      <c r="J971" s="493">
        <f t="shared" si="358"/>
        <v>0</v>
      </c>
      <c r="K971" s="493">
        <f t="shared" si="358"/>
        <v>0</v>
      </c>
      <c r="L971" s="493">
        <f t="shared" si="358"/>
        <v>0</v>
      </c>
      <c r="M971" s="493">
        <f t="shared" si="358"/>
        <v>0</v>
      </c>
      <c r="N971" s="493">
        <f t="shared" si="358"/>
        <v>0</v>
      </c>
      <c r="O971" s="493">
        <f t="shared" si="358"/>
        <v>0</v>
      </c>
      <c r="P971" s="493">
        <f t="shared" si="358"/>
        <v>0</v>
      </c>
      <c r="Q971" s="493">
        <f t="shared" si="358"/>
        <v>0</v>
      </c>
      <c r="R971" s="493">
        <f t="shared" si="347"/>
        <v>0</v>
      </c>
      <c r="S971" s="493">
        <f t="shared" si="348"/>
        <v>0</v>
      </c>
      <c r="T971" s="794"/>
      <c r="V971" s="641">
        <f t="shared" si="349"/>
        <v>0</v>
      </c>
      <c r="W971" s="488"/>
      <c r="X971" s="1016"/>
      <c r="Y971" s="675"/>
      <c r="Z971" s="767"/>
      <c r="AA971" s="675"/>
      <c r="AB971" s="767"/>
      <c r="AC971" s="675"/>
      <c r="AD971" s="767"/>
      <c r="AE971" s="675"/>
      <c r="AF971" s="767"/>
      <c r="AL971" s="489"/>
      <c r="AM971" s="489"/>
      <c r="AN971" s="489"/>
      <c r="AO971" s="489"/>
      <c r="AP971" s="489"/>
      <c r="AQ971" s="489"/>
      <c r="AR971" s="489"/>
      <c r="AS971" s="489"/>
    </row>
    <row r="972" spans="1:45" s="484" customFormat="1" ht="14.5">
      <c r="A972" s="695" t="s">
        <v>1309</v>
      </c>
      <c r="B972" s="647"/>
      <c r="C972" s="644"/>
      <c r="D972" s="644"/>
      <c r="E972" s="493">
        <f t="shared" si="354"/>
        <v>0</v>
      </c>
      <c r="F972" s="763">
        <f t="shared" si="355"/>
        <v>8.1799999999999998E-3</v>
      </c>
      <c r="G972" s="493">
        <f t="shared" si="356"/>
        <v>0</v>
      </c>
      <c r="H972" s="493">
        <f t="shared" si="358"/>
        <v>0</v>
      </c>
      <c r="I972" s="493">
        <f t="shared" si="358"/>
        <v>0</v>
      </c>
      <c r="J972" s="493">
        <f t="shared" si="358"/>
        <v>0</v>
      </c>
      <c r="K972" s="493">
        <f t="shared" si="358"/>
        <v>0</v>
      </c>
      <c r="L972" s="493">
        <f t="shared" si="358"/>
        <v>0</v>
      </c>
      <c r="M972" s="493">
        <f t="shared" si="358"/>
        <v>0</v>
      </c>
      <c r="N972" s="493">
        <f t="shared" si="358"/>
        <v>0</v>
      </c>
      <c r="O972" s="493">
        <f t="shared" si="358"/>
        <v>0</v>
      </c>
      <c r="P972" s="493">
        <f t="shared" si="358"/>
        <v>0</v>
      </c>
      <c r="Q972" s="493">
        <f t="shared" si="358"/>
        <v>0</v>
      </c>
      <c r="R972" s="493">
        <f t="shared" si="347"/>
        <v>0</v>
      </c>
      <c r="S972" s="493">
        <f t="shared" si="348"/>
        <v>0</v>
      </c>
      <c r="T972" s="794"/>
      <c r="V972" s="641">
        <f t="shared" si="349"/>
        <v>0</v>
      </c>
      <c r="W972" s="488"/>
      <c r="X972" s="1016"/>
      <c r="Y972" s="675"/>
      <c r="Z972" s="767"/>
      <c r="AA972" s="675"/>
      <c r="AB972" s="767"/>
      <c r="AC972" s="675"/>
      <c r="AD972" s="767"/>
      <c r="AE972" s="675"/>
      <c r="AF972" s="767"/>
      <c r="AL972" s="489"/>
      <c r="AM972" s="489"/>
      <c r="AN972" s="489"/>
      <c r="AO972" s="489"/>
      <c r="AP972" s="489"/>
      <c r="AQ972" s="489"/>
      <c r="AR972" s="489"/>
      <c r="AS972" s="489"/>
    </row>
    <row r="973" spans="1:45" s="484" customFormat="1" ht="14.5">
      <c r="A973" s="695"/>
      <c r="B973" s="647"/>
      <c r="C973" s="644"/>
      <c r="D973" s="644"/>
      <c r="E973" s="644"/>
      <c r="F973" s="768"/>
      <c r="G973" s="493"/>
      <c r="H973" s="493"/>
      <c r="I973" s="493"/>
      <c r="J973" s="493"/>
      <c r="K973" s="493"/>
      <c r="L973" s="493"/>
      <c r="M973" s="493"/>
      <c r="N973" s="493"/>
      <c r="O973" s="493"/>
      <c r="P973" s="493"/>
      <c r="Q973" s="493"/>
      <c r="R973" s="493"/>
      <c r="S973" s="493"/>
      <c r="T973" s="794"/>
      <c r="V973" s="641">
        <f t="shared" si="349"/>
        <v>0</v>
      </c>
      <c r="W973" s="488"/>
      <c r="X973" s="1016"/>
      <c r="Y973" s="675"/>
      <c r="Z973" s="767"/>
      <c r="AA973" s="675"/>
      <c r="AB973" s="767"/>
      <c r="AC973" s="675"/>
      <c r="AD973" s="767"/>
      <c r="AE973" s="675"/>
      <c r="AF973" s="767"/>
      <c r="AL973" s="489"/>
      <c r="AM973" s="489"/>
      <c r="AN973" s="489"/>
      <c r="AO973" s="489"/>
      <c r="AP973" s="489"/>
      <c r="AQ973" s="489"/>
      <c r="AR973" s="489"/>
      <c r="AS973" s="489"/>
    </row>
    <row r="974" spans="1:45" s="484" customFormat="1">
      <c r="A974" s="490" t="s">
        <v>1349</v>
      </c>
      <c r="B974" s="653"/>
      <c r="C974" s="654"/>
      <c r="D974" s="654">
        <f>SUM(D938:D953)</f>
        <v>0</v>
      </c>
      <c r="E974" s="654">
        <f>SUM(E938:E973)</f>
        <v>788154.82163749996</v>
      </c>
      <c r="F974" s="707"/>
      <c r="G974" s="654">
        <f>SUM(G938:G973)</f>
        <v>14864464.464912498</v>
      </c>
      <c r="H974" s="654">
        <f t="shared" ref="H974:V974" si="359">SUM(H938:H973)</f>
        <v>32006785.953216664</v>
      </c>
      <c r="I974" s="654">
        <f t="shared" si="359"/>
        <v>40965119.286549993</v>
      </c>
      <c r="J974" s="654">
        <f t="shared" si="359"/>
        <v>52694285.953216672</v>
      </c>
      <c r="K974" s="654">
        <f t="shared" si="359"/>
        <v>70069285.953216657</v>
      </c>
      <c r="L974" s="654">
        <f t="shared" si="359"/>
        <v>94571369.28655</v>
      </c>
      <c r="M974" s="654">
        <f t="shared" si="359"/>
        <v>124221369.28654999</v>
      </c>
      <c r="N974" s="654">
        <f t="shared" si="359"/>
        <v>171642202.61988333</v>
      </c>
      <c r="O974" s="654">
        <f t="shared" si="359"/>
        <v>219346369.28654999</v>
      </c>
      <c r="P974" s="654">
        <f t="shared" si="359"/>
        <v>251708869.28654999</v>
      </c>
      <c r="Q974" s="654">
        <f t="shared" si="359"/>
        <v>284071369.28654999</v>
      </c>
      <c r="R974" s="654">
        <f>SUM(R938:R973)</f>
        <v>316433869.28654993</v>
      </c>
      <c r="S974" s="654">
        <f>SUM(S938:S973)</f>
        <v>348796369.28654999</v>
      </c>
      <c r="T974" s="816"/>
      <c r="V974" s="654">
        <f t="shared" si="359"/>
        <v>2006527264.7719333</v>
      </c>
      <c r="W974" s="708"/>
      <c r="X974" s="1017"/>
      <c r="Y974" s="718" t="e">
        <f>SUM(Y938:Y955)</f>
        <v>#REF!</v>
      </c>
      <c r="Z974" s="708" t="e">
        <f>Y974/V974-1</f>
        <v>#REF!</v>
      </c>
      <c r="AA974" s="718" t="e">
        <f>SUM(AA938:AA953)</f>
        <v>#REF!</v>
      </c>
      <c r="AB974" s="708" t="e">
        <f>+AA974/Y974-1</f>
        <v>#REF!</v>
      </c>
      <c r="AC974" s="718" t="e">
        <f>SUM(AC938:AC953)</f>
        <v>#REF!</v>
      </c>
      <c r="AD974" s="708" t="e">
        <f>+AC974/AA974-1</f>
        <v>#REF!</v>
      </c>
      <c r="AE974" s="718" t="e">
        <f>SUM(AE938:AE953)</f>
        <v>#REF!</v>
      </c>
      <c r="AF974" s="708" t="e">
        <f>+AE974/AC974-1</f>
        <v>#REF!</v>
      </c>
      <c r="AL974" s="489"/>
      <c r="AM974" s="489"/>
      <c r="AN974" s="489"/>
      <c r="AO974" s="489"/>
      <c r="AP974" s="489"/>
      <c r="AQ974" s="489"/>
      <c r="AR974" s="489"/>
      <c r="AS974" s="489"/>
    </row>
    <row r="975" spans="1:45" s="484" customFormat="1">
      <c r="A975" s="499"/>
      <c r="B975" s="773"/>
      <c r="C975" s="774"/>
      <c r="D975" s="774"/>
      <c r="E975" s="774"/>
      <c r="F975" s="733"/>
      <c r="G975" s="774"/>
      <c r="H975" s="774"/>
      <c r="I975" s="774"/>
      <c r="J975" s="774"/>
      <c r="K975" s="774"/>
      <c r="L975" s="774"/>
      <c r="M975" s="774"/>
      <c r="N975" s="774"/>
      <c r="O975" s="774"/>
      <c r="P975" s="774"/>
      <c r="Q975" s="774"/>
      <c r="R975" s="774"/>
      <c r="S975" s="774"/>
      <c r="T975" s="827"/>
      <c r="V975" s="774"/>
      <c r="W975" s="775"/>
      <c r="X975" s="1030"/>
      <c r="Y975" s="776"/>
      <c r="Z975" s="775"/>
      <c r="AA975" s="776"/>
      <c r="AB975" s="775"/>
      <c r="AC975" s="776"/>
      <c r="AD975" s="775"/>
      <c r="AE975" s="776"/>
      <c r="AF975" s="775"/>
      <c r="AL975" s="489"/>
      <c r="AM975" s="489"/>
      <c r="AN975" s="489"/>
      <c r="AO975" s="489"/>
      <c r="AP975" s="489"/>
      <c r="AQ975" s="489"/>
      <c r="AR975" s="489"/>
      <c r="AS975" s="489"/>
    </row>
    <row r="976" spans="1:45" s="484" customFormat="1">
      <c r="A976" s="490" t="s">
        <v>1147</v>
      </c>
      <c r="B976" s="633"/>
      <c r="C976" s="634"/>
      <c r="D976" s="689"/>
      <c r="E976" s="689"/>
      <c r="F976" s="691"/>
      <c r="G976" s="690">
        <v>42735</v>
      </c>
      <c r="H976" s="690">
        <v>42736</v>
      </c>
      <c r="I976" s="690">
        <v>42768</v>
      </c>
      <c r="J976" s="690">
        <v>42800</v>
      </c>
      <c r="K976" s="690">
        <v>42832</v>
      </c>
      <c r="L976" s="690">
        <v>42864</v>
      </c>
      <c r="M976" s="690">
        <v>42896</v>
      </c>
      <c r="N976" s="690">
        <v>42928</v>
      </c>
      <c r="O976" s="690">
        <v>42960</v>
      </c>
      <c r="P976" s="690">
        <v>42992</v>
      </c>
      <c r="Q976" s="690">
        <v>43024</v>
      </c>
      <c r="R976" s="690">
        <v>43056</v>
      </c>
      <c r="S976" s="690">
        <v>43088</v>
      </c>
      <c r="T976" s="822"/>
      <c r="V976" s="690" t="s">
        <v>1159</v>
      </c>
      <c r="W976" s="692"/>
      <c r="X976" s="1022"/>
      <c r="Y976" s="693"/>
      <c r="Z976" s="693"/>
      <c r="AA976" s="694"/>
      <c r="AB976" s="694"/>
      <c r="AC976" s="694"/>
      <c r="AD976" s="694"/>
      <c r="AE976" s="694"/>
      <c r="AF976" s="694"/>
      <c r="AL976" s="489"/>
      <c r="AM976" s="489"/>
      <c r="AN976" s="489"/>
      <c r="AO976" s="489"/>
      <c r="AP976" s="489"/>
      <c r="AQ976" s="489"/>
      <c r="AR976" s="489"/>
      <c r="AS976" s="489"/>
    </row>
    <row r="977" spans="1:45" s="484" customFormat="1">
      <c r="A977" s="695" t="s">
        <v>1275</v>
      </c>
      <c r="B977" s="638"/>
      <c r="C977" s="639"/>
      <c r="D977" s="639"/>
      <c r="E977" s="493">
        <f>(0+E533)/2*$F977/12</f>
        <v>1433100.0798333334</v>
      </c>
      <c r="F977" s="763">
        <f>+F938</f>
        <v>0.02</v>
      </c>
      <c r="G977" s="493">
        <f>(E533+G533)/2*$F977/12</f>
        <v>2859519.0116916667</v>
      </c>
      <c r="H977" s="493">
        <f t="shared" ref="H977:Q992" si="360">(G533+H533)/2*$F977/12</f>
        <v>2852837.8637166671</v>
      </c>
      <c r="I977" s="493">
        <f t="shared" si="360"/>
        <v>2852837.8637166671</v>
      </c>
      <c r="J977" s="493">
        <f t="shared" si="360"/>
        <v>2852837.8637166671</v>
      </c>
      <c r="K977" s="493">
        <f t="shared" si="360"/>
        <v>2852837.8637166671</v>
      </c>
      <c r="L977" s="493">
        <f t="shared" si="360"/>
        <v>2852837.8637166671</v>
      </c>
      <c r="M977" s="493">
        <f t="shared" si="360"/>
        <v>2852837.8637166671</v>
      </c>
      <c r="N977" s="493">
        <f t="shared" ref="N977:P996" si="361">(M533+N533)/2*$F977/12</f>
        <v>2852837.8637166671</v>
      </c>
      <c r="O977" s="493">
        <f t="shared" si="361"/>
        <v>2852837.8637166671</v>
      </c>
      <c r="P977" s="493">
        <f t="shared" si="361"/>
        <v>2852837.8637166671</v>
      </c>
      <c r="Q977" s="493">
        <f t="shared" si="360"/>
        <v>2852837.8637166671</v>
      </c>
      <c r="R977" s="493">
        <f t="shared" ref="R977:R1011" si="362">(Q533+R533)/2*$F977/12</f>
        <v>2852837.8637166671</v>
      </c>
      <c r="S977" s="493">
        <f t="shared" ref="S977:S1011" si="363">(R533+S533)/2*$F977/12</f>
        <v>2852837.8637166671</v>
      </c>
      <c r="T977" s="794"/>
      <c r="V977" s="641">
        <f t="shared" ref="V977:V1012" si="364">SUM(H977:U977)</f>
        <v>34234054.364599995</v>
      </c>
      <c r="W977" s="704"/>
      <c r="X977" s="1015"/>
      <c r="Y977" s="664">
        <f t="shared" ref="Y977:Y996" si="365">(Y556+V556)/2*Z977</f>
        <v>0</v>
      </c>
      <c r="Z977" s="764">
        <v>0.02</v>
      </c>
      <c r="AA977" s="664">
        <f t="shared" ref="AA977:AA996" si="366">(AA556+Y556)/2*AB977</f>
        <v>0</v>
      </c>
      <c r="AB977" s="764">
        <v>0.02</v>
      </c>
      <c r="AC977" s="664">
        <f t="shared" ref="AC977:AC996" si="367">(AC556+AA556)/2*AD977</f>
        <v>0</v>
      </c>
      <c r="AD977" s="764">
        <v>0.02</v>
      </c>
      <c r="AE977" s="664">
        <f t="shared" ref="AE977:AE996" si="368">(AE556+AC556)/2*AF977</f>
        <v>0</v>
      </c>
      <c r="AF977" s="764">
        <v>0.02</v>
      </c>
      <c r="AL977" s="489"/>
      <c r="AM977" s="489"/>
      <c r="AN977" s="489"/>
      <c r="AO977" s="489"/>
      <c r="AP977" s="489"/>
      <c r="AQ977" s="489"/>
      <c r="AR977" s="489"/>
      <c r="AS977" s="489"/>
    </row>
    <row r="978" spans="1:45" s="484" customFormat="1" ht="14.5">
      <c r="A978" s="695" t="s">
        <v>1276</v>
      </c>
      <c r="B978" s="647"/>
      <c r="C978" s="644"/>
      <c r="D978" s="644"/>
      <c r="E978" s="493">
        <f t="shared" ref="E978:E1011" si="369">(0+E534)/2*$F978/12</f>
        <v>113578.72317447916</v>
      </c>
      <c r="F978" s="763">
        <f t="shared" ref="F978:F1011" si="370">+F939</f>
        <v>1.2500000000000001E-2</v>
      </c>
      <c r="G978" s="493">
        <f t="shared" ref="G978:G1011" si="371">(E534+G534)/2*$F978/12</f>
        <v>222707.58505989585</v>
      </c>
      <c r="H978" s="493">
        <f t="shared" si="360"/>
        <v>218257.72377083334</v>
      </c>
      <c r="I978" s="493">
        <f t="shared" si="360"/>
        <v>218257.72377083334</v>
      </c>
      <c r="J978" s="493">
        <f t="shared" si="360"/>
        <v>218257.72377083334</v>
      </c>
      <c r="K978" s="493">
        <f t="shared" si="360"/>
        <v>218257.72377083334</v>
      </c>
      <c r="L978" s="493">
        <f t="shared" si="360"/>
        <v>218257.72377083334</v>
      </c>
      <c r="M978" s="493">
        <f t="shared" si="360"/>
        <v>218257.72377083334</v>
      </c>
      <c r="N978" s="493">
        <f t="shared" si="361"/>
        <v>218257.72377083334</v>
      </c>
      <c r="O978" s="493">
        <f t="shared" si="361"/>
        <v>218257.72377083334</v>
      </c>
      <c r="P978" s="493">
        <f t="shared" si="361"/>
        <v>218257.72377083334</v>
      </c>
      <c r="Q978" s="493">
        <f t="shared" si="360"/>
        <v>218257.72377083334</v>
      </c>
      <c r="R978" s="493">
        <f t="shared" si="362"/>
        <v>218257.72377083334</v>
      </c>
      <c r="S978" s="493">
        <f t="shared" si="363"/>
        <v>218257.72377083334</v>
      </c>
      <c r="T978" s="794"/>
      <c r="V978" s="641">
        <f t="shared" si="364"/>
        <v>2619092.6852500001</v>
      </c>
      <c r="W978" s="765"/>
      <c r="X978" s="1016"/>
      <c r="Y978" s="675">
        <f t="shared" si="365"/>
        <v>0</v>
      </c>
      <c r="Z978" s="766">
        <v>0.02</v>
      </c>
      <c r="AA978" s="675">
        <f t="shared" si="366"/>
        <v>0</v>
      </c>
      <c r="AB978" s="766">
        <v>0.02</v>
      </c>
      <c r="AC978" s="675">
        <f t="shared" si="367"/>
        <v>0</v>
      </c>
      <c r="AD978" s="766">
        <v>0.02</v>
      </c>
      <c r="AE978" s="675">
        <f t="shared" si="368"/>
        <v>0</v>
      </c>
      <c r="AF978" s="766">
        <v>0.02</v>
      </c>
      <c r="AL978" s="489"/>
      <c r="AM978" s="489"/>
      <c r="AN978" s="489"/>
      <c r="AO978" s="489"/>
      <c r="AP978" s="489"/>
      <c r="AQ978" s="489"/>
      <c r="AR978" s="489"/>
      <c r="AS978" s="489"/>
    </row>
    <row r="979" spans="1:45" s="484" customFormat="1">
      <c r="A979" s="695" t="s">
        <v>1277</v>
      </c>
      <c r="B979" s="638"/>
      <c r="C979" s="639"/>
      <c r="D979" s="639"/>
      <c r="E979" s="493">
        <f t="shared" si="369"/>
        <v>7674.3745530729166</v>
      </c>
      <c r="F979" s="763">
        <f t="shared" si="370"/>
        <v>1.2500000000000001E-2</v>
      </c>
      <c r="G979" s="493">
        <f t="shared" si="371"/>
        <v>412793.6728030729</v>
      </c>
      <c r="H979" s="493">
        <f t="shared" si="360"/>
        <v>810238.59649999999</v>
      </c>
      <c r="I979" s="493">
        <f t="shared" si="360"/>
        <v>810238.59649999999</v>
      </c>
      <c r="J979" s="493">
        <f t="shared" si="360"/>
        <v>810238.59649999999</v>
      </c>
      <c r="K979" s="493">
        <f t="shared" si="360"/>
        <v>810238.59649999999</v>
      </c>
      <c r="L979" s="493">
        <f t="shared" si="360"/>
        <v>810238.59649999999</v>
      </c>
      <c r="M979" s="493">
        <f t="shared" si="360"/>
        <v>810238.59649999999</v>
      </c>
      <c r="N979" s="493">
        <f t="shared" si="361"/>
        <v>810238.59649999999</v>
      </c>
      <c r="O979" s="493">
        <f t="shared" si="361"/>
        <v>810238.59649999999</v>
      </c>
      <c r="P979" s="493">
        <f t="shared" si="361"/>
        <v>810238.59649999999</v>
      </c>
      <c r="Q979" s="493">
        <f t="shared" si="360"/>
        <v>810238.59649999999</v>
      </c>
      <c r="R979" s="493">
        <f t="shared" si="362"/>
        <v>810238.59649999999</v>
      </c>
      <c r="S979" s="493">
        <f t="shared" si="363"/>
        <v>810238.59649999999</v>
      </c>
      <c r="T979" s="794"/>
      <c r="V979" s="641">
        <f t="shared" si="364"/>
        <v>9722863.1579999998</v>
      </c>
      <c r="W979" s="713"/>
      <c r="X979" s="1015"/>
      <c r="Y979" s="675">
        <f t="shared" si="365"/>
        <v>0</v>
      </c>
      <c r="Z979" s="766">
        <v>1.2500000000000001E-2</v>
      </c>
      <c r="AA979" s="675">
        <f t="shared" si="366"/>
        <v>0</v>
      </c>
      <c r="AB979" s="766">
        <v>1.2500000000000001E-2</v>
      </c>
      <c r="AC979" s="675">
        <f t="shared" si="367"/>
        <v>0</v>
      </c>
      <c r="AD979" s="766">
        <v>1.2500000000000001E-2</v>
      </c>
      <c r="AE979" s="675">
        <f t="shared" si="368"/>
        <v>0</v>
      </c>
      <c r="AF979" s="766">
        <v>1.2500000000000001E-2</v>
      </c>
      <c r="AL979" s="489"/>
      <c r="AM979" s="489"/>
      <c r="AN979" s="489"/>
      <c r="AO979" s="489"/>
      <c r="AP979" s="489"/>
      <c r="AQ979" s="489"/>
      <c r="AR979" s="489"/>
      <c r="AS979" s="489"/>
    </row>
    <row r="980" spans="1:45" s="484" customFormat="1" ht="14.5">
      <c r="A980" s="695" t="s">
        <v>1278</v>
      </c>
      <c r="B980" s="647"/>
      <c r="C980" s="644"/>
      <c r="D980" s="644"/>
      <c r="E980" s="493">
        <f t="shared" si="369"/>
        <v>0</v>
      </c>
      <c r="F980" s="763">
        <f t="shared" si="370"/>
        <v>1.2500000000000001E-2</v>
      </c>
      <c r="G980" s="493">
        <f t="shared" si="371"/>
        <v>0</v>
      </c>
      <c r="H980" s="493">
        <f t="shared" si="360"/>
        <v>0</v>
      </c>
      <c r="I980" s="493">
        <f t="shared" si="360"/>
        <v>0</v>
      </c>
      <c r="J980" s="493">
        <f t="shared" si="360"/>
        <v>0</v>
      </c>
      <c r="K980" s="493">
        <f t="shared" si="360"/>
        <v>0</v>
      </c>
      <c r="L980" s="493">
        <f t="shared" si="360"/>
        <v>0</v>
      </c>
      <c r="M980" s="493">
        <f t="shared" si="360"/>
        <v>0</v>
      </c>
      <c r="N980" s="493">
        <f t="shared" si="361"/>
        <v>0</v>
      </c>
      <c r="O980" s="493">
        <f t="shared" si="361"/>
        <v>0</v>
      </c>
      <c r="P980" s="493">
        <f t="shared" si="361"/>
        <v>0</v>
      </c>
      <c r="Q980" s="493">
        <f t="shared" si="360"/>
        <v>0</v>
      </c>
      <c r="R980" s="493">
        <f t="shared" si="362"/>
        <v>0</v>
      </c>
      <c r="S980" s="493">
        <f t="shared" si="363"/>
        <v>0</v>
      </c>
      <c r="T980" s="794"/>
      <c r="V980" s="641">
        <f t="shared" si="364"/>
        <v>0</v>
      </c>
      <c r="W980" s="765"/>
      <c r="X980" s="1016"/>
      <c r="Y980" s="675">
        <f t="shared" si="365"/>
        <v>0</v>
      </c>
      <c r="Z980" s="766">
        <v>1.2500000000000001E-2</v>
      </c>
      <c r="AA980" s="675">
        <f t="shared" si="366"/>
        <v>0</v>
      </c>
      <c r="AB980" s="766">
        <v>1.2500000000000001E-2</v>
      </c>
      <c r="AC980" s="675">
        <f t="shared" si="367"/>
        <v>0</v>
      </c>
      <c r="AD980" s="766">
        <v>1.2500000000000001E-2</v>
      </c>
      <c r="AE980" s="675">
        <f t="shared" si="368"/>
        <v>0</v>
      </c>
      <c r="AF980" s="766">
        <v>1.2500000000000001E-2</v>
      </c>
      <c r="AL980" s="489"/>
      <c r="AM980" s="489"/>
      <c r="AN980" s="489"/>
      <c r="AO980" s="489"/>
      <c r="AP980" s="489"/>
      <c r="AQ980" s="489"/>
      <c r="AR980" s="489"/>
      <c r="AS980" s="489"/>
    </row>
    <row r="981" spans="1:45" s="484" customFormat="1">
      <c r="A981" s="695" t="s">
        <v>1279</v>
      </c>
      <c r="B981" s="638"/>
      <c r="C981" s="639"/>
      <c r="D981" s="639"/>
      <c r="E981" s="493">
        <f t="shared" si="369"/>
        <v>12038471.3159125</v>
      </c>
      <c r="F981" s="763">
        <f t="shared" si="370"/>
        <v>0.03</v>
      </c>
      <c r="G981" s="493">
        <f t="shared" si="371"/>
        <v>22488361.4756875</v>
      </c>
      <c r="H981" s="493">
        <f t="shared" si="360"/>
        <v>20899780.319549996</v>
      </c>
      <c r="I981" s="493">
        <f t="shared" si="360"/>
        <v>20899780.319549996</v>
      </c>
      <c r="J981" s="493">
        <f t="shared" si="360"/>
        <v>20899780.319549996</v>
      </c>
      <c r="K981" s="493">
        <f t="shared" si="360"/>
        <v>20899780.319549996</v>
      </c>
      <c r="L981" s="493">
        <f t="shared" si="360"/>
        <v>20899780.319549996</v>
      </c>
      <c r="M981" s="493">
        <f t="shared" si="360"/>
        <v>20899780.319549996</v>
      </c>
      <c r="N981" s="493">
        <f t="shared" si="361"/>
        <v>20899780.319549996</v>
      </c>
      <c r="O981" s="493">
        <f t="shared" si="361"/>
        <v>20899780.319549996</v>
      </c>
      <c r="P981" s="493">
        <f t="shared" si="361"/>
        <v>20899780.319549996</v>
      </c>
      <c r="Q981" s="493">
        <f t="shared" si="360"/>
        <v>20899780.319549996</v>
      </c>
      <c r="R981" s="493">
        <f t="shared" si="362"/>
        <v>20899780.319549996</v>
      </c>
      <c r="S981" s="493">
        <f t="shared" si="363"/>
        <v>20899780.319549996</v>
      </c>
      <c r="T981" s="794"/>
      <c r="V981" s="641">
        <f t="shared" si="364"/>
        <v>250797363.8346</v>
      </c>
      <c r="W981" s="713"/>
      <c r="X981" s="1015"/>
      <c r="Y981" s="675">
        <f t="shared" si="365"/>
        <v>0</v>
      </c>
      <c r="Z981" s="766">
        <f>1%/1.1</f>
        <v>9.0909090909090905E-3</v>
      </c>
      <c r="AA981" s="675">
        <f t="shared" si="366"/>
        <v>0</v>
      </c>
      <c r="AB981" s="766">
        <f>1%/1.1</f>
        <v>9.0909090909090905E-3</v>
      </c>
      <c r="AC981" s="675">
        <f t="shared" si="367"/>
        <v>0</v>
      </c>
      <c r="AD981" s="766">
        <f>1%/1.1</f>
        <v>9.0909090909090905E-3</v>
      </c>
      <c r="AE981" s="675">
        <f t="shared" si="368"/>
        <v>0</v>
      </c>
      <c r="AF981" s="766">
        <f>1%/1.1</f>
        <v>9.0909090909090905E-3</v>
      </c>
      <c r="AL981" s="489"/>
      <c r="AM981" s="489"/>
      <c r="AN981" s="489"/>
      <c r="AO981" s="489"/>
      <c r="AP981" s="489"/>
      <c r="AQ981" s="489"/>
      <c r="AR981" s="489"/>
      <c r="AS981" s="489"/>
    </row>
    <row r="982" spans="1:45" s="484" customFormat="1" ht="14.5">
      <c r="A982" s="695" t="s">
        <v>1280</v>
      </c>
      <c r="B982" s="647"/>
      <c r="C982" s="644"/>
      <c r="D982" s="644"/>
      <c r="E982" s="493">
        <f t="shared" si="369"/>
        <v>0</v>
      </c>
      <c r="F982" s="763">
        <f t="shared" si="370"/>
        <v>1.2500000000000001E-2</v>
      </c>
      <c r="G982" s="493">
        <f t="shared" si="371"/>
        <v>307866.32204166672</v>
      </c>
      <c r="H982" s="493">
        <f t="shared" si="360"/>
        <v>615732.64408333343</v>
      </c>
      <c r="I982" s="493">
        <f t="shared" si="360"/>
        <v>615732.64408333343</v>
      </c>
      <c r="J982" s="493">
        <f t="shared" si="360"/>
        <v>615732.64408333343</v>
      </c>
      <c r="K982" s="493">
        <f t="shared" si="360"/>
        <v>615732.64408333343</v>
      </c>
      <c r="L982" s="493">
        <f t="shared" si="360"/>
        <v>615732.64408333343</v>
      </c>
      <c r="M982" s="493">
        <f t="shared" si="360"/>
        <v>615732.64408333343</v>
      </c>
      <c r="N982" s="493">
        <f t="shared" si="361"/>
        <v>615732.64408333343</v>
      </c>
      <c r="O982" s="493">
        <f t="shared" si="361"/>
        <v>615732.64408333343</v>
      </c>
      <c r="P982" s="493">
        <f t="shared" si="361"/>
        <v>615732.64408333343</v>
      </c>
      <c r="Q982" s="493">
        <f t="shared" si="360"/>
        <v>615732.64408333343</v>
      </c>
      <c r="R982" s="493">
        <f t="shared" si="362"/>
        <v>615732.64408333343</v>
      </c>
      <c r="S982" s="493">
        <f t="shared" si="363"/>
        <v>615732.64408333343</v>
      </c>
      <c r="T982" s="794"/>
      <c r="V982" s="641">
        <f t="shared" si="364"/>
        <v>7388791.7289999994</v>
      </c>
      <c r="W982" s="765"/>
      <c r="X982" s="1016"/>
      <c r="Y982" s="675">
        <f t="shared" si="365"/>
        <v>0</v>
      </c>
      <c r="Z982" s="766">
        <v>1.2500000000000001E-2</v>
      </c>
      <c r="AA982" s="675">
        <f t="shared" si="366"/>
        <v>0</v>
      </c>
      <c r="AB982" s="766">
        <v>1.2500000000000001E-2</v>
      </c>
      <c r="AC982" s="675">
        <f t="shared" si="367"/>
        <v>0</v>
      </c>
      <c r="AD982" s="766">
        <v>1.2500000000000001E-2</v>
      </c>
      <c r="AE982" s="675">
        <f t="shared" si="368"/>
        <v>0</v>
      </c>
      <c r="AF982" s="766">
        <v>1.2500000000000001E-2</v>
      </c>
      <c r="AL982" s="489"/>
      <c r="AM982" s="489"/>
      <c r="AN982" s="489"/>
      <c r="AO982" s="489"/>
      <c r="AP982" s="489"/>
      <c r="AQ982" s="489"/>
      <c r="AR982" s="489"/>
      <c r="AS982" s="489"/>
    </row>
    <row r="983" spans="1:45" s="484" customFormat="1">
      <c r="A983" s="695" t="s">
        <v>1281</v>
      </c>
      <c r="B983" s="638"/>
      <c r="C983" s="639"/>
      <c r="D983" s="639"/>
      <c r="E983" s="493">
        <f t="shared" si="369"/>
        <v>37.071235049999999</v>
      </c>
      <c r="F983" s="763">
        <f t="shared" si="370"/>
        <v>8.9999999999999993E-3</v>
      </c>
      <c r="G983" s="493">
        <f t="shared" si="371"/>
        <v>38191.770028799998</v>
      </c>
      <c r="H983" s="493">
        <f t="shared" si="360"/>
        <v>76309.397587500003</v>
      </c>
      <c r="I983" s="493">
        <f t="shared" si="360"/>
        <v>76309.397587500003</v>
      </c>
      <c r="J983" s="493">
        <f t="shared" si="360"/>
        <v>76309.397587500003</v>
      </c>
      <c r="K983" s="493">
        <f t="shared" si="360"/>
        <v>76309.397587500003</v>
      </c>
      <c r="L983" s="493">
        <f t="shared" si="360"/>
        <v>76309.397587500003</v>
      </c>
      <c r="M983" s="493">
        <f t="shared" si="360"/>
        <v>76309.397587500003</v>
      </c>
      <c r="N983" s="493">
        <f t="shared" si="361"/>
        <v>76309.397587500003</v>
      </c>
      <c r="O983" s="493">
        <f t="shared" si="361"/>
        <v>76309.397587500003</v>
      </c>
      <c r="P983" s="493">
        <f t="shared" si="361"/>
        <v>76309.397587500003</v>
      </c>
      <c r="Q983" s="493">
        <f t="shared" si="360"/>
        <v>76309.397587500003</v>
      </c>
      <c r="R983" s="493">
        <f t="shared" si="362"/>
        <v>76309.397587500003</v>
      </c>
      <c r="S983" s="493">
        <f t="shared" si="363"/>
        <v>76309.397587500003</v>
      </c>
      <c r="T983" s="794"/>
      <c r="V983" s="641">
        <f t="shared" si="364"/>
        <v>915712.77105000021</v>
      </c>
      <c r="W983" s="713"/>
      <c r="X983" s="1015"/>
      <c r="Y983" s="675">
        <f t="shared" si="365"/>
        <v>0</v>
      </c>
      <c r="Z983" s="766">
        <v>1.2500000000000001E-2</v>
      </c>
      <c r="AA983" s="675">
        <f t="shared" si="366"/>
        <v>0</v>
      </c>
      <c r="AB983" s="766">
        <v>1.2500000000000001E-2</v>
      </c>
      <c r="AC983" s="675">
        <f t="shared" si="367"/>
        <v>0</v>
      </c>
      <c r="AD983" s="766">
        <v>1.2500000000000001E-2</v>
      </c>
      <c r="AE983" s="675">
        <f t="shared" si="368"/>
        <v>0</v>
      </c>
      <c r="AF983" s="766">
        <v>1.2500000000000001E-2</v>
      </c>
      <c r="AL983" s="489"/>
      <c r="AM983" s="489"/>
      <c r="AN983" s="489"/>
      <c r="AO983" s="489"/>
      <c r="AP983" s="489"/>
      <c r="AQ983" s="489"/>
      <c r="AR983" s="489"/>
      <c r="AS983" s="489"/>
    </row>
    <row r="984" spans="1:45" s="484" customFormat="1" ht="14.5">
      <c r="A984" s="695" t="s">
        <v>1282</v>
      </c>
      <c r="B984" s="647"/>
      <c r="C984" s="644"/>
      <c r="D984" s="644"/>
      <c r="E984" s="493">
        <f t="shared" si="369"/>
        <v>0</v>
      </c>
      <c r="F984" s="763">
        <f t="shared" si="370"/>
        <v>0</v>
      </c>
      <c r="G984" s="493">
        <f t="shared" si="371"/>
        <v>0</v>
      </c>
      <c r="H984" s="493">
        <f t="shared" si="360"/>
        <v>0</v>
      </c>
      <c r="I984" s="493">
        <f t="shared" si="360"/>
        <v>0</v>
      </c>
      <c r="J984" s="493">
        <f t="shared" si="360"/>
        <v>0</v>
      </c>
      <c r="K984" s="493">
        <f t="shared" si="360"/>
        <v>0</v>
      </c>
      <c r="L984" s="493">
        <f t="shared" si="360"/>
        <v>0</v>
      </c>
      <c r="M984" s="493">
        <f t="shared" si="360"/>
        <v>0</v>
      </c>
      <c r="N984" s="493">
        <f t="shared" si="361"/>
        <v>0</v>
      </c>
      <c r="O984" s="493">
        <f t="shared" si="361"/>
        <v>0</v>
      </c>
      <c r="P984" s="493">
        <f t="shared" si="361"/>
        <v>0</v>
      </c>
      <c r="Q984" s="493">
        <f t="shared" si="360"/>
        <v>0</v>
      </c>
      <c r="R984" s="493">
        <f t="shared" si="362"/>
        <v>0</v>
      </c>
      <c r="S984" s="493">
        <f t="shared" si="363"/>
        <v>0</v>
      </c>
      <c r="T984" s="794"/>
      <c r="V984" s="641">
        <f t="shared" si="364"/>
        <v>0</v>
      </c>
      <c r="W984" s="765"/>
      <c r="X984" s="1016"/>
      <c r="Y984" s="675">
        <f t="shared" si="365"/>
        <v>0</v>
      </c>
      <c r="Z984" s="766">
        <v>1.2500000000000001E-2</v>
      </c>
      <c r="AA984" s="675">
        <f t="shared" si="366"/>
        <v>0</v>
      </c>
      <c r="AB984" s="766">
        <v>1.2500000000000001E-2</v>
      </c>
      <c r="AC984" s="675">
        <f t="shared" si="367"/>
        <v>0</v>
      </c>
      <c r="AD984" s="766">
        <v>1.2500000000000001E-2</v>
      </c>
      <c r="AE984" s="675">
        <f t="shared" si="368"/>
        <v>0</v>
      </c>
      <c r="AF984" s="766">
        <v>1.2500000000000001E-2</v>
      </c>
      <c r="AL984" s="489"/>
      <c r="AM984" s="489"/>
      <c r="AN984" s="489"/>
      <c r="AO984" s="489"/>
      <c r="AP984" s="489"/>
      <c r="AQ984" s="489"/>
      <c r="AR984" s="489"/>
      <c r="AS984" s="489"/>
    </row>
    <row r="985" spans="1:45" s="484" customFormat="1">
      <c r="A985" s="695" t="s">
        <v>1283</v>
      </c>
      <c r="B985" s="638"/>
      <c r="C985" s="639"/>
      <c r="D985" s="639"/>
      <c r="E985" s="493">
        <f t="shared" si="369"/>
        <v>0</v>
      </c>
      <c r="F985" s="763">
        <f t="shared" si="370"/>
        <v>0</v>
      </c>
      <c r="G985" s="493">
        <f t="shared" si="371"/>
        <v>0</v>
      </c>
      <c r="H985" s="493">
        <f t="shared" si="360"/>
        <v>0</v>
      </c>
      <c r="I985" s="493">
        <f t="shared" si="360"/>
        <v>0</v>
      </c>
      <c r="J985" s="493">
        <f t="shared" si="360"/>
        <v>0</v>
      </c>
      <c r="K985" s="493">
        <f t="shared" si="360"/>
        <v>0</v>
      </c>
      <c r="L985" s="493">
        <f t="shared" si="360"/>
        <v>0</v>
      </c>
      <c r="M985" s="493">
        <f t="shared" si="360"/>
        <v>0</v>
      </c>
      <c r="N985" s="493">
        <f t="shared" si="361"/>
        <v>0</v>
      </c>
      <c r="O985" s="493">
        <f t="shared" si="361"/>
        <v>0</v>
      </c>
      <c r="P985" s="493">
        <f t="shared" si="361"/>
        <v>0</v>
      </c>
      <c r="Q985" s="493">
        <f t="shared" si="360"/>
        <v>0</v>
      </c>
      <c r="R985" s="493">
        <f t="shared" si="362"/>
        <v>0</v>
      </c>
      <c r="S985" s="493">
        <f t="shared" si="363"/>
        <v>0</v>
      </c>
      <c r="T985" s="794"/>
      <c r="V985" s="641">
        <f t="shared" si="364"/>
        <v>0</v>
      </c>
      <c r="W985" s="713"/>
      <c r="X985" s="1015"/>
      <c r="Y985" s="675">
        <f t="shared" si="365"/>
        <v>0</v>
      </c>
      <c r="Z985" s="766">
        <v>1.2500000000000001E-2</v>
      </c>
      <c r="AA985" s="675">
        <f t="shared" si="366"/>
        <v>0</v>
      </c>
      <c r="AB985" s="766">
        <v>1.2500000000000001E-2</v>
      </c>
      <c r="AC985" s="675">
        <f t="shared" si="367"/>
        <v>0</v>
      </c>
      <c r="AD985" s="766">
        <v>1.2500000000000001E-2</v>
      </c>
      <c r="AE985" s="675">
        <f t="shared" si="368"/>
        <v>0</v>
      </c>
      <c r="AF985" s="766">
        <v>1.2500000000000001E-2</v>
      </c>
      <c r="AL985" s="489"/>
      <c r="AM985" s="489"/>
      <c r="AN985" s="489"/>
      <c r="AO985" s="489"/>
      <c r="AP985" s="489"/>
      <c r="AQ985" s="489"/>
      <c r="AR985" s="489"/>
      <c r="AS985" s="489"/>
    </row>
    <row r="986" spans="1:45" s="484" customFormat="1" ht="14.5">
      <c r="A986" s="695" t="s">
        <v>1284</v>
      </c>
      <c r="B986" s="647"/>
      <c r="C986" s="644"/>
      <c r="D986" s="644"/>
      <c r="E986" s="493">
        <f t="shared" si="369"/>
        <v>9666081.1976868752</v>
      </c>
      <c r="F986" s="763">
        <f t="shared" si="370"/>
        <v>1.4999999999999999E-2</v>
      </c>
      <c r="G986" s="493">
        <f t="shared" si="371"/>
        <v>22552517.356743127</v>
      </c>
      <c r="H986" s="493">
        <f t="shared" si="360"/>
        <v>27335372.318112504</v>
      </c>
      <c r="I986" s="493">
        <f t="shared" si="360"/>
        <v>30460372.318112504</v>
      </c>
      <c r="J986" s="493">
        <f t="shared" si="360"/>
        <v>33585372.3181125</v>
      </c>
      <c r="K986" s="493">
        <f t="shared" si="360"/>
        <v>36710372.3181125</v>
      </c>
      <c r="L986" s="493">
        <f t="shared" si="360"/>
        <v>39835372.3181125</v>
      </c>
      <c r="M986" s="493">
        <f t="shared" si="360"/>
        <v>42960372.318112507</v>
      </c>
      <c r="N986" s="493">
        <f t="shared" si="361"/>
        <v>46085372.3181125</v>
      </c>
      <c r="O986" s="493">
        <f t="shared" si="361"/>
        <v>49210372.3181125</v>
      </c>
      <c r="P986" s="493">
        <f t="shared" si="361"/>
        <v>52335372.3181125</v>
      </c>
      <c r="Q986" s="493">
        <f t="shared" si="360"/>
        <v>55460372.3181125</v>
      </c>
      <c r="R986" s="493">
        <f t="shared" si="362"/>
        <v>58585372.3181125</v>
      </c>
      <c r="S986" s="493">
        <f t="shared" si="363"/>
        <v>61710372.3181125</v>
      </c>
      <c r="T986" s="794"/>
      <c r="V986" s="641">
        <f t="shared" si="364"/>
        <v>534274467.81734997</v>
      </c>
      <c r="W986" s="765"/>
      <c r="X986" s="1016"/>
      <c r="Y986" s="675">
        <f t="shared" si="365"/>
        <v>0</v>
      </c>
      <c r="Z986" s="766">
        <v>1.2500000000000001E-2</v>
      </c>
      <c r="AA986" s="675">
        <f t="shared" si="366"/>
        <v>0</v>
      </c>
      <c r="AB986" s="766">
        <v>1.2500000000000001E-2</v>
      </c>
      <c r="AC986" s="675">
        <f t="shared" si="367"/>
        <v>0</v>
      </c>
      <c r="AD986" s="766">
        <v>1.2500000000000001E-2</v>
      </c>
      <c r="AE986" s="675">
        <f t="shared" si="368"/>
        <v>0</v>
      </c>
      <c r="AF986" s="766">
        <v>1.2500000000000001E-2</v>
      </c>
      <c r="AL986" s="489"/>
      <c r="AM986" s="489"/>
      <c r="AN986" s="489"/>
      <c r="AO986" s="489"/>
      <c r="AP986" s="489"/>
      <c r="AQ986" s="489"/>
      <c r="AR986" s="489"/>
      <c r="AS986" s="489"/>
    </row>
    <row r="987" spans="1:45" s="484" customFormat="1">
      <c r="A987" s="695" t="s">
        <v>1285</v>
      </c>
      <c r="B987" s="638"/>
      <c r="C987" s="639"/>
      <c r="D987" s="639"/>
      <c r="E987" s="493">
        <f t="shared" si="369"/>
        <v>23038388.510111872</v>
      </c>
      <c r="F987" s="763">
        <f t="shared" si="370"/>
        <v>1.4999999999999999E-2</v>
      </c>
      <c r="G987" s="493">
        <f t="shared" si="371"/>
        <v>47479327.655168124</v>
      </c>
      <c r="H987" s="493">
        <f t="shared" si="360"/>
        <v>50444378.290112495</v>
      </c>
      <c r="I987" s="493">
        <f t="shared" si="360"/>
        <v>53569378.290112495</v>
      </c>
      <c r="J987" s="493">
        <f t="shared" si="360"/>
        <v>56694378.290112495</v>
      </c>
      <c r="K987" s="493">
        <f t="shared" si="360"/>
        <v>59819378.290112495</v>
      </c>
      <c r="L987" s="493">
        <f t="shared" si="360"/>
        <v>62944378.290112495</v>
      </c>
      <c r="M987" s="493">
        <f t="shared" si="360"/>
        <v>66069378.290112495</v>
      </c>
      <c r="N987" s="493">
        <f t="shared" si="361"/>
        <v>69194378.290112495</v>
      </c>
      <c r="O987" s="493">
        <f t="shared" si="361"/>
        <v>72319378.290112495</v>
      </c>
      <c r="P987" s="493">
        <f t="shared" si="361"/>
        <v>75444378.290112495</v>
      </c>
      <c r="Q987" s="493">
        <f t="shared" si="360"/>
        <v>78569378.290112495</v>
      </c>
      <c r="R987" s="493">
        <f t="shared" si="362"/>
        <v>81694378.290112495</v>
      </c>
      <c r="S987" s="493">
        <f t="shared" si="363"/>
        <v>84819378.290112495</v>
      </c>
      <c r="T987" s="794"/>
      <c r="V987" s="641">
        <f t="shared" si="364"/>
        <v>811582539.48134995</v>
      </c>
      <c r="W987" s="713"/>
      <c r="X987" s="1015"/>
      <c r="Y987" s="675">
        <f t="shared" si="365"/>
        <v>0</v>
      </c>
      <c r="Z987" s="766">
        <v>1.2500000000000001E-2</v>
      </c>
      <c r="AA987" s="675">
        <f t="shared" si="366"/>
        <v>0</v>
      </c>
      <c r="AB987" s="766">
        <v>1.2500000000000001E-2</v>
      </c>
      <c r="AC987" s="675">
        <f t="shared" si="367"/>
        <v>0</v>
      </c>
      <c r="AD987" s="766">
        <v>1.2500000000000001E-2</v>
      </c>
      <c r="AE987" s="675">
        <f t="shared" si="368"/>
        <v>0</v>
      </c>
      <c r="AF987" s="766">
        <v>1.2500000000000001E-2</v>
      </c>
      <c r="AL987" s="489"/>
      <c r="AM987" s="489"/>
      <c r="AN987" s="489"/>
      <c r="AO987" s="489"/>
      <c r="AP987" s="489"/>
      <c r="AQ987" s="489"/>
      <c r="AR987" s="489"/>
      <c r="AS987" s="489"/>
    </row>
    <row r="988" spans="1:45" s="484" customFormat="1" ht="14.5">
      <c r="A988" s="695" t="s">
        <v>1286</v>
      </c>
      <c r="B988" s="647"/>
      <c r="C988" s="644"/>
      <c r="D988" s="644"/>
      <c r="E988" s="493">
        <f t="shared" si="369"/>
        <v>0</v>
      </c>
      <c r="F988" s="763">
        <f t="shared" si="370"/>
        <v>1.2500000000000001E-2</v>
      </c>
      <c r="G988" s="493">
        <f t="shared" si="371"/>
        <v>0</v>
      </c>
      <c r="H988" s="493">
        <f t="shared" si="360"/>
        <v>0</v>
      </c>
      <c r="I988" s="493">
        <f t="shared" si="360"/>
        <v>0</v>
      </c>
      <c r="J988" s="493">
        <f t="shared" si="360"/>
        <v>0</v>
      </c>
      <c r="K988" s="493">
        <f t="shared" si="360"/>
        <v>0</v>
      </c>
      <c r="L988" s="493">
        <f t="shared" si="360"/>
        <v>0</v>
      </c>
      <c r="M988" s="493">
        <f t="shared" si="360"/>
        <v>0</v>
      </c>
      <c r="N988" s="493">
        <f t="shared" si="361"/>
        <v>0</v>
      </c>
      <c r="O988" s="493">
        <f t="shared" si="361"/>
        <v>0</v>
      </c>
      <c r="P988" s="493">
        <f t="shared" si="361"/>
        <v>0</v>
      </c>
      <c r="Q988" s="493">
        <f t="shared" si="360"/>
        <v>0</v>
      </c>
      <c r="R988" s="493">
        <f t="shared" si="362"/>
        <v>0</v>
      </c>
      <c r="S988" s="493">
        <f t="shared" si="363"/>
        <v>0</v>
      </c>
      <c r="T988" s="794"/>
      <c r="V988" s="641">
        <f t="shared" si="364"/>
        <v>0</v>
      </c>
      <c r="W988" s="765"/>
      <c r="X988" s="1016"/>
      <c r="Y988" s="675">
        <f t="shared" si="365"/>
        <v>0</v>
      </c>
      <c r="Z988" s="766">
        <f>1%/1.1</f>
        <v>9.0909090909090905E-3</v>
      </c>
      <c r="AA988" s="675">
        <f t="shared" si="366"/>
        <v>0</v>
      </c>
      <c r="AB988" s="766">
        <f>1%/1.1</f>
        <v>9.0909090909090905E-3</v>
      </c>
      <c r="AC988" s="675">
        <f t="shared" si="367"/>
        <v>0</v>
      </c>
      <c r="AD988" s="766">
        <f>1%/1.1</f>
        <v>9.0909090909090905E-3</v>
      </c>
      <c r="AE988" s="675">
        <f t="shared" si="368"/>
        <v>0</v>
      </c>
      <c r="AF988" s="766">
        <f>1%/1.1</f>
        <v>9.0909090909090905E-3</v>
      </c>
      <c r="AL988" s="489"/>
      <c r="AM988" s="489"/>
      <c r="AN988" s="489"/>
      <c r="AO988" s="489"/>
      <c r="AP988" s="489"/>
      <c r="AQ988" s="489"/>
      <c r="AR988" s="489"/>
      <c r="AS988" s="489"/>
    </row>
    <row r="989" spans="1:45" s="484" customFormat="1">
      <c r="A989" s="695" t="s">
        <v>1287</v>
      </c>
      <c r="B989" s="638"/>
      <c r="C989" s="639"/>
      <c r="D989" s="639"/>
      <c r="E989" s="493">
        <f t="shared" si="369"/>
        <v>0</v>
      </c>
      <c r="F989" s="763">
        <f t="shared" si="370"/>
        <v>1.2500000000000001E-2</v>
      </c>
      <c r="G989" s="493">
        <f t="shared" si="371"/>
        <v>0</v>
      </c>
      <c r="H989" s="493">
        <f t="shared" si="360"/>
        <v>0</v>
      </c>
      <c r="I989" s="493">
        <f t="shared" si="360"/>
        <v>0</v>
      </c>
      <c r="J989" s="493">
        <f t="shared" si="360"/>
        <v>0</v>
      </c>
      <c r="K989" s="493">
        <f t="shared" si="360"/>
        <v>0</v>
      </c>
      <c r="L989" s="493">
        <f t="shared" si="360"/>
        <v>0</v>
      </c>
      <c r="M989" s="493">
        <f t="shared" si="360"/>
        <v>0</v>
      </c>
      <c r="N989" s="493">
        <f t="shared" si="361"/>
        <v>0</v>
      </c>
      <c r="O989" s="493">
        <f t="shared" si="361"/>
        <v>0</v>
      </c>
      <c r="P989" s="493">
        <f t="shared" si="361"/>
        <v>0</v>
      </c>
      <c r="Q989" s="493">
        <f t="shared" si="360"/>
        <v>0</v>
      </c>
      <c r="R989" s="493">
        <f t="shared" si="362"/>
        <v>0</v>
      </c>
      <c r="S989" s="493">
        <f t="shared" si="363"/>
        <v>0</v>
      </c>
      <c r="T989" s="794"/>
      <c r="V989" s="641">
        <f t="shared" si="364"/>
        <v>0</v>
      </c>
      <c r="W989" s="713"/>
      <c r="X989" s="1015"/>
      <c r="Y989" s="675">
        <f t="shared" si="365"/>
        <v>0</v>
      </c>
      <c r="Z989" s="766">
        <v>1.5E-3</v>
      </c>
      <c r="AA989" s="675">
        <f t="shared" si="366"/>
        <v>0</v>
      </c>
      <c r="AB989" s="766">
        <v>1.5E-3</v>
      </c>
      <c r="AC989" s="675">
        <f t="shared" si="367"/>
        <v>0</v>
      </c>
      <c r="AD989" s="766">
        <v>1.5E-3</v>
      </c>
      <c r="AE989" s="675">
        <f t="shared" si="368"/>
        <v>0</v>
      </c>
      <c r="AF989" s="766">
        <v>1.5E-3</v>
      </c>
      <c r="AL989" s="489"/>
      <c r="AM989" s="489"/>
      <c r="AN989" s="489"/>
      <c r="AO989" s="489"/>
      <c r="AP989" s="489"/>
      <c r="AQ989" s="489"/>
      <c r="AR989" s="489"/>
      <c r="AS989" s="489"/>
    </row>
    <row r="990" spans="1:45" s="484" customFormat="1" ht="14.5">
      <c r="A990" s="695" t="s">
        <v>1288</v>
      </c>
      <c r="B990" s="647"/>
      <c r="C990" s="644"/>
      <c r="D990" s="644"/>
      <c r="E990" s="493">
        <f t="shared" si="369"/>
        <v>0</v>
      </c>
      <c r="F990" s="763">
        <f t="shared" si="370"/>
        <v>1.75E-3</v>
      </c>
      <c r="G990" s="493">
        <f t="shared" si="371"/>
        <v>0</v>
      </c>
      <c r="H990" s="493">
        <f t="shared" si="360"/>
        <v>0</v>
      </c>
      <c r="I990" s="493">
        <f t="shared" si="360"/>
        <v>0</v>
      </c>
      <c r="J990" s="493">
        <f t="shared" si="360"/>
        <v>0</v>
      </c>
      <c r="K990" s="493">
        <f t="shared" si="360"/>
        <v>0</v>
      </c>
      <c r="L990" s="493">
        <f t="shared" si="360"/>
        <v>0</v>
      </c>
      <c r="M990" s="493">
        <f t="shared" si="360"/>
        <v>0</v>
      </c>
      <c r="N990" s="493">
        <f t="shared" si="361"/>
        <v>0</v>
      </c>
      <c r="O990" s="493">
        <f t="shared" si="361"/>
        <v>0</v>
      </c>
      <c r="P990" s="493">
        <f t="shared" si="361"/>
        <v>0</v>
      </c>
      <c r="Q990" s="493">
        <f t="shared" si="360"/>
        <v>0</v>
      </c>
      <c r="R990" s="493">
        <f t="shared" si="362"/>
        <v>0</v>
      </c>
      <c r="S990" s="493">
        <f t="shared" si="363"/>
        <v>0</v>
      </c>
      <c r="T990" s="794"/>
      <c r="V990" s="641">
        <f t="shared" si="364"/>
        <v>0</v>
      </c>
      <c r="W990" s="765"/>
      <c r="X990" s="1016"/>
      <c r="Y990" s="675">
        <f t="shared" si="365"/>
        <v>1923982863.7303376</v>
      </c>
      <c r="Z990" s="766">
        <v>1.2500000000000001E-2</v>
      </c>
      <c r="AA990" s="675">
        <f t="shared" si="366"/>
        <v>1455431816.6526601</v>
      </c>
      <c r="AB990" s="766">
        <v>1.2500000000000001E-2</v>
      </c>
      <c r="AC990" s="675">
        <f t="shared" si="367"/>
        <v>2122504732.6184626</v>
      </c>
      <c r="AD990" s="766">
        <v>1.2500000000000001E-2</v>
      </c>
      <c r="AE990" s="675">
        <f t="shared" si="368"/>
        <v>2865381389.0349245</v>
      </c>
      <c r="AF990" s="766">
        <v>1.2500000000000001E-2</v>
      </c>
      <c r="AL990" s="489"/>
      <c r="AM990" s="489"/>
      <c r="AN990" s="489"/>
      <c r="AO990" s="489"/>
      <c r="AP990" s="489"/>
      <c r="AQ990" s="489"/>
      <c r="AR990" s="489"/>
      <c r="AS990" s="489"/>
    </row>
    <row r="991" spans="1:45" s="484" customFormat="1">
      <c r="A991" s="695" t="s">
        <v>1289</v>
      </c>
      <c r="B991" s="647"/>
      <c r="C991" s="648"/>
      <c r="D991" s="639"/>
      <c r="E991" s="493">
        <f t="shared" si="369"/>
        <v>0</v>
      </c>
      <c r="F991" s="763">
        <f t="shared" si="370"/>
        <v>1.125E-2</v>
      </c>
      <c r="G991" s="493">
        <f t="shared" si="371"/>
        <v>0</v>
      </c>
      <c r="H991" s="493">
        <f t="shared" si="360"/>
        <v>0</v>
      </c>
      <c r="I991" s="493">
        <f t="shared" si="360"/>
        <v>0</v>
      </c>
      <c r="J991" s="493">
        <f t="shared" si="360"/>
        <v>0</v>
      </c>
      <c r="K991" s="493">
        <f t="shared" si="360"/>
        <v>0</v>
      </c>
      <c r="L991" s="493">
        <f t="shared" si="360"/>
        <v>0</v>
      </c>
      <c r="M991" s="493">
        <f t="shared" si="360"/>
        <v>0</v>
      </c>
      <c r="N991" s="493">
        <f t="shared" si="361"/>
        <v>0</v>
      </c>
      <c r="O991" s="493">
        <f t="shared" si="361"/>
        <v>0</v>
      </c>
      <c r="P991" s="493">
        <f t="shared" si="361"/>
        <v>0</v>
      </c>
      <c r="Q991" s="493">
        <f t="shared" si="360"/>
        <v>0</v>
      </c>
      <c r="R991" s="493">
        <f t="shared" si="362"/>
        <v>0</v>
      </c>
      <c r="S991" s="493">
        <f t="shared" si="363"/>
        <v>0</v>
      </c>
      <c r="T991" s="794"/>
      <c r="V991" s="641">
        <f t="shared" si="364"/>
        <v>0</v>
      </c>
      <c r="W991" s="713"/>
      <c r="X991" s="1015"/>
      <c r="Y991" s="675">
        <f t="shared" si="365"/>
        <v>0</v>
      </c>
      <c r="Z991" s="766">
        <v>3.0000000000000001E-3</v>
      </c>
      <c r="AA991" s="675">
        <f t="shared" si="366"/>
        <v>0</v>
      </c>
      <c r="AB991" s="766">
        <v>3.0000000000000001E-3</v>
      </c>
      <c r="AC991" s="675">
        <f t="shared" si="367"/>
        <v>0</v>
      </c>
      <c r="AD991" s="766">
        <v>3.0000000000000001E-3</v>
      </c>
      <c r="AE991" s="675">
        <f t="shared" si="368"/>
        <v>0</v>
      </c>
      <c r="AF991" s="766">
        <v>3.0000000000000001E-3</v>
      </c>
      <c r="AL991" s="489"/>
      <c r="AM991" s="489"/>
      <c r="AN991" s="489"/>
      <c r="AO991" s="489"/>
      <c r="AP991" s="489"/>
      <c r="AQ991" s="489"/>
      <c r="AR991" s="489"/>
      <c r="AS991" s="489"/>
    </row>
    <row r="992" spans="1:45" s="484" customFormat="1" ht="14.5">
      <c r="A992" s="695" t="s">
        <v>1290</v>
      </c>
      <c r="B992" s="647"/>
      <c r="C992" s="644"/>
      <c r="D992" s="644"/>
      <c r="E992" s="493">
        <f t="shared" si="369"/>
        <v>0</v>
      </c>
      <c r="F992" s="763">
        <f t="shared" si="370"/>
        <v>1.5E-3</v>
      </c>
      <c r="G992" s="493">
        <f t="shared" si="371"/>
        <v>0</v>
      </c>
      <c r="H992" s="493">
        <f t="shared" si="360"/>
        <v>0</v>
      </c>
      <c r="I992" s="493">
        <f t="shared" si="360"/>
        <v>0</v>
      </c>
      <c r="J992" s="493">
        <f t="shared" si="360"/>
        <v>0</v>
      </c>
      <c r="K992" s="493">
        <f t="shared" si="360"/>
        <v>0</v>
      </c>
      <c r="L992" s="493">
        <f t="shared" si="360"/>
        <v>0</v>
      </c>
      <c r="M992" s="493">
        <f t="shared" si="360"/>
        <v>0</v>
      </c>
      <c r="N992" s="493">
        <f t="shared" si="361"/>
        <v>0</v>
      </c>
      <c r="O992" s="493">
        <f t="shared" si="361"/>
        <v>0</v>
      </c>
      <c r="P992" s="493">
        <f t="shared" si="361"/>
        <v>0</v>
      </c>
      <c r="Q992" s="493">
        <f t="shared" si="360"/>
        <v>0</v>
      </c>
      <c r="R992" s="493">
        <f t="shared" si="362"/>
        <v>0</v>
      </c>
      <c r="S992" s="493">
        <f t="shared" si="363"/>
        <v>0</v>
      </c>
      <c r="T992" s="794"/>
      <c r="V992" s="641">
        <f t="shared" si="364"/>
        <v>0</v>
      </c>
      <c r="W992" s="488"/>
      <c r="X992" s="1016"/>
      <c r="Y992" s="675">
        <f t="shared" si="365"/>
        <v>0.68578000000000006</v>
      </c>
      <c r="Z992" s="767">
        <v>6.8000000000000005E-4</v>
      </c>
      <c r="AA992" s="675">
        <f t="shared" si="366"/>
        <v>0</v>
      </c>
      <c r="AB992" s="767">
        <v>6.8000000000000005E-4</v>
      </c>
      <c r="AC992" s="675">
        <f t="shared" si="367"/>
        <v>0</v>
      </c>
      <c r="AD992" s="767">
        <v>6.8000000000000005E-4</v>
      </c>
      <c r="AE992" s="675">
        <f t="shared" si="368"/>
        <v>0</v>
      </c>
      <c r="AF992" s="767">
        <v>6.8000000000000005E-4</v>
      </c>
      <c r="AL992" s="489"/>
      <c r="AM992" s="489"/>
      <c r="AN992" s="489"/>
      <c r="AO992" s="489"/>
      <c r="AP992" s="489"/>
      <c r="AQ992" s="489"/>
      <c r="AR992" s="489"/>
      <c r="AS992" s="489"/>
    </row>
    <row r="993" spans="1:45" s="484" customFormat="1">
      <c r="A993" s="695" t="s">
        <v>1291</v>
      </c>
      <c r="B993" s="647"/>
      <c r="C993" s="648"/>
      <c r="D993" s="639"/>
      <c r="E993" s="493">
        <f t="shared" si="369"/>
        <v>0</v>
      </c>
      <c r="F993" s="763">
        <f t="shared" si="370"/>
        <v>1.4999999999999999E-2</v>
      </c>
      <c r="G993" s="493">
        <f t="shared" si="371"/>
        <v>0</v>
      </c>
      <c r="H993" s="493">
        <f t="shared" ref="H993:Q1008" si="372">(G549+H549)/2*$F993/12</f>
        <v>0</v>
      </c>
      <c r="I993" s="493">
        <f t="shared" si="372"/>
        <v>0</v>
      </c>
      <c r="J993" s="493">
        <f t="shared" si="372"/>
        <v>0</v>
      </c>
      <c r="K993" s="493">
        <f t="shared" si="372"/>
        <v>0</v>
      </c>
      <c r="L993" s="493">
        <f t="shared" si="372"/>
        <v>0</v>
      </c>
      <c r="M993" s="493">
        <f t="shared" si="372"/>
        <v>0</v>
      </c>
      <c r="N993" s="493">
        <f t="shared" si="361"/>
        <v>0</v>
      </c>
      <c r="O993" s="493">
        <f t="shared" si="361"/>
        <v>0</v>
      </c>
      <c r="P993" s="493">
        <f t="shared" si="361"/>
        <v>0</v>
      </c>
      <c r="Q993" s="493">
        <f t="shared" si="372"/>
        <v>0</v>
      </c>
      <c r="R993" s="493">
        <f t="shared" si="362"/>
        <v>0</v>
      </c>
      <c r="S993" s="493">
        <f t="shared" si="363"/>
        <v>0</v>
      </c>
      <c r="T993" s="794"/>
      <c r="V993" s="641">
        <f t="shared" si="364"/>
        <v>0</v>
      </c>
      <c r="W993" s="713"/>
      <c r="X993" s="1015"/>
      <c r="Y993" s="675">
        <f t="shared" si="365"/>
        <v>0</v>
      </c>
      <c r="Z993" s="767">
        <v>7.5000000000000002E-4</v>
      </c>
      <c r="AA993" s="675">
        <f t="shared" si="366"/>
        <v>0</v>
      </c>
      <c r="AB993" s="767">
        <v>7.5000000000000002E-4</v>
      </c>
      <c r="AC993" s="675">
        <f t="shared" si="367"/>
        <v>0</v>
      </c>
      <c r="AD993" s="767">
        <v>7.5000000000000002E-4</v>
      </c>
      <c r="AE993" s="675">
        <f t="shared" si="368"/>
        <v>0</v>
      </c>
      <c r="AF993" s="767">
        <v>7.5000000000000002E-4</v>
      </c>
      <c r="AL993" s="489"/>
      <c r="AM993" s="489"/>
      <c r="AN993" s="489"/>
      <c r="AO993" s="489"/>
      <c r="AP993" s="489"/>
      <c r="AQ993" s="489"/>
      <c r="AR993" s="489"/>
      <c r="AS993" s="489"/>
    </row>
    <row r="994" spans="1:45" s="484" customFormat="1" ht="14.5">
      <c r="A994" s="695" t="s">
        <v>1292</v>
      </c>
      <c r="B994" s="647"/>
      <c r="C994" s="644"/>
      <c r="D994" s="644"/>
      <c r="E994" s="493">
        <f t="shared" si="369"/>
        <v>0</v>
      </c>
      <c r="F994" s="763">
        <f t="shared" si="370"/>
        <v>1.4999999999999999E-2</v>
      </c>
      <c r="G994" s="493">
        <f t="shared" si="371"/>
        <v>0</v>
      </c>
      <c r="H994" s="493">
        <f t="shared" si="372"/>
        <v>0</v>
      </c>
      <c r="I994" s="493">
        <f t="shared" si="372"/>
        <v>0</v>
      </c>
      <c r="J994" s="493">
        <f t="shared" si="372"/>
        <v>0</v>
      </c>
      <c r="K994" s="493">
        <f t="shared" si="372"/>
        <v>0</v>
      </c>
      <c r="L994" s="493">
        <f t="shared" si="372"/>
        <v>0</v>
      </c>
      <c r="M994" s="493">
        <f t="shared" si="372"/>
        <v>0</v>
      </c>
      <c r="N994" s="493">
        <f t="shared" si="361"/>
        <v>0</v>
      </c>
      <c r="O994" s="493">
        <f t="shared" si="361"/>
        <v>0</v>
      </c>
      <c r="P994" s="493">
        <f t="shared" si="361"/>
        <v>0</v>
      </c>
      <c r="Q994" s="493">
        <f t="shared" si="372"/>
        <v>0</v>
      </c>
      <c r="R994" s="493">
        <f t="shared" si="362"/>
        <v>0</v>
      </c>
      <c r="S994" s="493">
        <f t="shared" si="363"/>
        <v>0</v>
      </c>
      <c r="T994" s="794"/>
      <c r="V994" s="641">
        <f t="shared" si="364"/>
        <v>0</v>
      </c>
      <c r="W994" s="488"/>
      <c r="X994" s="1016"/>
      <c r="Y994" s="675">
        <f t="shared" si="365"/>
        <v>899999.99999999988</v>
      </c>
      <c r="Z994" s="767">
        <f>0.3%/1.1</f>
        <v>2.7272727272727271E-3</v>
      </c>
      <c r="AA994" s="675">
        <f t="shared" si="366"/>
        <v>1178181.8181818181</v>
      </c>
      <c r="AB994" s="767">
        <f>0.3%/1.1</f>
        <v>2.7272727272727271E-3</v>
      </c>
      <c r="AC994" s="675">
        <f t="shared" si="367"/>
        <v>1718181.8181818177</v>
      </c>
      <c r="AD994" s="767">
        <f>0.3%/1.1</f>
        <v>2.7272727272727271E-3</v>
      </c>
      <c r="AE994" s="675">
        <f t="shared" si="368"/>
        <v>2319545.4545454541</v>
      </c>
      <c r="AF994" s="767">
        <f>0.3%/1.1</f>
        <v>2.7272727272727271E-3</v>
      </c>
      <c r="AL994" s="489"/>
      <c r="AM994" s="489"/>
      <c r="AN994" s="489"/>
      <c r="AO994" s="489"/>
      <c r="AP994" s="489"/>
      <c r="AQ994" s="489"/>
      <c r="AR994" s="489"/>
      <c r="AS994" s="489"/>
    </row>
    <row r="995" spans="1:45" s="484" customFormat="1" ht="14.5">
      <c r="A995" s="695" t="s">
        <v>1293</v>
      </c>
      <c r="B995" s="647"/>
      <c r="C995" s="644"/>
      <c r="D995" s="644"/>
      <c r="E995" s="493">
        <f t="shared" si="369"/>
        <v>0</v>
      </c>
      <c r="F995" s="763">
        <f t="shared" si="370"/>
        <v>1.4999999999999999E-2</v>
      </c>
      <c r="G995" s="493">
        <f t="shared" si="371"/>
        <v>0</v>
      </c>
      <c r="H995" s="493">
        <f t="shared" si="372"/>
        <v>0</v>
      </c>
      <c r="I995" s="493">
        <f t="shared" si="372"/>
        <v>0</v>
      </c>
      <c r="J995" s="493">
        <f t="shared" si="372"/>
        <v>0</v>
      </c>
      <c r="K995" s="493">
        <f t="shared" si="372"/>
        <v>0</v>
      </c>
      <c r="L995" s="493">
        <f t="shared" si="372"/>
        <v>0</v>
      </c>
      <c r="M995" s="493">
        <f t="shared" si="372"/>
        <v>0</v>
      </c>
      <c r="N995" s="493">
        <f t="shared" si="361"/>
        <v>0</v>
      </c>
      <c r="O995" s="493">
        <f t="shared" si="361"/>
        <v>0</v>
      </c>
      <c r="P995" s="493">
        <f t="shared" si="361"/>
        <v>0</v>
      </c>
      <c r="Q995" s="493">
        <f t="shared" si="372"/>
        <v>0</v>
      </c>
      <c r="R995" s="493">
        <f t="shared" si="362"/>
        <v>0</v>
      </c>
      <c r="S995" s="493">
        <f t="shared" si="363"/>
        <v>0</v>
      </c>
      <c r="T995" s="794"/>
      <c r="V995" s="641">
        <f t="shared" si="364"/>
        <v>0</v>
      </c>
      <c r="W995" s="488"/>
      <c r="X995" s="1016"/>
      <c r="Y995" s="675">
        <f t="shared" si="365"/>
        <v>0</v>
      </c>
      <c r="Z995" s="767">
        <f>0.3%/1.1</f>
        <v>2.7272727272727271E-3</v>
      </c>
      <c r="AA995" s="675">
        <f t="shared" si="366"/>
        <v>0</v>
      </c>
      <c r="AB995" s="767">
        <f>0.3%/1.1</f>
        <v>2.7272727272727271E-3</v>
      </c>
      <c r="AC995" s="675">
        <f t="shared" si="367"/>
        <v>0</v>
      </c>
      <c r="AD995" s="767">
        <f>0.3%/1.1</f>
        <v>2.7272727272727271E-3</v>
      </c>
      <c r="AE995" s="675">
        <f t="shared" si="368"/>
        <v>0</v>
      </c>
      <c r="AF995" s="767">
        <f>0.3%/1.1</f>
        <v>2.7272727272727271E-3</v>
      </c>
      <c r="AL995" s="489"/>
      <c r="AM995" s="489"/>
      <c r="AN995" s="489"/>
      <c r="AO995" s="489"/>
      <c r="AP995" s="489"/>
      <c r="AQ995" s="489"/>
      <c r="AR995" s="489"/>
      <c r="AS995" s="489"/>
    </row>
    <row r="996" spans="1:45" s="484" customFormat="1" ht="14.5">
      <c r="A996" s="695" t="s">
        <v>1294</v>
      </c>
      <c r="B996" s="647"/>
      <c r="C996" s="644"/>
      <c r="D996" s="644"/>
      <c r="E996" s="493">
        <f t="shared" si="369"/>
        <v>8402769.9272378329</v>
      </c>
      <c r="F996" s="763">
        <f t="shared" si="370"/>
        <v>6.4999999999999997E-3</v>
      </c>
      <c r="G996" s="493">
        <f t="shared" si="371"/>
        <v>20138749.977986794</v>
      </c>
      <c r="H996" s="493">
        <f t="shared" si="372"/>
        <v>24284460.101497918</v>
      </c>
      <c r="I996" s="493">
        <f t="shared" si="372"/>
        <v>25909460.101497918</v>
      </c>
      <c r="J996" s="493">
        <f t="shared" si="372"/>
        <v>27534460.101497918</v>
      </c>
      <c r="K996" s="493">
        <f t="shared" si="372"/>
        <v>29159460.101497918</v>
      </c>
      <c r="L996" s="493">
        <f t="shared" si="372"/>
        <v>30784460.101497918</v>
      </c>
      <c r="M996" s="493">
        <f t="shared" si="372"/>
        <v>32409460.101497918</v>
      </c>
      <c r="N996" s="493">
        <f t="shared" si="361"/>
        <v>34034460.101497918</v>
      </c>
      <c r="O996" s="493">
        <f t="shared" si="361"/>
        <v>35659460.101497911</v>
      </c>
      <c r="P996" s="493">
        <f t="shared" si="361"/>
        <v>37284460.101497911</v>
      </c>
      <c r="Q996" s="493">
        <f t="shared" si="372"/>
        <v>38909460.101497911</v>
      </c>
      <c r="R996" s="493">
        <f t="shared" si="362"/>
        <v>40534460.101497911</v>
      </c>
      <c r="S996" s="493">
        <f t="shared" si="363"/>
        <v>42159460.101497911</v>
      </c>
      <c r="T996" s="794"/>
      <c r="V996" s="641">
        <f t="shared" si="364"/>
        <v>398663521.2179749</v>
      </c>
      <c r="W996" s="488"/>
      <c r="X996" s="1016"/>
      <c r="Y996" s="675">
        <f t="shared" si="365"/>
        <v>0</v>
      </c>
      <c r="Z996" s="767">
        <f>0.3%/1.1</f>
        <v>2.7272727272727271E-3</v>
      </c>
      <c r="AA996" s="675">
        <f t="shared" si="366"/>
        <v>0</v>
      </c>
      <c r="AB996" s="767">
        <f>0.3%/1.1</f>
        <v>2.7272727272727271E-3</v>
      </c>
      <c r="AC996" s="675">
        <f t="shared" si="367"/>
        <v>0</v>
      </c>
      <c r="AD996" s="767">
        <f>0.3%/1.1</f>
        <v>2.7272727272727271E-3</v>
      </c>
      <c r="AE996" s="675">
        <f t="shared" si="368"/>
        <v>0</v>
      </c>
      <c r="AF996" s="767">
        <f>0.3%/1.1</f>
        <v>2.7272727272727271E-3</v>
      </c>
      <c r="AL996" s="489"/>
      <c r="AM996" s="489"/>
      <c r="AN996" s="489"/>
      <c r="AO996" s="489"/>
      <c r="AP996" s="489"/>
      <c r="AQ996" s="489"/>
      <c r="AR996" s="489"/>
      <c r="AS996" s="489"/>
    </row>
    <row r="997" spans="1:45" s="484" customFormat="1" ht="14.5">
      <c r="A997" s="695" t="s">
        <v>1295</v>
      </c>
      <c r="B997" s="647"/>
      <c r="C997" s="644"/>
      <c r="D997" s="644"/>
      <c r="E997" s="493">
        <f t="shared" si="369"/>
        <v>0</v>
      </c>
      <c r="F997" s="763">
        <f t="shared" si="370"/>
        <v>6.4999999999999997E-3</v>
      </c>
      <c r="G997" s="493">
        <f t="shared" si="371"/>
        <v>0</v>
      </c>
      <c r="H997" s="493">
        <f t="shared" si="372"/>
        <v>0</v>
      </c>
      <c r="I997" s="493">
        <f t="shared" si="372"/>
        <v>0</v>
      </c>
      <c r="J997" s="493">
        <f t="shared" si="372"/>
        <v>0</v>
      </c>
      <c r="K997" s="493">
        <f t="shared" si="372"/>
        <v>0</v>
      </c>
      <c r="L997" s="493">
        <f t="shared" si="372"/>
        <v>0</v>
      </c>
      <c r="M997" s="493">
        <f t="shared" si="372"/>
        <v>0</v>
      </c>
      <c r="N997" s="493">
        <f t="shared" si="372"/>
        <v>0</v>
      </c>
      <c r="O997" s="493">
        <f t="shared" si="372"/>
        <v>0</v>
      </c>
      <c r="P997" s="493">
        <f t="shared" si="372"/>
        <v>0</v>
      </c>
      <c r="Q997" s="493">
        <f t="shared" si="372"/>
        <v>0</v>
      </c>
      <c r="R997" s="493">
        <f t="shared" si="362"/>
        <v>0</v>
      </c>
      <c r="S997" s="493">
        <f t="shared" si="363"/>
        <v>0</v>
      </c>
      <c r="T997" s="794"/>
      <c r="V997" s="641">
        <f t="shared" si="364"/>
        <v>0</v>
      </c>
      <c r="W997" s="488"/>
      <c r="X997" s="1016"/>
      <c r="Y997" s="675"/>
      <c r="Z997" s="767"/>
      <c r="AA997" s="675"/>
      <c r="AB997" s="767"/>
      <c r="AC997" s="675"/>
      <c r="AD997" s="767"/>
      <c r="AE997" s="675"/>
      <c r="AF997" s="767"/>
      <c r="AL997" s="489"/>
      <c r="AM997" s="489"/>
      <c r="AN997" s="489"/>
      <c r="AO997" s="489"/>
      <c r="AP997" s="489"/>
      <c r="AQ997" s="489"/>
      <c r="AR997" s="489"/>
      <c r="AS997" s="489"/>
    </row>
    <row r="998" spans="1:45" s="484" customFormat="1" ht="14.5">
      <c r="A998" s="695" t="s">
        <v>1296</v>
      </c>
      <c r="B998" s="647"/>
      <c r="C998" s="644"/>
      <c r="D998" s="644"/>
      <c r="E998" s="493">
        <f t="shared" si="369"/>
        <v>0</v>
      </c>
      <c r="F998" s="763">
        <f t="shared" si="370"/>
        <v>3.0000000000000001E-3</v>
      </c>
      <c r="G998" s="493">
        <f t="shared" si="371"/>
        <v>0</v>
      </c>
      <c r="H998" s="493">
        <f t="shared" si="372"/>
        <v>0</v>
      </c>
      <c r="I998" s="493">
        <f t="shared" si="372"/>
        <v>0</v>
      </c>
      <c r="J998" s="493">
        <f t="shared" si="372"/>
        <v>0</v>
      </c>
      <c r="K998" s="493">
        <f t="shared" si="372"/>
        <v>0</v>
      </c>
      <c r="L998" s="493">
        <f t="shared" si="372"/>
        <v>0</v>
      </c>
      <c r="M998" s="493">
        <f t="shared" si="372"/>
        <v>0</v>
      </c>
      <c r="N998" s="493">
        <f t="shared" si="372"/>
        <v>0</v>
      </c>
      <c r="O998" s="493">
        <f t="shared" si="372"/>
        <v>0</v>
      </c>
      <c r="P998" s="493">
        <f t="shared" si="372"/>
        <v>0</v>
      </c>
      <c r="Q998" s="493">
        <f t="shared" si="372"/>
        <v>0</v>
      </c>
      <c r="R998" s="493">
        <f t="shared" si="362"/>
        <v>0</v>
      </c>
      <c r="S998" s="493">
        <f t="shared" si="363"/>
        <v>0</v>
      </c>
      <c r="T998" s="794"/>
      <c r="V998" s="641">
        <f t="shared" si="364"/>
        <v>0</v>
      </c>
      <c r="W998" s="488"/>
      <c r="X998" s="1016"/>
      <c r="Y998" s="675"/>
      <c r="Z998" s="767"/>
      <c r="AA998" s="675"/>
      <c r="AB998" s="767"/>
      <c r="AC998" s="675"/>
      <c r="AD998" s="767"/>
      <c r="AE998" s="675"/>
      <c r="AF998" s="767"/>
      <c r="AL998" s="489"/>
      <c r="AM998" s="489"/>
      <c r="AN998" s="489"/>
      <c r="AO998" s="489"/>
      <c r="AP998" s="489"/>
      <c r="AQ998" s="489"/>
      <c r="AR998" s="489"/>
      <c r="AS998" s="489"/>
    </row>
    <row r="999" spans="1:45" s="484" customFormat="1" ht="14.5">
      <c r="A999" s="695" t="s">
        <v>1297</v>
      </c>
      <c r="B999" s="647"/>
      <c r="C999" s="644"/>
      <c r="D999" s="644"/>
      <c r="E999" s="493">
        <f t="shared" si="369"/>
        <v>0</v>
      </c>
      <c r="F999" s="763">
        <f t="shared" si="370"/>
        <v>6.8000000000000005E-4</v>
      </c>
      <c r="G999" s="493">
        <f t="shared" si="371"/>
        <v>0</v>
      </c>
      <c r="H999" s="493">
        <f t="shared" si="372"/>
        <v>0</v>
      </c>
      <c r="I999" s="493">
        <f t="shared" si="372"/>
        <v>0</v>
      </c>
      <c r="J999" s="493">
        <f t="shared" si="372"/>
        <v>0</v>
      </c>
      <c r="K999" s="493">
        <f t="shared" si="372"/>
        <v>0</v>
      </c>
      <c r="L999" s="493">
        <f t="shared" si="372"/>
        <v>0</v>
      </c>
      <c r="M999" s="493">
        <f t="shared" si="372"/>
        <v>0</v>
      </c>
      <c r="N999" s="493">
        <f t="shared" si="372"/>
        <v>0</v>
      </c>
      <c r="O999" s="493">
        <f t="shared" si="372"/>
        <v>0</v>
      </c>
      <c r="P999" s="493">
        <f t="shared" si="372"/>
        <v>0</v>
      </c>
      <c r="Q999" s="493">
        <f t="shared" si="372"/>
        <v>0</v>
      </c>
      <c r="R999" s="493">
        <f t="shared" si="362"/>
        <v>0</v>
      </c>
      <c r="S999" s="493">
        <f t="shared" si="363"/>
        <v>0</v>
      </c>
      <c r="T999" s="794"/>
      <c r="V999" s="641">
        <f t="shared" si="364"/>
        <v>0</v>
      </c>
      <c r="W999" s="488"/>
      <c r="X999" s="1016"/>
      <c r="Y999" s="675"/>
      <c r="Z999" s="767"/>
      <c r="AA999" s="675"/>
      <c r="AB999" s="767"/>
      <c r="AC999" s="675"/>
      <c r="AD999" s="767"/>
      <c r="AE999" s="675"/>
      <c r="AF999" s="767"/>
      <c r="AL999" s="489"/>
      <c r="AM999" s="489"/>
      <c r="AN999" s="489"/>
      <c r="AO999" s="489"/>
      <c r="AP999" s="489"/>
      <c r="AQ999" s="489"/>
      <c r="AR999" s="489"/>
      <c r="AS999" s="489"/>
    </row>
    <row r="1000" spans="1:45" s="484" customFormat="1" ht="14.5">
      <c r="A1000" s="695" t="s">
        <v>1298</v>
      </c>
      <c r="B1000" s="647"/>
      <c r="C1000" s="644"/>
      <c r="D1000" s="644"/>
      <c r="E1000" s="493">
        <f t="shared" si="369"/>
        <v>0</v>
      </c>
      <c r="F1000" s="763">
        <f t="shared" si="370"/>
        <v>6.8000000000000005E-4</v>
      </c>
      <c r="G1000" s="493">
        <f t="shared" si="371"/>
        <v>0</v>
      </c>
      <c r="H1000" s="493">
        <f t="shared" si="372"/>
        <v>0</v>
      </c>
      <c r="I1000" s="493">
        <f t="shared" si="372"/>
        <v>0</v>
      </c>
      <c r="J1000" s="493">
        <f t="shared" si="372"/>
        <v>0</v>
      </c>
      <c r="K1000" s="493">
        <f t="shared" si="372"/>
        <v>0</v>
      </c>
      <c r="L1000" s="493">
        <f t="shared" si="372"/>
        <v>0</v>
      </c>
      <c r="M1000" s="493">
        <f t="shared" si="372"/>
        <v>0</v>
      </c>
      <c r="N1000" s="493">
        <f t="shared" si="372"/>
        <v>0</v>
      </c>
      <c r="O1000" s="493">
        <f t="shared" si="372"/>
        <v>0</v>
      </c>
      <c r="P1000" s="493">
        <f t="shared" si="372"/>
        <v>0</v>
      </c>
      <c r="Q1000" s="493">
        <f t="shared" si="372"/>
        <v>0</v>
      </c>
      <c r="R1000" s="493">
        <f t="shared" si="362"/>
        <v>0</v>
      </c>
      <c r="S1000" s="493">
        <f t="shared" si="363"/>
        <v>0</v>
      </c>
      <c r="T1000" s="794"/>
      <c r="V1000" s="641">
        <f t="shared" si="364"/>
        <v>0</v>
      </c>
      <c r="W1000" s="488"/>
      <c r="X1000" s="1016"/>
      <c r="Y1000" s="675"/>
      <c r="Z1000" s="767"/>
      <c r="AA1000" s="675"/>
      <c r="AB1000" s="767"/>
      <c r="AC1000" s="675"/>
      <c r="AD1000" s="767"/>
      <c r="AE1000" s="675"/>
      <c r="AF1000" s="767"/>
      <c r="AL1000" s="489"/>
      <c r="AM1000" s="489"/>
      <c r="AN1000" s="489"/>
      <c r="AO1000" s="489"/>
      <c r="AP1000" s="489"/>
      <c r="AQ1000" s="489"/>
      <c r="AR1000" s="489"/>
      <c r="AS1000" s="489"/>
    </row>
    <row r="1001" spans="1:45" s="484" customFormat="1" ht="14.5">
      <c r="A1001" s="695" t="s">
        <v>1299</v>
      </c>
      <c r="B1001" s="647"/>
      <c r="C1001" s="644"/>
      <c r="D1001" s="644"/>
      <c r="E1001" s="493">
        <f t="shared" si="369"/>
        <v>0</v>
      </c>
      <c r="F1001" s="763">
        <f t="shared" si="370"/>
        <v>2.7000000000000001E-3</v>
      </c>
      <c r="G1001" s="493">
        <f t="shared" si="371"/>
        <v>0</v>
      </c>
      <c r="H1001" s="493">
        <f t="shared" si="372"/>
        <v>0</v>
      </c>
      <c r="I1001" s="493">
        <f t="shared" si="372"/>
        <v>0</v>
      </c>
      <c r="J1001" s="493">
        <f t="shared" si="372"/>
        <v>0</v>
      </c>
      <c r="K1001" s="493">
        <f t="shared" si="372"/>
        <v>0</v>
      </c>
      <c r="L1001" s="493">
        <f t="shared" si="372"/>
        <v>0</v>
      </c>
      <c r="M1001" s="493">
        <f t="shared" si="372"/>
        <v>0</v>
      </c>
      <c r="N1001" s="493">
        <f t="shared" si="372"/>
        <v>0</v>
      </c>
      <c r="O1001" s="493">
        <f t="shared" si="372"/>
        <v>0</v>
      </c>
      <c r="P1001" s="493">
        <f t="shared" si="372"/>
        <v>0</v>
      </c>
      <c r="Q1001" s="493">
        <f t="shared" si="372"/>
        <v>0</v>
      </c>
      <c r="R1001" s="493">
        <f t="shared" si="362"/>
        <v>0</v>
      </c>
      <c r="S1001" s="493">
        <f t="shared" si="363"/>
        <v>0</v>
      </c>
      <c r="T1001" s="794"/>
      <c r="V1001" s="641">
        <f t="shared" si="364"/>
        <v>0</v>
      </c>
      <c r="W1001" s="488"/>
      <c r="X1001" s="1016"/>
      <c r="Y1001" s="675"/>
      <c r="Z1001" s="767"/>
      <c r="AA1001" s="675"/>
      <c r="AB1001" s="767"/>
      <c r="AC1001" s="675"/>
      <c r="AD1001" s="767"/>
      <c r="AE1001" s="675"/>
      <c r="AF1001" s="767"/>
      <c r="AL1001" s="489"/>
      <c r="AM1001" s="489"/>
      <c r="AN1001" s="489"/>
      <c r="AO1001" s="489"/>
      <c r="AP1001" s="489"/>
      <c r="AQ1001" s="489"/>
      <c r="AR1001" s="489"/>
      <c r="AS1001" s="489"/>
    </row>
    <row r="1002" spans="1:45" s="484" customFormat="1" ht="14.5">
      <c r="A1002" s="695" t="s">
        <v>1300</v>
      </c>
      <c r="B1002" s="647"/>
      <c r="C1002" s="644"/>
      <c r="D1002" s="644"/>
      <c r="E1002" s="493">
        <f t="shared" si="369"/>
        <v>0</v>
      </c>
      <c r="F1002" s="763">
        <f t="shared" si="370"/>
        <v>8.1999999999999998E-4</v>
      </c>
      <c r="G1002" s="493">
        <f t="shared" si="371"/>
        <v>0</v>
      </c>
      <c r="H1002" s="493">
        <f t="shared" si="372"/>
        <v>0</v>
      </c>
      <c r="I1002" s="493">
        <f t="shared" si="372"/>
        <v>0</v>
      </c>
      <c r="J1002" s="493">
        <f t="shared" si="372"/>
        <v>0</v>
      </c>
      <c r="K1002" s="493">
        <f t="shared" si="372"/>
        <v>0</v>
      </c>
      <c r="L1002" s="493">
        <f t="shared" si="372"/>
        <v>0</v>
      </c>
      <c r="M1002" s="493">
        <f t="shared" si="372"/>
        <v>0</v>
      </c>
      <c r="N1002" s="493">
        <f t="shared" si="372"/>
        <v>0</v>
      </c>
      <c r="O1002" s="493">
        <f t="shared" si="372"/>
        <v>0</v>
      </c>
      <c r="P1002" s="493">
        <f t="shared" si="372"/>
        <v>0</v>
      </c>
      <c r="Q1002" s="493">
        <f t="shared" si="372"/>
        <v>0</v>
      </c>
      <c r="R1002" s="493">
        <f t="shared" si="362"/>
        <v>0</v>
      </c>
      <c r="S1002" s="493">
        <f t="shared" si="363"/>
        <v>0</v>
      </c>
      <c r="T1002" s="794"/>
      <c r="V1002" s="641">
        <f t="shared" si="364"/>
        <v>0</v>
      </c>
      <c r="W1002" s="488"/>
      <c r="X1002" s="1016"/>
      <c r="Y1002" s="675"/>
      <c r="Z1002" s="767"/>
      <c r="AA1002" s="675"/>
      <c r="AB1002" s="767"/>
      <c r="AC1002" s="675"/>
      <c r="AD1002" s="767"/>
      <c r="AE1002" s="675"/>
      <c r="AF1002" s="767"/>
      <c r="AL1002" s="489"/>
      <c r="AM1002" s="489"/>
      <c r="AN1002" s="489"/>
      <c r="AO1002" s="489"/>
      <c r="AP1002" s="489"/>
      <c r="AQ1002" s="489"/>
      <c r="AR1002" s="489"/>
      <c r="AS1002" s="489"/>
    </row>
    <row r="1003" spans="1:45" s="484" customFormat="1" ht="14.5">
      <c r="A1003" s="695" t="s">
        <v>1301</v>
      </c>
      <c r="B1003" s="647"/>
      <c r="C1003" s="644"/>
      <c r="D1003" s="644"/>
      <c r="E1003" s="493">
        <f t="shared" si="369"/>
        <v>0</v>
      </c>
      <c r="F1003" s="763">
        <f t="shared" si="370"/>
        <v>6.9300000000000004E-3</v>
      </c>
      <c r="G1003" s="493">
        <f t="shared" si="371"/>
        <v>0</v>
      </c>
      <c r="H1003" s="493">
        <f t="shared" si="372"/>
        <v>0</v>
      </c>
      <c r="I1003" s="493">
        <f t="shared" si="372"/>
        <v>0</v>
      </c>
      <c r="J1003" s="493">
        <f t="shared" si="372"/>
        <v>0</v>
      </c>
      <c r="K1003" s="493">
        <f t="shared" si="372"/>
        <v>0</v>
      </c>
      <c r="L1003" s="493">
        <f t="shared" si="372"/>
        <v>0</v>
      </c>
      <c r="M1003" s="493">
        <f t="shared" si="372"/>
        <v>0</v>
      </c>
      <c r="N1003" s="493">
        <f t="shared" si="372"/>
        <v>0</v>
      </c>
      <c r="O1003" s="493">
        <f t="shared" si="372"/>
        <v>0</v>
      </c>
      <c r="P1003" s="493">
        <f t="shared" si="372"/>
        <v>0</v>
      </c>
      <c r="Q1003" s="493">
        <f t="shared" si="372"/>
        <v>0</v>
      </c>
      <c r="R1003" s="493">
        <f t="shared" si="362"/>
        <v>0</v>
      </c>
      <c r="S1003" s="493">
        <f t="shared" si="363"/>
        <v>0</v>
      </c>
      <c r="T1003" s="794"/>
      <c r="V1003" s="641">
        <f t="shared" si="364"/>
        <v>0</v>
      </c>
      <c r="W1003" s="488"/>
      <c r="X1003" s="1016"/>
      <c r="Y1003" s="675"/>
      <c r="Z1003" s="767"/>
      <c r="AA1003" s="675"/>
      <c r="AB1003" s="767"/>
      <c r="AC1003" s="675"/>
      <c r="AD1003" s="767"/>
      <c r="AE1003" s="675"/>
      <c r="AF1003" s="767"/>
      <c r="AL1003" s="489"/>
      <c r="AM1003" s="489"/>
      <c r="AN1003" s="489"/>
      <c r="AO1003" s="489"/>
      <c r="AP1003" s="489"/>
      <c r="AQ1003" s="489"/>
      <c r="AR1003" s="489"/>
      <c r="AS1003" s="489"/>
    </row>
    <row r="1004" spans="1:45" s="484" customFormat="1" ht="14.5">
      <c r="A1004" s="695" t="s">
        <v>1302</v>
      </c>
      <c r="B1004" s="647"/>
      <c r="C1004" s="644"/>
      <c r="D1004" s="644"/>
      <c r="E1004" s="493">
        <f t="shared" si="369"/>
        <v>0</v>
      </c>
      <c r="F1004" s="763">
        <f t="shared" si="370"/>
        <v>1.5E-3</v>
      </c>
      <c r="G1004" s="493">
        <f t="shared" si="371"/>
        <v>0</v>
      </c>
      <c r="H1004" s="493">
        <f t="shared" si="372"/>
        <v>0</v>
      </c>
      <c r="I1004" s="493">
        <f t="shared" si="372"/>
        <v>0</v>
      </c>
      <c r="J1004" s="493">
        <f t="shared" si="372"/>
        <v>0</v>
      </c>
      <c r="K1004" s="493">
        <f t="shared" si="372"/>
        <v>0</v>
      </c>
      <c r="L1004" s="493">
        <f t="shared" si="372"/>
        <v>0</v>
      </c>
      <c r="M1004" s="493">
        <f t="shared" si="372"/>
        <v>0</v>
      </c>
      <c r="N1004" s="493">
        <f t="shared" si="372"/>
        <v>0</v>
      </c>
      <c r="O1004" s="493">
        <f t="shared" si="372"/>
        <v>0</v>
      </c>
      <c r="P1004" s="493">
        <f t="shared" si="372"/>
        <v>0</v>
      </c>
      <c r="Q1004" s="493">
        <f t="shared" si="372"/>
        <v>0</v>
      </c>
      <c r="R1004" s="493">
        <f t="shared" si="362"/>
        <v>0</v>
      </c>
      <c r="S1004" s="493">
        <f t="shared" si="363"/>
        <v>0</v>
      </c>
      <c r="T1004" s="794"/>
      <c r="V1004" s="641">
        <f t="shared" si="364"/>
        <v>0</v>
      </c>
      <c r="W1004" s="488"/>
      <c r="X1004" s="1016"/>
      <c r="Y1004" s="675"/>
      <c r="Z1004" s="767"/>
      <c r="AA1004" s="675"/>
      <c r="AB1004" s="767"/>
      <c r="AC1004" s="675"/>
      <c r="AD1004" s="767"/>
      <c r="AE1004" s="675"/>
      <c r="AF1004" s="767"/>
      <c r="AL1004" s="489"/>
      <c r="AM1004" s="489"/>
      <c r="AN1004" s="489"/>
      <c r="AO1004" s="489"/>
      <c r="AP1004" s="489"/>
      <c r="AQ1004" s="489"/>
      <c r="AR1004" s="489"/>
      <c r="AS1004" s="489"/>
    </row>
    <row r="1005" spans="1:45" s="484" customFormat="1" ht="14.5">
      <c r="A1005" s="695" t="s">
        <v>1303</v>
      </c>
      <c r="B1005" s="647"/>
      <c r="C1005" s="644"/>
      <c r="D1005" s="644"/>
      <c r="E1005" s="493">
        <f t="shared" si="369"/>
        <v>0</v>
      </c>
      <c r="F1005" s="763">
        <f t="shared" si="370"/>
        <v>1.5E-3</v>
      </c>
      <c r="G1005" s="493">
        <f t="shared" si="371"/>
        <v>0</v>
      </c>
      <c r="H1005" s="493">
        <f t="shared" si="372"/>
        <v>0</v>
      </c>
      <c r="I1005" s="493">
        <f t="shared" si="372"/>
        <v>0</v>
      </c>
      <c r="J1005" s="493">
        <f t="shared" si="372"/>
        <v>0</v>
      </c>
      <c r="K1005" s="493">
        <f t="shared" si="372"/>
        <v>0</v>
      </c>
      <c r="L1005" s="493">
        <f t="shared" si="372"/>
        <v>0</v>
      </c>
      <c r="M1005" s="493">
        <f t="shared" si="372"/>
        <v>0</v>
      </c>
      <c r="N1005" s="493">
        <f t="shared" si="372"/>
        <v>0</v>
      </c>
      <c r="O1005" s="493">
        <f t="shared" si="372"/>
        <v>0</v>
      </c>
      <c r="P1005" s="493">
        <f t="shared" si="372"/>
        <v>0</v>
      </c>
      <c r="Q1005" s="493">
        <f t="shared" si="372"/>
        <v>0</v>
      </c>
      <c r="R1005" s="493">
        <f t="shared" si="362"/>
        <v>0</v>
      </c>
      <c r="S1005" s="493">
        <f t="shared" si="363"/>
        <v>0</v>
      </c>
      <c r="T1005" s="794"/>
      <c r="V1005" s="641">
        <f t="shared" si="364"/>
        <v>0</v>
      </c>
      <c r="W1005" s="488"/>
      <c r="X1005" s="1016"/>
      <c r="Y1005" s="675"/>
      <c r="Z1005" s="767"/>
      <c r="AA1005" s="675"/>
      <c r="AB1005" s="767"/>
      <c r="AC1005" s="675"/>
      <c r="AD1005" s="767"/>
      <c r="AE1005" s="675"/>
      <c r="AF1005" s="767"/>
      <c r="AL1005" s="489"/>
      <c r="AM1005" s="489"/>
      <c r="AN1005" s="489"/>
      <c r="AO1005" s="489"/>
      <c r="AP1005" s="489"/>
      <c r="AQ1005" s="489"/>
      <c r="AR1005" s="489"/>
      <c r="AS1005" s="489"/>
    </row>
    <row r="1006" spans="1:45" s="484" customFormat="1" ht="14.5">
      <c r="A1006" s="695" t="s">
        <v>1304</v>
      </c>
      <c r="B1006" s="647"/>
      <c r="C1006" s="644"/>
      <c r="D1006" s="644"/>
      <c r="E1006" s="493">
        <f t="shared" si="369"/>
        <v>0</v>
      </c>
      <c r="F1006" s="763">
        <f t="shared" si="370"/>
        <v>1.5E-3</v>
      </c>
      <c r="G1006" s="493">
        <f t="shared" si="371"/>
        <v>0</v>
      </c>
      <c r="H1006" s="493">
        <f t="shared" si="372"/>
        <v>0</v>
      </c>
      <c r="I1006" s="493">
        <f t="shared" si="372"/>
        <v>0</v>
      </c>
      <c r="J1006" s="493">
        <f t="shared" si="372"/>
        <v>0</v>
      </c>
      <c r="K1006" s="493">
        <f t="shared" si="372"/>
        <v>0</v>
      </c>
      <c r="L1006" s="493">
        <f t="shared" si="372"/>
        <v>0</v>
      </c>
      <c r="M1006" s="493">
        <f t="shared" si="372"/>
        <v>0</v>
      </c>
      <c r="N1006" s="493">
        <f t="shared" si="372"/>
        <v>0</v>
      </c>
      <c r="O1006" s="493">
        <f t="shared" si="372"/>
        <v>0</v>
      </c>
      <c r="P1006" s="493">
        <f t="shared" si="372"/>
        <v>0</v>
      </c>
      <c r="Q1006" s="493">
        <f t="shared" si="372"/>
        <v>0</v>
      </c>
      <c r="R1006" s="493">
        <f t="shared" si="362"/>
        <v>0</v>
      </c>
      <c r="S1006" s="493">
        <f t="shared" si="363"/>
        <v>0</v>
      </c>
      <c r="T1006" s="794"/>
      <c r="V1006" s="641">
        <f t="shared" si="364"/>
        <v>0</v>
      </c>
      <c r="W1006" s="488"/>
      <c r="X1006" s="1016"/>
      <c r="Y1006" s="675"/>
      <c r="Z1006" s="767"/>
      <c r="AA1006" s="675"/>
      <c r="AB1006" s="767"/>
      <c r="AC1006" s="675"/>
      <c r="AD1006" s="767"/>
      <c r="AE1006" s="675"/>
      <c r="AF1006" s="767"/>
      <c r="AL1006" s="489"/>
      <c r="AM1006" s="489"/>
      <c r="AN1006" s="489"/>
      <c r="AO1006" s="489"/>
      <c r="AP1006" s="489"/>
      <c r="AQ1006" s="489"/>
      <c r="AR1006" s="489"/>
      <c r="AS1006" s="489"/>
    </row>
    <row r="1007" spans="1:45" s="484" customFormat="1" ht="14.5">
      <c r="A1007" s="695" t="s">
        <v>1305</v>
      </c>
      <c r="B1007" s="647"/>
      <c r="C1007" s="644"/>
      <c r="D1007" s="644"/>
      <c r="E1007" s="493">
        <f t="shared" si="369"/>
        <v>0</v>
      </c>
      <c r="F1007" s="763">
        <f t="shared" si="370"/>
        <v>1.75E-3</v>
      </c>
      <c r="G1007" s="493">
        <f t="shared" si="371"/>
        <v>0</v>
      </c>
      <c r="H1007" s="493">
        <f t="shared" si="372"/>
        <v>0</v>
      </c>
      <c r="I1007" s="493">
        <f t="shared" si="372"/>
        <v>0</v>
      </c>
      <c r="J1007" s="493">
        <f t="shared" si="372"/>
        <v>0</v>
      </c>
      <c r="K1007" s="493">
        <f t="shared" si="372"/>
        <v>0</v>
      </c>
      <c r="L1007" s="493">
        <f t="shared" si="372"/>
        <v>0</v>
      </c>
      <c r="M1007" s="493">
        <f t="shared" si="372"/>
        <v>0</v>
      </c>
      <c r="N1007" s="493">
        <f t="shared" si="372"/>
        <v>0</v>
      </c>
      <c r="O1007" s="493">
        <f t="shared" si="372"/>
        <v>0</v>
      </c>
      <c r="P1007" s="493">
        <f t="shared" si="372"/>
        <v>0</v>
      </c>
      <c r="Q1007" s="493">
        <f t="shared" si="372"/>
        <v>0</v>
      </c>
      <c r="R1007" s="493">
        <f t="shared" si="362"/>
        <v>0</v>
      </c>
      <c r="S1007" s="493">
        <f t="shared" si="363"/>
        <v>0</v>
      </c>
      <c r="T1007" s="794"/>
      <c r="V1007" s="641">
        <f t="shared" si="364"/>
        <v>0</v>
      </c>
      <c r="W1007" s="488"/>
      <c r="X1007" s="1016"/>
      <c r="Y1007" s="675"/>
      <c r="Z1007" s="767"/>
      <c r="AA1007" s="675"/>
      <c r="AB1007" s="767"/>
      <c r="AC1007" s="675"/>
      <c r="AD1007" s="767"/>
      <c r="AE1007" s="675"/>
      <c r="AF1007" s="767"/>
      <c r="AL1007" s="489"/>
      <c r="AM1007" s="489"/>
      <c r="AN1007" s="489"/>
      <c r="AO1007" s="489"/>
      <c r="AP1007" s="489"/>
      <c r="AQ1007" s="489"/>
      <c r="AR1007" s="489"/>
      <c r="AS1007" s="489"/>
    </row>
    <row r="1008" spans="1:45" s="484" customFormat="1" ht="14.5">
      <c r="A1008" s="695" t="s">
        <v>1306</v>
      </c>
      <c r="B1008" s="647"/>
      <c r="C1008" s="644"/>
      <c r="D1008" s="644"/>
      <c r="E1008" s="493">
        <f t="shared" si="369"/>
        <v>0</v>
      </c>
      <c r="F1008" s="763">
        <f t="shared" si="370"/>
        <v>6.8999999999999999E-3</v>
      </c>
      <c r="G1008" s="493">
        <f t="shared" si="371"/>
        <v>0</v>
      </c>
      <c r="H1008" s="493">
        <f t="shared" si="372"/>
        <v>0</v>
      </c>
      <c r="I1008" s="493">
        <f t="shared" si="372"/>
        <v>0</v>
      </c>
      <c r="J1008" s="493">
        <f t="shared" si="372"/>
        <v>0</v>
      </c>
      <c r="K1008" s="493">
        <f t="shared" si="372"/>
        <v>0</v>
      </c>
      <c r="L1008" s="493">
        <f t="shared" si="372"/>
        <v>0</v>
      </c>
      <c r="M1008" s="493">
        <f t="shared" si="372"/>
        <v>0</v>
      </c>
      <c r="N1008" s="493">
        <f t="shared" si="372"/>
        <v>0</v>
      </c>
      <c r="O1008" s="493">
        <f t="shared" si="372"/>
        <v>0</v>
      </c>
      <c r="P1008" s="493">
        <f t="shared" si="372"/>
        <v>0</v>
      </c>
      <c r="Q1008" s="493">
        <f t="shared" si="372"/>
        <v>0</v>
      </c>
      <c r="R1008" s="493">
        <f t="shared" si="362"/>
        <v>0</v>
      </c>
      <c r="S1008" s="493">
        <f t="shared" si="363"/>
        <v>0</v>
      </c>
      <c r="T1008" s="794"/>
      <c r="V1008" s="641">
        <f t="shared" si="364"/>
        <v>0</v>
      </c>
      <c r="W1008" s="488"/>
      <c r="X1008" s="1016"/>
      <c r="Y1008" s="675"/>
      <c r="Z1008" s="767"/>
      <c r="AA1008" s="675"/>
      <c r="AB1008" s="767"/>
      <c r="AC1008" s="675"/>
      <c r="AD1008" s="767"/>
      <c r="AE1008" s="675"/>
      <c r="AF1008" s="767"/>
      <c r="AL1008" s="489"/>
      <c r="AM1008" s="489"/>
      <c r="AN1008" s="489"/>
      <c r="AO1008" s="489"/>
      <c r="AP1008" s="489"/>
      <c r="AQ1008" s="489"/>
      <c r="AR1008" s="489"/>
      <c r="AS1008" s="489"/>
    </row>
    <row r="1009" spans="1:45" s="484" customFormat="1" ht="14.5">
      <c r="A1009" s="695" t="s">
        <v>1307</v>
      </c>
      <c r="B1009" s="647"/>
      <c r="C1009" s="644"/>
      <c r="D1009" s="644"/>
      <c r="E1009" s="493">
        <f t="shared" si="369"/>
        <v>0</v>
      </c>
      <c r="F1009" s="763">
        <f t="shared" si="370"/>
        <v>1.4999999999999999E-2</v>
      </c>
      <c r="G1009" s="493">
        <f t="shared" si="371"/>
        <v>0</v>
      </c>
      <c r="H1009" s="493">
        <f t="shared" ref="H1009:Q1011" si="373">(G565+H565)/2*$F1009/12</f>
        <v>0</v>
      </c>
      <c r="I1009" s="493">
        <f t="shared" si="373"/>
        <v>0</v>
      </c>
      <c r="J1009" s="493">
        <f t="shared" si="373"/>
        <v>0</v>
      </c>
      <c r="K1009" s="493">
        <f t="shared" si="373"/>
        <v>0</v>
      </c>
      <c r="L1009" s="493">
        <f t="shared" si="373"/>
        <v>0</v>
      </c>
      <c r="M1009" s="493">
        <f t="shared" si="373"/>
        <v>0</v>
      </c>
      <c r="N1009" s="493">
        <f t="shared" si="373"/>
        <v>0</v>
      </c>
      <c r="O1009" s="493">
        <f t="shared" si="373"/>
        <v>0</v>
      </c>
      <c r="P1009" s="493">
        <f t="shared" si="373"/>
        <v>0</v>
      </c>
      <c r="Q1009" s="493">
        <f t="shared" si="373"/>
        <v>0</v>
      </c>
      <c r="R1009" s="493">
        <f t="shared" si="362"/>
        <v>0</v>
      </c>
      <c r="S1009" s="493">
        <f t="shared" si="363"/>
        <v>0</v>
      </c>
      <c r="T1009" s="794"/>
      <c r="V1009" s="641">
        <f t="shared" si="364"/>
        <v>0</v>
      </c>
      <c r="W1009" s="488"/>
      <c r="X1009" s="1016"/>
      <c r="Y1009" s="675"/>
      <c r="Z1009" s="767"/>
      <c r="AA1009" s="675"/>
      <c r="AB1009" s="767"/>
      <c r="AC1009" s="675"/>
      <c r="AD1009" s="767"/>
      <c r="AE1009" s="675"/>
      <c r="AF1009" s="767"/>
      <c r="AL1009" s="489"/>
      <c r="AM1009" s="489"/>
      <c r="AN1009" s="489"/>
      <c r="AO1009" s="489"/>
      <c r="AP1009" s="489"/>
      <c r="AQ1009" s="489"/>
      <c r="AR1009" s="489"/>
      <c r="AS1009" s="489"/>
    </row>
    <row r="1010" spans="1:45" s="484" customFormat="1" ht="14.5">
      <c r="A1010" s="695" t="s">
        <v>1308</v>
      </c>
      <c r="B1010" s="647"/>
      <c r="C1010" s="644"/>
      <c r="D1010" s="644"/>
      <c r="E1010" s="493">
        <f t="shared" si="369"/>
        <v>0</v>
      </c>
      <c r="F1010" s="763">
        <f t="shared" si="370"/>
        <v>1.5E-3</v>
      </c>
      <c r="G1010" s="493">
        <f t="shared" si="371"/>
        <v>0</v>
      </c>
      <c r="H1010" s="493">
        <f t="shared" si="373"/>
        <v>0</v>
      </c>
      <c r="I1010" s="493">
        <f t="shared" si="373"/>
        <v>0</v>
      </c>
      <c r="J1010" s="493">
        <f t="shared" si="373"/>
        <v>0</v>
      </c>
      <c r="K1010" s="493">
        <f t="shared" si="373"/>
        <v>0</v>
      </c>
      <c r="L1010" s="493">
        <f t="shared" si="373"/>
        <v>0</v>
      </c>
      <c r="M1010" s="493">
        <f t="shared" si="373"/>
        <v>0</v>
      </c>
      <c r="N1010" s="493">
        <f t="shared" si="373"/>
        <v>0</v>
      </c>
      <c r="O1010" s="493">
        <f t="shared" si="373"/>
        <v>0</v>
      </c>
      <c r="P1010" s="493">
        <f t="shared" si="373"/>
        <v>0</v>
      </c>
      <c r="Q1010" s="493">
        <f t="shared" si="373"/>
        <v>0</v>
      </c>
      <c r="R1010" s="493">
        <f t="shared" si="362"/>
        <v>0</v>
      </c>
      <c r="S1010" s="493">
        <f t="shared" si="363"/>
        <v>0</v>
      </c>
      <c r="T1010" s="794"/>
      <c r="V1010" s="641">
        <f t="shared" si="364"/>
        <v>0</v>
      </c>
      <c r="W1010" s="488"/>
      <c r="X1010" s="1016"/>
      <c r="Y1010" s="675"/>
      <c r="Z1010" s="767"/>
      <c r="AA1010" s="675"/>
      <c r="AB1010" s="767"/>
      <c r="AC1010" s="675"/>
      <c r="AD1010" s="767"/>
      <c r="AE1010" s="675"/>
      <c r="AF1010" s="767"/>
      <c r="AL1010" s="489"/>
      <c r="AM1010" s="489"/>
      <c r="AN1010" s="489"/>
      <c r="AO1010" s="489"/>
      <c r="AP1010" s="489"/>
      <c r="AQ1010" s="489"/>
      <c r="AR1010" s="489"/>
      <c r="AS1010" s="489"/>
    </row>
    <row r="1011" spans="1:45" s="484" customFormat="1" ht="14.5">
      <c r="A1011" s="695" t="s">
        <v>1309</v>
      </c>
      <c r="B1011" s="647"/>
      <c r="C1011" s="644"/>
      <c r="D1011" s="644"/>
      <c r="E1011" s="493">
        <f t="shared" si="369"/>
        <v>0</v>
      </c>
      <c r="F1011" s="763">
        <f t="shared" si="370"/>
        <v>8.1799999999999998E-3</v>
      </c>
      <c r="G1011" s="493">
        <f t="shared" si="371"/>
        <v>0</v>
      </c>
      <c r="H1011" s="493">
        <f t="shared" si="373"/>
        <v>0</v>
      </c>
      <c r="I1011" s="493">
        <f t="shared" si="373"/>
        <v>0</v>
      </c>
      <c r="J1011" s="493">
        <f t="shared" si="373"/>
        <v>0</v>
      </c>
      <c r="K1011" s="493">
        <f t="shared" si="373"/>
        <v>0</v>
      </c>
      <c r="L1011" s="493">
        <f t="shared" si="373"/>
        <v>0</v>
      </c>
      <c r="M1011" s="493">
        <f t="shared" si="373"/>
        <v>0</v>
      </c>
      <c r="N1011" s="493">
        <f t="shared" si="373"/>
        <v>0</v>
      </c>
      <c r="O1011" s="493">
        <f t="shared" si="373"/>
        <v>0</v>
      </c>
      <c r="P1011" s="493">
        <f t="shared" si="373"/>
        <v>0</v>
      </c>
      <c r="Q1011" s="493">
        <f t="shared" si="373"/>
        <v>0</v>
      </c>
      <c r="R1011" s="493">
        <f t="shared" si="362"/>
        <v>0</v>
      </c>
      <c r="S1011" s="493">
        <f t="shared" si="363"/>
        <v>0</v>
      </c>
      <c r="T1011" s="794"/>
      <c r="V1011" s="641">
        <f t="shared" si="364"/>
        <v>0</v>
      </c>
      <c r="W1011" s="488"/>
      <c r="X1011" s="1016"/>
      <c r="Y1011" s="675"/>
      <c r="Z1011" s="767"/>
      <c r="AA1011" s="675"/>
      <c r="AB1011" s="767"/>
      <c r="AC1011" s="675"/>
      <c r="AD1011" s="767"/>
      <c r="AE1011" s="675"/>
      <c r="AF1011" s="767"/>
      <c r="AL1011" s="489"/>
      <c r="AM1011" s="489"/>
      <c r="AN1011" s="489"/>
      <c r="AO1011" s="489"/>
      <c r="AP1011" s="489"/>
      <c r="AQ1011" s="489"/>
      <c r="AR1011" s="489"/>
      <c r="AS1011" s="489"/>
    </row>
    <row r="1012" spans="1:45" s="484" customFormat="1" ht="14.5">
      <c r="A1012" s="695"/>
      <c r="B1012" s="647"/>
      <c r="C1012" s="644"/>
      <c r="D1012" s="644"/>
      <c r="E1012" s="644"/>
      <c r="F1012" s="768"/>
      <c r="G1012" s="493"/>
      <c r="H1012" s="493"/>
      <c r="I1012" s="493"/>
      <c r="J1012" s="493"/>
      <c r="K1012" s="493"/>
      <c r="L1012" s="493"/>
      <c r="M1012" s="493"/>
      <c r="N1012" s="493"/>
      <c r="O1012" s="493"/>
      <c r="P1012" s="493"/>
      <c r="Q1012" s="493"/>
      <c r="R1012" s="493"/>
      <c r="S1012" s="493"/>
      <c r="T1012" s="794"/>
      <c r="V1012" s="641">
        <f t="shared" si="364"/>
        <v>0</v>
      </c>
      <c r="W1012" s="488"/>
      <c r="X1012" s="1016"/>
      <c r="Y1012" s="675"/>
      <c r="Z1012" s="767"/>
      <c r="AA1012" s="675"/>
      <c r="AB1012" s="767"/>
      <c r="AC1012" s="675"/>
      <c r="AD1012" s="767"/>
      <c r="AE1012" s="675"/>
      <c r="AF1012" s="767"/>
      <c r="AL1012" s="489"/>
      <c r="AM1012" s="489"/>
      <c r="AN1012" s="489"/>
      <c r="AO1012" s="489"/>
      <c r="AP1012" s="489"/>
      <c r="AQ1012" s="489"/>
      <c r="AR1012" s="489"/>
      <c r="AS1012" s="489"/>
    </row>
    <row r="1013" spans="1:45" s="484" customFormat="1">
      <c r="A1013" s="490" t="s">
        <v>1350</v>
      </c>
      <c r="B1013" s="653"/>
      <c r="C1013" s="654"/>
      <c r="D1013" s="654">
        <f>SUM(D977:D992)</f>
        <v>0</v>
      </c>
      <c r="E1013" s="654">
        <f>SUM(E977:E1012)</f>
        <v>54700101.199745007</v>
      </c>
      <c r="F1013" s="707"/>
      <c r="G1013" s="654">
        <f>SUM(G977:G1012)</f>
        <v>116500034.82721065</v>
      </c>
      <c r="H1013" s="654">
        <f t="shared" ref="H1013:V1013" si="374">SUM(H977:H1012)</f>
        <v>127537367.25493124</v>
      </c>
      <c r="I1013" s="654">
        <f t="shared" si="374"/>
        <v>135412367.25493124</v>
      </c>
      <c r="J1013" s="654">
        <f t="shared" si="374"/>
        <v>143287367.25493124</v>
      </c>
      <c r="K1013" s="654">
        <f t="shared" si="374"/>
        <v>151162367.25493124</v>
      </c>
      <c r="L1013" s="654">
        <f t="shared" si="374"/>
        <v>159037367.25493124</v>
      </c>
      <c r="M1013" s="654">
        <f t="shared" si="374"/>
        <v>166912367.25493124</v>
      </c>
      <c r="N1013" s="654">
        <f t="shared" si="374"/>
        <v>174787367.25493124</v>
      </c>
      <c r="O1013" s="654">
        <f t="shared" si="374"/>
        <v>182662367.25493124</v>
      </c>
      <c r="P1013" s="654">
        <f t="shared" si="374"/>
        <v>190537367.25493124</v>
      </c>
      <c r="Q1013" s="654">
        <f t="shared" si="374"/>
        <v>198412367.25493124</v>
      </c>
      <c r="R1013" s="654">
        <f>SUM(R977:R1012)</f>
        <v>206287367.25493124</v>
      </c>
      <c r="S1013" s="654">
        <f>SUM(S977:S1012)</f>
        <v>214162367.25493124</v>
      </c>
      <c r="T1013" s="816"/>
      <c r="V1013" s="654">
        <f t="shared" si="374"/>
        <v>2050198407.0591748</v>
      </c>
      <c r="W1013" s="708"/>
      <c r="X1013" s="1017"/>
      <c r="Y1013" s="718">
        <f>SUM(Y977:Y994)</f>
        <v>1924882864.4161177</v>
      </c>
      <c r="Z1013" s="708">
        <f>Y1013/V1013-1</f>
        <v>-6.112361721264381E-2</v>
      </c>
      <c r="AA1013" s="718">
        <f>SUM(AA977:AA992)</f>
        <v>1455431816.6526601</v>
      </c>
      <c r="AB1013" s="708">
        <f>+AA1013/Y1013-1</f>
        <v>-0.24388551451200013</v>
      </c>
      <c r="AC1013" s="718">
        <f>SUM(AC977:AC992)</f>
        <v>2122504732.6184626</v>
      </c>
      <c r="AD1013" s="708">
        <f>+AC1013/AA1013-1</f>
        <v>0.45833333333333326</v>
      </c>
      <c r="AE1013" s="718">
        <f>SUM(AE977:AE992)</f>
        <v>2865381389.0349245</v>
      </c>
      <c r="AF1013" s="708">
        <f>+AE1013/AC1013-1</f>
        <v>0.35000000000000009</v>
      </c>
      <c r="AL1013" s="489"/>
      <c r="AM1013" s="489"/>
      <c r="AN1013" s="489"/>
      <c r="AO1013" s="489"/>
      <c r="AP1013" s="489"/>
      <c r="AQ1013" s="489"/>
      <c r="AR1013" s="489"/>
      <c r="AS1013" s="489"/>
    </row>
    <row r="1014" spans="1:45" s="484" customFormat="1">
      <c r="A1014" s="499"/>
      <c r="B1014" s="773"/>
      <c r="C1014" s="774"/>
      <c r="D1014" s="774"/>
      <c r="E1014" s="774"/>
      <c r="F1014" s="733"/>
      <c r="G1014" s="774"/>
      <c r="H1014" s="774"/>
      <c r="I1014" s="774"/>
      <c r="J1014" s="774"/>
      <c r="K1014" s="774"/>
      <c r="L1014" s="774"/>
      <c r="M1014" s="774"/>
      <c r="N1014" s="774"/>
      <c r="O1014" s="774"/>
      <c r="P1014" s="774"/>
      <c r="Q1014" s="774"/>
      <c r="R1014" s="774"/>
      <c r="S1014" s="774"/>
      <c r="T1014" s="827"/>
      <c r="V1014" s="774"/>
      <c r="W1014" s="775"/>
      <c r="X1014" s="1030"/>
      <c r="Y1014" s="776"/>
      <c r="Z1014" s="775"/>
      <c r="AA1014" s="776"/>
      <c r="AB1014" s="775"/>
      <c r="AC1014" s="776"/>
      <c r="AD1014" s="775"/>
      <c r="AE1014" s="776"/>
      <c r="AF1014" s="775"/>
      <c r="AL1014" s="489"/>
      <c r="AM1014" s="489"/>
      <c r="AN1014" s="489"/>
      <c r="AO1014" s="489"/>
      <c r="AP1014" s="489"/>
      <c r="AQ1014" s="489"/>
      <c r="AR1014" s="489"/>
      <c r="AS1014" s="489"/>
    </row>
    <row r="1015" spans="1:45" s="484" customFormat="1">
      <c r="A1015" s="490" t="s">
        <v>1148</v>
      </c>
      <c r="B1015" s="633"/>
      <c r="C1015" s="634"/>
      <c r="D1015" s="689"/>
      <c r="E1015" s="689"/>
      <c r="F1015" s="691"/>
      <c r="G1015" s="690">
        <v>42735</v>
      </c>
      <c r="H1015" s="690">
        <v>42736</v>
      </c>
      <c r="I1015" s="690">
        <v>42768</v>
      </c>
      <c r="J1015" s="690">
        <v>42800</v>
      </c>
      <c r="K1015" s="690">
        <v>42832</v>
      </c>
      <c r="L1015" s="690">
        <v>42864</v>
      </c>
      <c r="M1015" s="690">
        <v>42896</v>
      </c>
      <c r="N1015" s="690">
        <v>42928</v>
      </c>
      <c r="O1015" s="690">
        <v>42960</v>
      </c>
      <c r="P1015" s="690">
        <v>42992</v>
      </c>
      <c r="Q1015" s="690">
        <v>43024</v>
      </c>
      <c r="R1015" s="690">
        <v>43056</v>
      </c>
      <c r="S1015" s="690">
        <v>43088</v>
      </c>
      <c r="T1015" s="822"/>
      <c r="V1015" s="690" t="s">
        <v>1159</v>
      </c>
      <c r="W1015" s="692"/>
      <c r="X1015" s="1022"/>
      <c r="Y1015" s="693"/>
      <c r="Z1015" s="693"/>
      <c r="AA1015" s="694"/>
      <c r="AB1015" s="694"/>
      <c r="AC1015" s="694"/>
      <c r="AD1015" s="694"/>
      <c r="AE1015" s="694"/>
      <c r="AF1015" s="694"/>
      <c r="AL1015" s="489"/>
      <c r="AM1015" s="489"/>
      <c r="AN1015" s="489"/>
      <c r="AO1015" s="489"/>
      <c r="AP1015" s="489"/>
      <c r="AQ1015" s="489"/>
      <c r="AR1015" s="489"/>
      <c r="AS1015" s="489"/>
    </row>
    <row r="1016" spans="1:45" s="484" customFormat="1">
      <c r="A1016" s="695" t="s">
        <v>1275</v>
      </c>
      <c r="B1016" s="638"/>
      <c r="C1016" s="639"/>
      <c r="D1016" s="639"/>
      <c r="E1016" s="493">
        <f>(0+E572)/2*$F1016/12</f>
        <v>0</v>
      </c>
      <c r="F1016" s="763">
        <f>+F977</f>
        <v>0.02</v>
      </c>
      <c r="G1016" s="493">
        <f>(E572+G572)/2*$F1016/12</f>
        <v>0</v>
      </c>
      <c r="H1016" s="493">
        <f t="shared" ref="H1016:Q1031" si="375">(G572+H572)/2*$F1016/12</f>
        <v>0</v>
      </c>
      <c r="I1016" s="493">
        <f t="shared" si="375"/>
        <v>0</v>
      </c>
      <c r="J1016" s="493">
        <f t="shared" si="375"/>
        <v>0</v>
      </c>
      <c r="K1016" s="493">
        <f t="shared" si="375"/>
        <v>0</v>
      </c>
      <c r="L1016" s="493">
        <f t="shared" si="375"/>
        <v>0</v>
      </c>
      <c r="M1016" s="493">
        <f t="shared" si="375"/>
        <v>0</v>
      </c>
      <c r="N1016" s="493">
        <f t="shared" ref="N1016:P1035" si="376">(M572+N572)/2*$F1016/12</f>
        <v>0</v>
      </c>
      <c r="O1016" s="493">
        <f t="shared" si="376"/>
        <v>0</v>
      </c>
      <c r="P1016" s="493">
        <f t="shared" si="376"/>
        <v>0</v>
      </c>
      <c r="Q1016" s="493">
        <f t="shared" si="375"/>
        <v>0</v>
      </c>
      <c r="R1016" s="493">
        <f t="shared" ref="R1016:R1050" si="377">(Q572+R572)/2*$F1016/12</f>
        <v>0</v>
      </c>
      <c r="S1016" s="493">
        <f t="shared" ref="S1016:S1050" si="378">(R572+S572)/2*$F1016/12</f>
        <v>0</v>
      </c>
      <c r="T1016" s="794"/>
      <c r="V1016" s="641">
        <f t="shared" ref="V1016:V1051" si="379">SUM(H1016:U1016)</f>
        <v>0</v>
      </c>
      <c r="W1016" s="704"/>
      <c r="X1016" s="1015"/>
      <c r="Y1016" s="664">
        <f t="shared" ref="Y1016:Y1035" si="380">(Y595+V595)/2*Z1016</f>
        <v>0</v>
      </c>
      <c r="Z1016" s="764">
        <v>0.02</v>
      </c>
      <c r="AA1016" s="664">
        <f t="shared" ref="AA1016:AA1035" si="381">(AA595+Y595)/2*AB1016</f>
        <v>0</v>
      </c>
      <c r="AB1016" s="764">
        <v>0.02</v>
      </c>
      <c r="AC1016" s="664">
        <f t="shared" ref="AC1016:AC1035" si="382">(AC595+AA595)/2*AD1016</f>
        <v>0</v>
      </c>
      <c r="AD1016" s="764">
        <v>0.02</v>
      </c>
      <c r="AE1016" s="664">
        <f t="shared" ref="AE1016:AE1035" si="383">(AE595+AC595)/2*AF1016</f>
        <v>0</v>
      </c>
      <c r="AF1016" s="764">
        <v>0.02</v>
      </c>
      <c r="AL1016" s="489"/>
      <c r="AM1016" s="489"/>
      <c r="AN1016" s="489"/>
      <c r="AO1016" s="489"/>
      <c r="AP1016" s="489"/>
      <c r="AQ1016" s="489"/>
      <c r="AR1016" s="489"/>
      <c r="AS1016" s="489"/>
    </row>
    <row r="1017" spans="1:45" s="484" customFormat="1" ht="14.5">
      <c r="A1017" s="695" t="s">
        <v>1276</v>
      </c>
      <c r="B1017" s="647"/>
      <c r="C1017" s="644"/>
      <c r="D1017" s="644"/>
      <c r="E1017" s="493">
        <f t="shared" ref="E1017:E1050" si="384">(0+E573)/2*$F1017/12</f>
        <v>0</v>
      </c>
      <c r="F1017" s="763">
        <f t="shared" ref="F1017:F1050" si="385">+F978</f>
        <v>1.2500000000000001E-2</v>
      </c>
      <c r="G1017" s="493">
        <f t="shared" ref="G1017:G1050" si="386">(E573+G573)/2*$F1017/12</f>
        <v>0</v>
      </c>
      <c r="H1017" s="493">
        <f t="shared" si="375"/>
        <v>13020.833333333334</v>
      </c>
      <c r="I1017" s="493">
        <f t="shared" si="375"/>
        <v>39062.5</v>
      </c>
      <c r="J1017" s="493">
        <f t="shared" si="375"/>
        <v>65104.166666666664</v>
      </c>
      <c r="K1017" s="493">
        <f t="shared" si="375"/>
        <v>91145.833333333328</v>
      </c>
      <c r="L1017" s="493">
        <f t="shared" si="375"/>
        <v>117187.5</v>
      </c>
      <c r="M1017" s="493">
        <f t="shared" si="375"/>
        <v>143229.16666666666</v>
      </c>
      <c r="N1017" s="493">
        <f t="shared" si="376"/>
        <v>169270.83333333334</v>
      </c>
      <c r="O1017" s="493">
        <f t="shared" si="376"/>
        <v>195312.5</v>
      </c>
      <c r="P1017" s="493">
        <f t="shared" si="376"/>
        <v>221354.16666666666</v>
      </c>
      <c r="Q1017" s="493">
        <f t="shared" si="375"/>
        <v>247395.83333333334</v>
      </c>
      <c r="R1017" s="493">
        <f t="shared" si="377"/>
        <v>273437.5</v>
      </c>
      <c r="S1017" s="493">
        <f t="shared" si="378"/>
        <v>299479.16666666669</v>
      </c>
      <c r="T1017" s="794"/>
      <c r="V1017" s="641">
        <f t="shared" si="379"/>
        <v>1875000</v>
      </c>
      <c r="W1017" s="765"/>
      <c r="X1017" s="1016"/>
      <c r="Y1017" s="675">
        <f t="shared" si="380"/>
        <v>0</v>
      </c>
      <c r="Z1017" s="766">
        <v>0.02</v>
      </c>
      <c r="AA1017" s="675">
        <f t="shared" si="381"/>
        <v>0</v>
      </c>
      <c r="AB1017" s="766">
        <v>0.02</v>
      </c>
      <c r="AC1017" s="675">
        <f t="shared" si="382"/>
        <v>0</v>
      </c>
      <c r="AD1017" s="766">
        <v>0.02</v>
      </c>
      <c r="AE1017" s="675">
        <f t="shared" si="383"/>
        <v>0</v>
      </c>
      <c r="AF1017" s="766">
        <v>0.02</v>
      </c>
      <c r="AL1017" s="489"/>
      <c r="AM1017" s="489"/>
      <c r="AN1017" s="489"/>
      <c r="AO1017" s="489"/>
      <c r="AP1017" s="489"/>
      <c r="AQ1017" s="489"/>
      <c r="AR1017" s="489"/>
      <c r="AS1017" s="489"/>
    </row>
    <row r="1018" spans="1:45" s="484" customFormat="1">
      <c r="A1018" s="695" t="s">
        <v>1277</v>
      </c>
      <c r="B1018" s="638"/>
      <c r="C1018" s="639"/>
      <c r="D1018" s="639"/>
      <c r="E1018" s="493">
        <f t="shared" si="384"/>
        <v>0</v>
      </c>
      <c r="F1018" s="763">
        <f t="shared" si="385"/>
        <v>1.2500000000000001E-2</v>
      </c>
      <c r="G1018" s="493">
        <f t="shared" si="386"/>
        <v>0</v>
      </c>
      <c r="H1018" s="493">
        <f t="shared" si="375"/>
        <v>0</v>
      </c>
      <c r="I1018" s="493">
        <f t="shared" si="375"/>
        <v>0</v>
      </c>
      <c r="J1018" s="493">
        <f t="shared" si="375"/>
        <v>0</v>
      </c>
      <c r="K1018" s="493">
        <f t="shared" si="375"/>
        <v>0</v>
      </c>
      <c r="L1018" s="493">
        <f t="shared" si="375"/>
        <v>0</v>
      </c>
      <c r="M1018" s="493">
        <f t="shared" si="375"/>
        <v>0</v>
      </c>
      <c r="N1018" s="493">
        <f t="shared" si="376"/>
        <v>0</v>
      </c>
      <c r="O1018" s="493">
        <f t="shared" si="376"/>
        <v>0</v>
      </c>
      <c r="P1018" s="493">
        <f t="shared" si="376"/>
        <v>0</v>
      </c>
      <c r="Q1018" s="493">
        <f t="shared" si="375"/>
        <v>0</v>
      </c>
      <c r="R1018" s="493">
        <f t="shared" si="377"/>
        <v>0</v>
      </c>
      <c r="S1018" s="493">
        <f t="shared" si="378"/>
        <v>0</v>
      </c>
      <c r="T1018" s="794"/>
      <c r="V1018" s="641">
        <f t="shared" si="379"/>
        <v>0</v>
      </c>
      <c r="W1018" s="713"/>
      <c r="X1018" s="1015"/>
      <c r="Y1018" s="675">
        <f t="shared" si="380"/>
        <v>0</v>
      </c>
      <c r="Z1018" s="766">
        <v>1.2500000000000001E-2</v>
      </c>
      <c r="AA1018" s="675">
        <f t="shared" si="381"/>
        <v>0</v>
      </c>
      <c r="AB1018" s="766">
        <v>1.2500000000000001E-2</v>
      </c>
      <c r="AC1018" s="675">
        <f t="shared" si="382"/>
        <v>0</v>
      </c>
      <c r="AD1018" s="766">
        <v>1.2500000000000001E-2</v>
      </c>
      <c r="AE1018" s="675">
        <f t="shared" si="383"/>
        <v>0</v>
      </c>
      <c r="AF1018" s="766">
        <v>1.2500000000000001E-2</v>
      </c>
      <c r="AL1018" s="489"/>
      <c r="AM1018" s="489"/>
      <c r="AN1018" s="489"/>
      <c r="AO1018" s="489"/>
      <c r="AP1018" s="489"/>
      <c r="AQ1018" s="489"/>
      <c r="AR1018" s="489"/>
      <c r="AS1018" s="489"/>
    </row>
    <row r="1019" spans="1:45" s="484" customFormat="1" ht="14.5">
      <c r="A1019" s="695" t="s">
        <v>1278</v>
      </c>
      <c r="B1019" s="647"/>
      <c r="C1019" s="644"/>
      <c r="D1019" s="644"/>
      <c r="E1019" s="493">
        <f t="shared" si="384"/>
        <v>0</v>
      </c>
      <c r="F1019" s="763">
        <f t="shared" si="385"/>
        <v>1.2500000000000001E-2</v>
      </c>
      <c r="G1019" s="493">
        <f t="shared" si="386"/>
        <v>0</v>
      </c>
      <c r="H1019" s="493">
        <f t="shared" si="375"/>
        <v>0</v>
      </c>
      <c r="I1019" s="493">
        <f t="shared" si="375"/>
        <v>0</v>
      </c>
      <c r="J1019" s="493">
        <f t="shared" si="375"/>
        <v>0</v>
      </c>
      <c r="K1019" s="493">
        <f t="shared" si="375"/>
        <v>0</v>
      </c>
      <c r="L1019" s="493">
        <f t="shared" si="375"/>
        <v>0</v>
      </c>
      <c r="M1019" s="493">
        <f t="shared" si="375"/>
        <v>0</v>
      </c>
      <c r="N1019" s="493">
        <f t="shared" si="376"/>
        <v>0</v>
      </c>
      <c r="O1019" s="493">
        <f t="shared" si="376"/>
        <v>0</v>
      </c>
      <c r="P1019" s="493">
        <f t="shared" si="376"/>
        <v>0</v>
      </c>
      <c r="Q1019" s="493">
        <f t="shared" si="375"/>
        <v>0</v>
      </c>
      <c r="R1019" s="493">
        <f t="shared" si="377"/>
        <v>0</v>
      </c>
      <c r="S1019" s="493">
        <f t="shared" si="378"/>
        <v>0</v>
      </c>
      <c r="T1019" s="794"/>
      <c r="V1019" s="641">
        <f t="shared" si="379"/>
        <v>0</v>
      </c>
      <c r="W1019" s="765"/>
      <c r="X1019" s="1016"/>
      <c r="Y1019" s="675">
        <f t="shared" si="380"/>
        <v>0</v>
      </c>
      <c r="Z1019" s="766">
        <v>1.2500000000000001E-2</v>
      </c>
      <c r="AA1019" s="675">
        <f t="shared" si="381"/>
        <v>0</v>
      </c>
      <c r="AB1019" s="766">
        <v>1.2500000000000001E-2</v>
      </c>
      <c r="AC1019" s="675">
        <f t="shared" si="382"/>
        <v>0</v>
      </c>
      <c r="AD1019" s="766">
        <v>1.2500000000000001E-2</v>
      </c>
      <c r="AE1019" s="675">
        <f t="shared" si="383"/>
        <v>0</v>
      </c>
      <c r="AF1019" s="766">
        <v>1.2500000000000001E-2</v>
      </c>
      <c r="AL1019" s="489"/>
      <c r="AM1019" s="489"/>
      <c r="AN1019" s="489"/>
      <c r="AO1019" s="489"/>
      <c r="AP1019" s="489"/>
      <c r="AQ1019" s="489"/>
      <c r="AR1019" s="489"/>
      <c r="AS1019" s="489"/>
    </row>
    <row r="1020" spans="1:45" s="484" customFormat="1">
      <c r="A1020" s="695" t="s">
        <v>1279</v>
      </c>
      <c r="B1020" s="638"/>
      <c r="C1020" s="639"/>
      <c r="D1020" s="639"/>
      <c r="E1020" s="493">
        <f t="shared" si="384"/>
        <v>0</v>
      </c>
      <c r="F1020" s="763">
        <f t="shared" si="385"/>
        <v>0.03</v>
      </c>
      <c r="G1020" s="493">
        <f t="shared" si="386"/>
        <v>0</v>
      </c>
      <c r="H1020" s="493">
        <f t="shared" si="375"/>
        <v>250000</v>
      </c>
      <c r="I1020" s="493">
        <f t="shared" si="375"/>
        <v>750000</v>
      </c>
      <c r="J1020" s="493">
        <f t="shared" si="375"/>
        <v>1250000</v>
      </c>
      <c r="K1020" s="493">
        <f t="shared" si="375"/>
        <v>1750000</v>
      </c>
      <c r="L1020" s="493">
        <f t="shared" si="375"/>
        <v>2250000</v>
      </c>
      <c r="M1020" s="493">
        <f t="shared" si="375"/>
        <v>2750000</v>
      </c>
      <c r="N1020" s="493">
        <f t="shared" si="376"/>
        <v>3250000</v>
      </c>
      <c r="O1020" s="493">
        <f t="shared" si="376"/>
        <v>3750000</v>
      </c>
      <c r="P1020" s="493">
        <f t="shared" si="376"/>
        <v>4250000</v>
      </c>
      <c r="Q1020" s="493">
        <f t="shared" si="375"/>
        <v>4750000</v>
      </c>
      <c r="R1020" s="493">
        <f t="shared" si="377"/>
        <v>5250000</v>
      </c>
      <c r="S1020" s="493">
        <f t="shared" si="378"/>
        <v>5750000</v>
      </c>
      <c r="T1020" s="794"/>
      <c r="V1020" s="641">
        <f t="shared" si="379"/>
        <v>36000000</v>
      </c>
      <c r="W1020" s="713"/>
      <c r="X1020" s="1015"/>
      <c r="Y1020" s="675">
        <f t="shared" si="380"/>
        <v>0</v>
      </c>
      <c r="Z1020" s="766">
        <f>1%/1.1</f>
        <v>9.0909090909090905E-3</v>
      </c>
      <c r="AA1020" s="675">
        <f t="shared" si="381"/>
        <v>0</v>
      </c>
      <c r="AB1020" s="766">
        <f>1%/1.1</f>
        <v>9.0909090909090905E-3</v>
      </c>
      <c r="AC1020" s="675">
        <f t="shared" si="382"/>
        <v>0</v>
      </c>
      <c r="AD1020" s="766">
        <f>1%/1.1</f>
        <v>9.0909090909090905E-3</v>
      </c>
      <c r="AE1020" s="675">
        <f t="shared" si="383"/>
        <v>0</v>
      </c>
      <c r="AF1020" s="766">
        <f>1%/1.1</f>
        <v>9.0909090909090905E-3</v>
      </c>
      <c r="AL1020" s="489"/>
      <c r="AM1020" s="489"/>
      <c r="AN1020" s="489"/>
      <c r="AO1020" s="489"/>
      <c r="AP1020" s="489"/>
      <c r="AQ1020" s="489"/>
      <c r="AR1020" s="489"/>
      <c r="AS1020" s="489"/>
    </row>
    <row r="1021" spans="1:45" s="484" customFormat="1" ht="14.5">
      <c r="A1021" s="695" t="s">
        <v>1280</v>
      </c>
      <c r="B1021" s="647"/>
      <c r="C1021" s="644"/>
      <c r="D1021" s="644"/>
      <c r="E1021" s="493">
        <f t="shared" si="384"/>
        <v>0</v>
      </c>
      <c r="F1021" s="763">
        <f t="shared" si="385"/>
        <v>1.2500000000000001E-2</v>
      </c>
      <c r="G1021" s="493">
        <f t="shared" si="386"/>
        <v>0</v>
      </c>
      <c r="H1021" s="493">
        <f t="shared" si="375"/>
        <v>26041.666666666668</v>
      </c>
      <c r="I1021" s="493">
        <f t="shared" si="375"/>
        <v>78125</v>
      </c>
      <c r="J1021" s="493">
        <f t="shared" si="375"/>
        <v>130208.33333333333</v>
      </c>
      <c r="K1021" s="493">
        <f t="shared" si="375"/>
        <v>182291.66666666666</v>
      </c>
      <c r="L1021" s="493">
        <f t="shared" si="375"/>
        <v>234375</v>
      </c>
      <c r="M1021" s="493">
        <f t="shared" si="375"/>
        <v>286458.33333333331</v>
      </c>
      <c r="N1021" s="493">
        <f t="shared" si="376"/>
        <v>338541.66666666669</v>
      </c>
      <c r="O1021" s="493">
        <f t="shared" si="376"/>
        <v>390625</v>
      </c>
      <c r="P1021" s="493">
        <f t="shared" si="376"/>
        <v>442708.33333333331</v>
      </c>
      <c r="Q1021" s="493">
        <f t="shared" si="375"/>
        <v>494791.66666666669</v>
      </c>
      <c r="R1021" s="493">
        <f t="shared" si="377"/>
        <v>546875</v>
      </c>
      <c r="S1021" s="493">
        <f t="shared" si="378"/>
        <v>598958.33333333337</v>
      </c>
      <c r="T1021" s="794"/>
      <c r="V1021" s="641">
        <f t="shared" si="379"/>
        <v>3750000</v>
      </c>
      <c r="W1021" s="765"/>
      <c r="X1021" s="1016"/>
      <c r="Y1021" s="675">
        <f t="shared" si="380"/>
        <v>0</v>
      </c>
      <c r="Z1021" s="766">
        <v>1.2500000000000001E-2</v>
      </c>
      <c r="AA1021" s="675">
        <f t="shared" si="381"/>
        <v>0</v>
      </c>
      <c r="AB1021" s="766">
        <v>1.2500000000000001E-2</v>
      </c>
      <c r="AC1021" s="675">
        <f t="shared" si="382"/>
        <v>0</v>
      </c>
      <c r="AD1021" s="766">
        <v>1.2500000000000001E-2</v>
      </c>
      <c r="AE1021" s="675">
        <f t="shared" si="383"/>
        <v>0</v>
      </c>
      <c r="AF1021" s="766">
        <v>1.2500000000000001E-2</v>
      </c>
      <c r="AL1021" s="489"/>
      <c r="AM1021" s="489"/>
      <c r="AN1021" s="489"/>
      <c r="AO1021" s="489"/>
      <c r="AP1021" s="489"/>
      <c r="AQ1021" s="489"/>
      <c r="AR1021" s="489"/>
      <c r="AS1021" s="489"/>
    </row>
    <row r="1022" spans="1:45" s="484" customFormat="1">
      <c r="A1022" s="695" t="s">
        <v>1281</v>
      </c>
      <c r="B1022" s="638"/>
      <c r="C1022" s="639"/>
      <c r="D1022" s="639"/>
      <c r="E1022" s="493">
        <f t="shared" si="384"/>
        <v>0</v>
      </c>
      <c r="F1022" s="763">
        <f t="shared" si="385"/>
        <v>8.9999999999999993E-3</v>
      </c>
      <c r="G1022" s="493">
        <f t="shared" si="386"/>
        <v>0</v>
      </c>
      <c r="H1022" s="493">
        <f t="shared" si="375"/>
        <v>3750</v>
      </c>
      <c r="I1022" s="493">
        <f t="shared" si="375"/>
        <v>11250</v>
      </c>
      <c r="J1022" s="493">
        <f t="shared" si="375"/>
        <v>18749.999999999996</v>
      </c>
      <c r="K1022" s="493">
        <f t="shared" si="375"/>
        <v>26250</v>
      </c>
      <c r="L1022" s="493">
        <f t="shared" si="375"/>
        <v>33749.999999999993</v>
      </c>
      <c r="M1022" s="493">
        <f t="shared" si="375"/>
        <v>41249.999999999993</v>
      </c>
      <c r="N1022" s="493">
        <f t="shared" si="376"/>
        <v>48750</v>
      </c>
      <c r="O1022" s="493">
        <f t="shared" si="376"/>
        <v>56250</v>
      </c>
      <c r="P1022" s="493">
        <f t="shared" si="376"/>
        <v>63750</v>
      </c>
      <c r="Q1022" s="493">
        <f t="shared" si="375"/>
        <v>71249.999999999985</v>
      </c>
      <c r="R1022" s="493">
        <f t="shared" si="377"/>
        <v>78749.999999999985</v>
      </c>
      <c r="S1022" s="493">
        <f t="shared" si="378"/>
        <v>86249.999999999985</v>
      </c>
      <c r="T1022" s="794"/>
      <c r="V1022" s="641">
        <f t="shared" si="379"/>
        <v>540000</v>
      </c>
      <c r="W1022" s="713"/>
      <c r="X1022" s="1015"/>
      <c r="Y1022" s="675">
        <f t="shared" si="380"/>
        <v>0</v>
      </c>
      <c r="Z1022" s="766">
        <v>1.2500000000000001E-2</v>
      </c>
      <c r="AA1022" s="675">
        <f t="shared" si="381"/>
        <v>0</v>
      </c>
      <c r="AB1022" s="766">
        <v>1.2500000000000001E-2</v>
      </c>
      <c r="AC1022" s="675">
        <f t="shared" si="382"/>
        <v>0</v>
      </c>
      <c r="AD1022" s="766">
        <v>1.2500000000000001E-2</v>
      </c>
      <c r="AE1022" s="675">
        <f t="shared" si="383"/>
        <v>0</v>
      </c>
      <c r="AF1022" s="766">
        <v>1.2500000000000001E-2</v>
      </c>
      <c r="AL1022" s="489"/>
      <c r="AM1022" s="489"/>
      <c r="AN1022" s="489"/>
      <c r="AO1022" s="489"/>
      <c r="AP1022" s="489"/>
      <c r="AQ1022" s="489"/>
      <c r="AR1022" s="489"/>
      <c r="AS1022" s="489"/>
    </row>
    <row r="1023" spans="1:45" s="484" customFormat="1" ht="14.5">
      <c r="A1023" s="695" t="s">
        <v>1282</v>
      </c>
      <c r="B1023" s="647"/>
      <c r="C1023" s="644"/>
      <c r="D1023" s="644"/>
      <c r="E1023" s="493">
        <f t="shared" si="384"/>
        <v>0</v>
      </c>
      <c r="F1023" s="763">
        <f t="shared" si="385"/>
        <v>0</v>
      </c>
      <c r="G1023" s="493">
        <f t="shared" si="386"/>
        <v>0</v>
      </c>
      <c r="H1023" s="493">
        <f t="shared" si="375"/>
        <v>0</v>
      </c>
      <c r="I1023" s="493">
        <f t="shared" si="375"/>
        <v>0</v>
      </c>
      <c r="J1023" s="493">
        <f t="shared" si="375"/>
        <v>0</v>
      </c>
      <c r="K1023" s="493">
        <f t="shared" si="375"/>
        <v>0</v>
      </c>
      <c r="L1023" s="493">
        <f t="shared" si="375"/>
        <v>0</v>
      </c>
      <c r="M1023" s="493">
        <f t="shared" si="375"/>
        <v>0</v>
      </c>
      <c r="N1023" s="493">
        <f t="shared" si="376"/>
        <v>0</v>
      </c>
      <c r="O1023" s="493">
        <f t="shared" si="376"/>
        <v>0</v>
      </c>
      <c r="P1023" s="493">
        <f t="shared" si="376"/>
        <v>0</v>
      </c>
      <c r="Q1023" s="493">
        <f t="shared" si="375"/>
        <v>0</v>
      </c>
      <c r="R1023" s="493">
        <f t="shared" si="377"/>
        <v>0</v>
      </c>
      <c r="S1023" s="493">
        <f t="shared" si="378"/>
        <v>0</v>
      </c>
      <c r="T1023" s="794"/>
      <c r="V1023" s="641">
        <f t="shared" si="379"/>
        <v>0</v>
      </c>
      <c r="W1023" s="765"/>
      <c r="X1023" s="1016"/>
      <c r="Y1023" s="675">
        <f t="shared" si="380"/>
        <v>0</v>
      </c>
      <c r="Z1023" s="766">
        <v>1.2500000000000001E-2</v>
      </c>
      <c r="AA1023" s="675">
        <f t="shared" si="381"/>
        <v>0</v>
      </c>
      <c r="AB1023" s="766">
        <v>1.2500000000000001E-2</v>
      </c>
      <c r="AC1023" s="675">
        <f t="shared" si="382"/>
        <v>0</v>
      </c>
      <c r="AD1023" s="766">
        <v>1.2500000000000001E-2</v>
      </c>
      <c r="AE1023" s="675">
        <f t="shared" si="383"/>
        <v>0</v>
      </c>
      <c r="AF1023" s="766">
        <v>1.2500000000000001E-2</v>
      </c>
      <c r="AL1023" s="489"/>
      <c r="AM1023" s="489"/>
      <c r="AN1023" s="489"/>
      <c r="AO1023" s="489"/>
      <c r="AP1023" s="489"/>
      <c r="AQ1023" s="489"/>
      <c r="AR1023" s="489"/>
      <c r="AS1023" s="489"/>
    </row>
    <row r="1024" spans="1:45" s="484" customFormat="1">
      <c r="A1024" s="695" t="s">
        <v>1283</v>
      </c>
      <c r="B1024" s="638"/>
      <c r="C1024" s="639"/>
      <c r="D1024" s="639"/>
      <c r="E1024" s="493">
        <f t="shared" si="384"/>
        <v>0</v>
      </c>
      <c r="F1024" s="763">
        <f t="shared" si="385"/>
        <v>0</v>
      </c>
      <c r="G1024" s="493">
        <f t="shared" si="386"/>
        <v>0</v>
      </c>
      <c r="H1024" s="493">
        <f t="shared" si="375"/>
        <v>0</v>
      </c>
      <c r="I1024" s="493">
        <f t="shared" si="375"/>
        <v>0</v>
      </c>
      <c r="J1024" s="493">
        <f t="shared" si="375"/>
        <v>0</v>
      </c>
      <c r="K1024" s="493">
        <f t="shared" si="375"/>
        <v>0</v>
      </c>
      <c r="L1024" s="493">
        <f t="shared" si="375"/>
        <v>0</v>
      </c>
      <c r="M1024" s="493">
        <f t="shared" si="375"/>
        <v>0</v>
      </c>
      <c r="N1024" s="493">
        <f t="shared" si="376"/>
        <v>0</v>
      </c>
      <c r="O1024" s="493">
        <f t="shared" si="376"/>
        <v>0</v>
      </c>
      <c r="P1024" s="493">
        <f t="shared" si="376"/>
        <v>0</v>
      </c>
      <c r="Q1024" s="493">
        <f t="shared" si="375"/>
        <v>0</v>
      </c>
      <c r="R1024" s="493">
        <f t="shared" si="377"/>
        <v>0</v>
      </c>
      <c r="S1024" s="493">
        <f t="shared" si="378"/>
        <v>0</v>
      </c>
      <c r="T1024" s="794"/>
      <c r="V1024" s="641">
        <f t="shared" si="379"/>
        <v>0</v>
      </c>
      <c r="W1024" s="713"/>
      <c r="X1024" s="1015"/>
      <c r="Y1024" s="675">
        <f t="shared" si="380"/>
        <v>0</v>
      </c>
      <c r="Z1024" s="766">
        <v>1.2500000000000001E-2</v>
      </c>
      <c r="AA1024" s="675">
        <f t="shared" si="381"/>
        <v>0</v>
      </c>
      <c r="AB1024" s="766">
        <v>1.2500000000000001E-2</v>
      </c>
      <c r="AC1024" s="675">
        <f t="shared" si="382"/>
        <v>0</v>
      </c>
      <c r="AD1024" s="766">
        <v>1.2500000000000001E-2</v>
      </c>
      <c r="AE1024" s="675">
        <f t="shared" si="383"/>
        <v>0</v>
      </c>
      <c r="AF1024" s="766">
        <v>1.2500000000000001E-2</v>
      </c>
      <c r="AL1024" s="489"/>
      <c r="AM1024" s="489"/>
      <c r="AN1024" s="489"/>
      <c r="AO1024" s="489"/>
      <c r="AP1024" s="489"/>
      <c r="AQ1024" s="489"/>
      <c r="AR1024" s="489"/>
      <c r="AS1024" s="489"/>
    </row>
    <row r="1025" spans="1:45" s="484" customFormat="1" ht="14.5">
      <c r="A1025" s="695" t="s">
        <v>1284</v>
      </c>
      <c r="B1025" s="647"/>
      <c r="C1025" s="644"/>
      <c r="D1025" s="644"/>
      <c r="E1025" s="493">
        <f t="shared" si="384"/>
        <v>0</v>
      </c>
      <c r="F1025" s="763">
        <f t="shared" si="385"/>
        <v>1.4999999999999999E-2</v>
      </c>
      <c r="G1025" s="493">
        <f t="shared" si="386"/>
        <v>0</v>
      </c>
      <c r="H1025" s="493">
        <f t="shared" si="375"/>
        <v>31250</v>
      </c>
      <c r="I1025" s="493">
        <f t="shared" si="375"/>
        <v>93750</v>
      </c>
      <c r="J1025" s="493">
        <f t="shared" si="375"/>
        <v>156250</v>
      </c>
      <c r="K1025" s="493">
        <f t="shared" si="375"/>
        <v>218750</v>
      </c>
      <c r="L1025" s="493">
        <f t="shared" si="375"/>
        <v>281250</v>
      </c>
      <c r="M1025" s="493">
        <f t="shared" si="375"/>
        <v>343750</v>
      </c>
      <c r="N1025" s="493">
        <f t="shared" si="376"/>
        <v>406250</v>
      </c>
      <c r="O1025" s="493">
        <f t="shared" si="376"/>
        <v>468750</v>
      </c>
      <c r="P1025" s="493">
        <f t="shared" si="376"/>
        <v>531250</v>
      </c>
      <c r="Q1025" s="493">
        <f t="shared" si="375"/>
        <v>593750</v>
      </c>
      <c r="R1025" s="493">
        <f t="shared" si="377"/>
        <v>656250</v>
      </c>
      <c r="S1025" s="493">
        <f t="shared" si="378"/>
        <v>718750</v>
      </c>
      <c r="T1025" s="794"/>
      <c r="V1025" s="641">
        <f t="shared" si="379"/>
        <v>4500000</v>
      </c>
      <c r="W1025" s="765"/>
      <c r="X1025" s="1016"/>
      <c r="Y1025" s="675">
        <f t="shared" si="380"/>
        <v>0</v>
      </c>
      <c r="Z1025" s="766">
        <v>1.2500000000000001E-2</v>
      </c>
      <c r="AA1025" s="675">
        <f t="shared" si="381"/>
        <v>0</v>
      </c>
      <c r="AB1025" s="766">
        <v>1.2500000000000001E-2</v>
      </c>
      <c r="AC1025" s="675">
        <f t="shared" si="382"/>
        <v>0</v>
      </c>
      <c r="AD1025" s="766">
        <v>1.2500000000000001E-2</v>
      </c>
      <c r="AE1025" s="675">
        <f t="shared" si="383"/>
        <v>0</v>
      </c>
      <c r="AF1025" s="766">
        <v>1.2500000000000001E-2</v>
      </c>
      <c r="AL1025" s="489"/>
      <c r="AM1025" s="489"/>
      <c r="AN1025" s="489"/>
      <c r="AO1025" s="489"/>
      <c r="AP1025" s="489"/>
      <c r="AQ1025" s="489"/>
      <c r="AR1025" s="489"/>
      <c r="AS1025" s="489"/>
    </row>
    <row r="1026" spans="1:45" s="484" customFormat="1">
      <c r="A1026" s="695" t="s">
        <v>1285</v>
      </c>
      <c r="B1026" s="638"/>
      <c r="C1026" s="639"/>
      <c r="D1026" s="639"/>
      <c r="E1026" s="493">
        <f t="shared" si="384"/>
        <v>0</v>
      </c>
      <c r="F1026" s="763">
        <f t="shared" si="385"/>
        <v>1.4999999999999999E-2</v>
      </c>
      <c r="G1026" s="493">
        <f t="shared" si="386"/>
        <v>0</v>
      </c>
      <c r="H1026" s="493">
        <f t="shared" si="375"/>
        <v>187500</v>
      </c>
      <c r="I1026" s="493">
        <f t="shared" si="375"/>
        <v>562500</v>
      </c>
      <c r="J1026" s="493">
        <f t="shared" si="375"/>
        <v>937500</v>
      </c>
      <c r="K1026" s="493">
        <f t="shared" si="375"/>
        <v>1312500</v>
      </c>
      <c r="L1026" s="493">
        <f t="shared" si="375"/>
        <v>1687500</v>
      </c>
      <c r="M1026" s="493">
        <f t="shared" si="375"/>
        <v>2062500</v>
      </c>
      <c r="N1026" s="493">
        <f t="shared" si="376"/>
        <v>2437500</v>
      </c>
      <c r="O1026" s="493">
        <f t="shared" si="376"/>
        <v>2812500</v>
      </c>
      <c r="P1026" s="493">
        <f t="shared" si="376"/>
        <v>3187500</v>
      </c>
      <c r="Q1026" s="493">
        <f t="shared" si="375"/>
        <v>3562500</v>
      </c>
      <c r="R1026" s="493">
        <f t="shared" si="377"/>
        <v>3937500</v>
      </c>
      <c r="S1026" s="493">
        <f t="shared" si="378"/>
        <v>4312500</v>
      </c>
      <c r="T1026" s="794"/>
      <c r="V1026" s="641">
        <f t="shared" si="379"/>
        <v>27000000</v>
      </c>
      <c r="W1026" s="713"/>
      <c r="X1026" s="1015"/>
      <c r="Y1026" s="675">
        <f t="shared" si="380"/>
        <v>0</v>
      </c>
      <c r="Z1026" s="766">
        <v>1.2500000000000001E-2</v>
      </c>
      <c r="AA1026" s="675">
        <f t="shared" si="381"/>
        <v>0</v>
      </c>
      <c r="AB1026" s="766">
        <v>1.2500000000000001E-2</v>
      </c>
      <c r="AC1026" s="675">
        <f t="shared" si="382"/>
        <v>0</v>
      </c>
      <c r="AD1026" s="766">
        <v>1.2500000000000001E-2</v>
      </c>
      <c r="AE1026" s="675">
        <f t="shared" si="383"/>
        <v>0</v>
      </c>
      <c r="AF1026" s="766">
        <v>1.2500000000000001E-2</v>
      </c>
      <c r="AL1026" s="489"/>
      <c r="AM1026" s="489"/>
      <c r="AN1026" s="489"/>
      <c r="AO1026" s="489"/>
      <c r="AP1026" s="489"/>
      <c r="AQ1026" s="489"/>
      <c r="AR1026" s="489"/>
      <c r="AS1026" s="489"/>
    </row>
    <row r="1027" spans="1:45" s="484" customFormat="1" ht="14.5">
      <c r="A1027" s="695" t="s">
        <v>1286</v>
      </c>
      <c r="B1027" s="647"/>
      <c r="C1027" s="644"/>
      <c r="D1027" s="644"/>
      <c r="E1027" s="493">
        <f t="shared" si="384"/>
        <v>0</v>
      </c>
      <c r="F1027" s="763">
        <f t="shared" si="385"/>
        <v>1.2500000000000001E-2</v>
      </c>
      <c r="G1027" s="493">
        <f t="shared" si="386"/>
        <v>0</v>
      </c>
      <c r="H1027" s="493">
        <f t="shared" si="375"/>
        <v>0</v>
      </c>
      <c r="I1027" s="493">
        <f t="shared" si="375"/>
        <v>0</v>
      </c>
      <c r="J1027" s="493">
        <f t="shared" si="375"/>
        <v>0</v>
      </c>
      <c r="K1027" s="493">
        <f t="shared" si="375"/>
        <v>0</v>
      </c>
      <c r="L1027" s="493">
        <f t="shared" si="375"/>
        <v>0</v>
      </c>
      <c r="M1027" s="493">
        <f t="shared" si="375"/>
        <v>0</v>
      </c>
      <c r="N1027" s="493">
        <f t="shared" si="376"/>
        <v>0</v>
      </c>
      <c r="O1027" s="493">
        <f t="shared" si="376"/>
        <v>0</v>
      </c>
      <c r="P1027" s="493">
        <f t="shared" si="376"/>
        <v>0</v>
      </c>
      <c r="Q1027" s="493">
        <f t="shared" si="375"/>
        <v>0</v>
      </c>
      <c r="R1027" s="493">
        <f t="shared" si="377"/>
        <v>0</v>
      </c>
      <c r="S1027" s="493">
        <f t="shared" si="378"/>
        <v>0</v>
      </c>
      <c r="T1027" s="794"/>
      <c r="V1027" s="641">
        <f t="shared" si="379"/>
        <v>0</v>
      </c>
      <c r="W1027" s="765"/>
      <c r="X1027" s="1016"/>
      <c r="Y1027" s="675">
        <f t="shared" si="380"/>
        <v>0</v>
      </c>
      <c r="Z1027" s="766">
        <f>1%/1.1</f>
        <v>9.0909090909090905E-3</v>
      </c>
      <c r="AA1027" s="675">
        <f t="shared" si="381"/>
        <v>0</v>
      </c>
      <c r="AB1027" s="766">
        <f>1%/1.1</f>
        <v>9.0909090909090905E-3</v>
      </c>
      <c r="AC1027" s="675">
        <f t="shared" si="382"/>
        <v>0</v>
      </c>
      <c r="AD1027" s="766">
        <f>1%/1.1</f>
        <v>9.0909090909090905E-3</v>
      </c>
      <c r="AE1027" s="675">
        <f t="shared" si="383"/>
        <v>0</v>
      </c>
      <c r="AF1027" s="766">
        <f>1%/1.1</f>
        <v>9.0909090909090905E-3</v>
      </c>
      <c r="AL1027" s="489"/>
      <c r="AM1027" s="489"/>
      <c r="AN1027" s="489"/>
      <c r="AO1027" s="489"/>
      <c r="AP1027" s="489"/>
      <c r="AQ1027" s="489"/>
      <c r="AR1027" s="489"/>
      <c r="AS1027" s="489"/>
    </row>
    <row r="1028" spans="1:45" s="484" customFormat="1">
      <c r="A1028" s="695" t="s">
        <v>1287</v>
      </c>
      <c r="B1028" s="638"/>
      <c r="C1028" s="639"/>
      <c r="D1028" s="639"/>
      <c r="E1028" s="493">
        <f t="shared" si="384"/>
        <v>0</v>
      </c>
      <c r="F1028" s="763">
        <f t="shared" si="385"/>
        <v>1.2500000000000001E-2</v>
      </c>
      <c r="G1028" s="493">
        <f t="shared" si="386"/>
        <v>0</v>
      </c>
      <c r="H1028" s="493">
        <f t="shared" si="375"/>
        <v>0</v>
      </c>
      <c r="I1028" s="493">
        <f t="shared" si="375"/>
        <v>0</v>
      </c>
      <c r="J1028" s="493">
        <f t="shared" si="375"/>
        <v>0</v>
      </c>
      <c r="K1028" s="493">
        <f t="shared" si="375"/>
        <v>0</v>
      </c>
      <c r="L1028" s="493">
        <f t="shared" si="375"/>
        <v>0</v>
      </c>
      <c r="M1028" s="493">
        <f t="shared" si="375"/>
        <v>0</v>
      </c>
      <c r="N1028" s="493">
        <f t="shared" si="376"/>
        <v>0</v>
      </c>
      <c r="O1028" s="493">
        <f t="shared" si="376"/>
        <v>0</v>
      </c>
      <c r="P1028" s="493">
        <f t="shared" si="376"/>
        <v>0</v>
      </c>
      <c r="Q1028" s="493">
        <f t="shared" si="375"/>
        <v>0</v>
      </c>
      <c r="R1028" s="493">
        <f t="shared" si="377"/>
        <v>0</v>
      </c>
      <c r="S1028" s="493">
        <f t="shared" si="378"/>
        <v>0</v>
      </c>
      <c r="T1028" s="794"/>
      <c r="V1028" s="641">
        <f t="shared" si="379"/>
        <v>0</v>
      </c>
      <c r="W1028" s="713"/>
      <c r="X1028" s="1015"/>
      <c r="Y1028" s="675">
        <f t="shared" si="380"/>
        <v>0</v>
      </c>
      <c r="Z1028" s="766">
        <v>1.5E-3</v>
      </c>
      <c r="AA1028" s="675">
        <f t="shared" si="381"/>
        <v>0</v>
      </c>
      <c r="AB1028" s="766">
        <v>1.5E-3</v>
      </c>
      <c r="AC1028" s="675">
        <f t="shared" si="382"/>
        <v>0</v>
      </c>
      <c r="AD1028" s="766">
        <v>1.5E-3</v>
      </c>
      <c r="AE1028" s="675">
        <f t="shared" si="383"/>
        <v>0</v>
      </c>
      <c r="AF1028" s="766">
        <v>1.5E-3</v>
      </c>
      <c r="AL1028" s="489"/>
      <c r="AM1028" s="489"/>
      <c r="AN1028" s="489"/>
      <c r="AO1028" s="489"/>
      <c r="AP1028" s="489"/>
      <c r="AQ1028" s="489"/>
      <c r="AR1028" s="489"/>
      <c r="AS1028" s="489"/>
    </row>
    <row r="1029" spans="1:45" s="484" customFormat="1" ht="14.5">
      <c r="A1029" s="695" t="s">
        <v>1288</v>
      </c>
      <c r="B1029" s="647"/>
      <c r="C1029" s="644"/>
      <c r="D1029" s="644"/>
      <c r="E1029" s="493">
        <f t="shared" si="384"/>
        <v>0</v>
      </c>
      <c r="F1029" s="763">
        <f t="shared" si="385"/>
        <v>1.75E-3</v>
      </c>
      <c r="G1029" s="493">
        <f t="shared" si="386"/>
        <v>0</v>
      </c>
      <c r="H1029" s="493">
        <f t="shared" si="375"/>
        <v>0</v>
      </c>
      <c r="I1029" s="493">
        <f t="shared" si="375"/>
        <v>0</v>
      </c>
      <c r="J1029" s="493">
        <f t="shared" si="375"/>
        <v>0</v>
      </c>
      <c r="K1029" s="493">
        <f t="shared" si="375"/>
        <v>0</v>
      </c>
      <c r="L1029" s="493">
        <f t="shared" si="375"/>
        <v>0</v>
      </c>
      <c r="M1029" s="493">
        <f t="shared" si="375"/>
        <v>0</v>
      </c>
      <c r="N1029" s="493">
        <f t="shared" si="376"/>
        <v>0</v>
      </c>
      <c r="O1029" s="493">
        <f t="shared" si="376"/>
        <v>0</v>
      </c>
      <c r="P1029" s="493">
        <f t="shared" si="376"/>
        <v>0</v>
      </c>
      <c r="Q1029" s="493">
        <f t="shared" si="375"/>
        <v>0</v>
      </c>
      <c r="R1029" s="493">
        <f t="shared" si="377"/>
        <v>0</v>
      </c>
      <c r="S1029" s="493">
        <f t="shared" si="378"/>
        <v>0</v>
      </c>
      <c r="T1029" s="794"/>
      <c r="V1029" s="641">
        <f t="shared" si="379"/>
        <v>0</v>
      </c>
      <c r="W1029" s="765"/>
      <c r="X1029" s="1016"/>
      <c r="Y1029" s="675">
        <f t="shared" si="380"/>
        <v>161525000</v>
      </c>
      <c r="Z1029" s="766">
        <v>1.2500000000000001E-2</v>
      </c>
      <c r="AA1029" s="675">
        <f t="shared" si="381"/>
        <v>126360000</v>
      </c>
      <c r="AB1029" s="766">
        <v>1.2500000000000001E-2</v>
      </c>
      <c r="AC1029" s="675">
        <f t="shared" si="382"/>
        <v>184275000</v>
      </c>
      <c r="AD1029" s="766">
        <v>1.2500000000000001E-2</v>
      </c>
      <c r="AE1029" s="675">
        <f t="shared" si="383"/>
        <v>248771250</v>
      </c>
      <c r="AF1029" s="766">
        <v>1.2500000000000001E-2</v>
      </c>
      <c r="AL1029" s="489"/>
      <c r="AM1029" s="489"/>
      <c r="AN1029" s="489"/>
      <c r="AO1029" s="489"/>
      <c r="AP1029" s="489"/>
      <c r="AQ1029" s="489"/>
      <c r="AR1029" s="489"/>
      <c r="AS1029" s="489"/>
    </row>
    <row r="1030" spans="1:45" s="484" customFormat="1">
      <c r="A1030" s="695" t="s">
        <v>1289</v>
      </c>
      <c r="B1030" s="647"/>
      <c r="C1030" s="648"/>
      <c r="D1030" s="639"/>
      <c r="E1030" s="493">
        <f t="shared" si="384"/>
        <v>0</v>
      </c>
      <c r="F1030" s="763">
        <f t="shared" si="385"/>
        <v>1.125E-2</v>
      </c>
      <c r="G1030" s="493">
        <f t="shared" si="386"/>
        <v>0</v>
      </c>
      <c r="H1030" s="493">
        <f t="shared" si="375"/>
        <v>0</v>
      </c>
      <c r="I1030" s="493">
        <f t="shared" si="375"/>
        <v>0</v>
      </c>
      <c r="J1030" s="493">
        <f t="shared" si="375"/>
        <v>0</v>
      </c>
      <c r="K1030" s="493">
        <f t="shared" si="375"/>
        <v>0</v>
      </c>
      <c r="L1030" s="493">
        <f t="shared" si="375"/>
        <v>0</v>
      </c>
      <c r="M1030" s="493">
        <f t="shared" si="375"/>
        <v>0</v>
      </c>
      <c r="N1030" s="493">
        <f t="shared" si="376"/>
        <v>0</v>
      </c>
      <c r="O1030" s="493">
        <f t="shared" si="376"/>
        <v>0</v>
      </c>
      <c r="P1030" s="493">
        <f t="shared" si="376"/>
        <v>0</v>
      </c>
      <c r="Q1030" s="493">
        <f t="shared" si="375"/>
        <v>0</v>
      </c>
      <c r="R1030" s="493">
        <f t="shared" si="377"/>
        <v>0</v>
      </c>
      <c r="S1030" s="493">
        <f t="shared" si="378"/>
        <v>0</v>
      </c>
      <c r="T1030" s="794"/>
      <c r="V1030" s="641">
        <f t="shared" si="379"/>
        <v>0</v>
      </c>
      <c r="W1030" s="713"/>
      <c r="X1030" s="1015"/>
      <c r="Y1030" s="675">
        <f t="shared" si="380"/>
        <v>0</v>
      </c>
      <c r="Z1030" s="766">
        <v>3.0000000000000001E-3</v>
      </c>
      <c r="AA1030" s="675">
        <f t="shared" si="381"/>
        <v>0</v>
      </c>
      <c r="AB1030" s="766">
        <v>3.0000000000000001E-3</v>
      </c>
      <c r="AC1030" s="675">
        <f t="shared" si="382"/>
        <v>0</v>
      </c>
      <c r="AD1030" s="766">
        <v>3.0000000000000001E-3</v>
      </c>
      <c r="AE1030" s="675">
        <f t="shared" si="383"/>
        <v>0</v>
      </c>
      <c r="AF1030" s="766">
        <v>3.0000000000000001E-3</v>
      </c>
      <c r="AL1030" s="489"/>
      <c r="AM1030" s="489"/>
      <c r="AN1030" s="489"/>
      <c r="AO1030" s="489"/>
      <c r="AP1030" s="489"/>
      <c r="AQ1030" s="489"/>
      <c r="AR1030" s="489"/>
      <c r="AS1030" s="489"/>
    </row>
    <row r="1031" spans="1:45" s="484" customFormat="1" ht="14.5">
      <c r="A1031" s="695" t="s">
        <v>1290</v>
      </c>
      <c r="B1031" s="647"/>
      <c r="C1031" s="644"/>
      <c r="D1031" s="644"/>
      <c r="E1031" s="493">
        <f t="shared" si="384"/>
        <v>0</v>
      </c>
      <c r="F1031" s="763">
        <f t="shared" si="385"/>
        <v>1.5E-3</v>
      </c>
      <c r="G1031" s="493">
        <f t="shared" si="386"/>
        <v>0</v>
      </c>
      <c r="H1031" s="493">
        <f t="shared" si="375"/>
        <v>0</v>
      </c>
      <c r="I1031" s="493">
        <f t="shared" si="375"/>
        <v>0</v>
      </c>
      <c r="J1031" s="493">
        <f t="shared" si="375"/>
        <v>0</v>
      </c>
      <c r="K1031" s="493">
        <f t="shared" si="375"/>
        <v>0</v>
      </c>
      <c r="L1031" s="493">
        <f t="shared" si="375"/>
        <v>0</v>
      </c>
      <c r="M1031" s="493">
        <f t="shared" si="375"/>
        <v>0</v>
      </c>
      <c r="N1031" s="493">
        <f t="shared" si="376"/>
        <v>0</v>
      </c>
      <c r="O1031" s="493">
        <f t="shared" si="376"/>
        <v>0</v>
      </c>
      <c r="P1031" s="493">
        <f t="shared" si="376"/>
        <v>0</v>
      </c>
      <c r="Q1031" s="493">
        <f t="shared" si="375"/>
        <v>0</v>
      </c>
      <c r="R1031" s="493">
        <f t="shared" si="377"/>
        <v>0</v>
      </c>
      <c r="S1031" s="493">
        <f t="shared" si="378"/>
        <v>0</v>
      </c>
      <c r="T1031" s="794"/>
      <c r="V1031" s="641">
        <f t="shared" si="379"/>
        <v>0</v>
      </c>
      <c r="W1031" s="488"/>
      <c r="X1031" s="1016"/>
      <c r="Y1031" s="675">
        <f t="shared" si="380"/>
        <v>0.68578000000000006</v>
      </c>
      <c r="Z1031" s="767">
        <v>6.8000000000000005E-4</v>
      </c>
      <c r="AA1031" s="675">
        <f t="shared" si="381"/>
        <v>0</v>
      </c>
      <c r="AB1031" s="767">
        <v>6.8000000000000005E-4</v>
      </c>
      <c r="AC1031" s="675">
        <f t="shared" si="382"/>
        <v>0</v>
      </c>
      <c r="AD1031" s="767">
        <v>6.8000000000000005E-4</v>
      </c>
      <c r="AE1031" s="675">
        <f t="shared" si="383"/>
        <v>0</v>
      </c>
      <c r="AF1031" s="767">
        <v>6.8000000000000005E-4</v>
      </c>
      <c r="AL1031" s="489"/>
      <c r="AM1031" s="489"/>
      <c r="AN1031" s="489"/>
      <c r="AO1031" s="489"/>
      <c r="AP1031" s="489"/>
      <c r="AQ1031" s="489"/>
      <c r="AR1031" s="489"/>
      <c r="AS1031" s="489"/>
    </row>
    <row r="1032" spans="1:45" s="484" customFormat="1">
      <c r="A1032" s="695" t="s">
        <v>1291</v>
      </c>
      <c r="B1032" s="647"/>
      <c r="C1032" s="648"/>
      <c r="D1032" s="639"/>
      <c r="E1032" s="493">
        <f t="shared" si="384"/>
        <v>0</v>
      </c>
      <c r="F1032" s="763">
        <f t="shared" si="385"/>
        <v>1.4999999999999999E-2</v>
      </c>
      <c r="G1032" s="493">
        <f t="shared" si="386"/>
        <v>0</v>
      </c>
      <c r="H1032" s="493">
        <f t="shared" ref="H1032:Q1047" si="387">(G588+H588)/2*$F1032/12</f>
        <v>0</v>
      </c>
      <c r="I1032" s="493">
        <f t="shared" si="387"/>
        <v>0</v>
      </c>
      <c r="J1032" s="493">
        <f t="shared" si="387"/>
        <v>0</v>
      </c>
      <c r="K1032" s="493">
        <f t="shared" si="387"/>
        <v>0</v>
      </c>
      <c r="L1032" s="493">
        <f t="shared" si="387"/>
        <v>0</v>
      </c>
      <c r="M1032" s="493">
        <f t="shared" si="387"/>
        <v>0</v>
      </c>
      <c r="N1032" s="493">
        <f t="shared" si="376"/>
        <v>0</v>
      </c>
      <c r="O1032" s="493">
        <f t="shared" si="376"/>
        <v>0</v>
      </c>
      <c r="P1032" s="493">
        <f t="shared" si="376"/>
        <v>0</v>
      </c>
      <c r="Q1032" s="493">
        <f t="shared" si="387"/>
        <v>0</v>
      </c>
      <c r="R1032" s="493">
        <f t="shared" si="377"/>
        <v>0</v>
      </c>
      <c r="S1032" s="493">
        <f t="shared" si="378"/>
        <v>0</v>
      </c>
      <c r="T1032" s="794"/>
      <c r="V1032" s="641">
        <f t="shared" si="379"/>
        <v>0</v>
      </c>
      <c r="W1032" s="713"/>
      <c r="X1032" s="1015"/>
      <c r="Y1032" s="675">
        <f t="shared" si="380"/>
        <v>0</v>
      </c>
      <c r="Z1032" s="767">
        <v>7.5000000000000002E-4</v>
      </c>
      <c r="AA1032" s="675">
        <f t="shared" si="381"/>
        <v>0</v>
      </c>
      <c r="AB1032" s="767">
        <v>7.5000000000000002E-4</v>
      </c>
      <c r="AC1032" s="675">
        <f t="shared" si="382"/>
        <v>0</v>
      </c>
      <c r="AD1032" s="767">
        <v>7.5000000000000002E-4</v>
      </c>
      <c r="AE1032" s="675">
        <f t="shared" si="383"/>
        <v>0</v>
      </c>
      <c r="AF1032" s="767">
        <v>7.5000000000000002E-4</v>
      </c>
      <c r="AL1032" s="489"/>
      <c r="AM1032" s="489"/>
      <c r="AN1032" s="489"/>
      <c r="AO1032" s="489"/>
      <c r="AP1032" s="489"/>
      <c r="AQ1032" s="489"/>
      <c r="AR1032" s="489"/>
      <c r="AS1032" s="489"/>
    </row>
    <row r="1033" spans="1:45" s="484" customFormat="1" ht="14.5">
      <c r="A1033" s="695" t="s">
        <v>1292</v>
      </c>
      <c r="B1033" s="647"/>
      <c r="C1033" s="644"/>
      <c r="D1033" s="644"/>
      <c r="E1033" s="493">
        <f t="shared" si="384"/>
        <v>0</v>
      </c>
      <c r="F1033" s="763">
        <f t="shared" si="385"/>
        <v>1.4999999999999999E-2</v>
      </c>
      <c r="G1033" s="493">
        <f t="shared" si="386"/>
        <v>0</v>
      </c>
      <c r="H1033" s="493">
        <f t="shared" si="387"/>
        <v>0</v>
      </c>
      <c r="I1033" s="493">
        <f t="shared" si="387"/>
        <v>0</v>
      </c>
      <c r="J1033" s="493">
        <f t="shared" si="387"/>
        <v>0</v>
      </c>
      <c r="K1033" s="493">
        <f t="shared" si="387"/>
        <v>0</v>
      </c>
      <c r="L1033" s="493">
        <f t="shared" si="387"/>
        <v>0</v>
      </c>
      <c r="M1033" s="493">
        <f t="shared" si="387"/>
        <v>0</v>
      </c>
      <c r="N1033" s="493">
        <f t="shared" si="376"/>
        <v>0</v>
      </c>
      <c r="O1033" s="493">
        <f t="shared" si="376"/>
        <v>0</v>
      </c>
      <c r="P1033" s="493">
        <f t="shared" si="376"/>
        <v>0</v>
      </c>
      <c r="Q1033" s="493">
        <f t="shared" si="387"/>
        <v>0</v>
      </c>
      <c r="R1033" s="493">
        <f t="shared" si="377"/>
        <v>0</v>
      </c>
      <c r="S1033" s="493">
        <f t="shared" si="378"/>
        <v>0</v>
      </c>
      <c r="T1033" s="794"/>
      <c r="V1033" s="641">
        <f t="shared" si="379"/>
        <v>0</v>
      </c>
      <c r="W1033" s="488"/>
      <c r="X1033" s="1016"/>
      <c r="Y1033" s="675">
        <f t="shared" si="380"/>
        <v>0</v>
      </c>
      <c r="Z1033" s="767">
        <f>0.3%/1.1</f>
        <v>2.7272727272727271E-3</v>
      </c>
      <c r="AA1033" s="675">
        <f t="shared" si="381"/>
        <v>0</v>
      </c>
      <c r="AB1033" s="767">
        <f>0.3%/1.1</f>
        <v>2.7272727272727271E-3</v>
      </c>
      <c r="AC1033" s="675">
        <f t="shared" si="382"/>
        <v>0</v>
      </c>
      <c r="AD1033" s="767">
        <f>0.3%/1.1</f>
        <v>2.7272727272727271E-3</v>
      </c>
      <c r="AE1033" s="675">
        <f t="shared" si="383"/>
        <v>0</v>
      </c>
      <c r="AF1033" s="767">
        <f>0.3%/1.1</f>
        <v>2.7272727272727271E-3</v>
      </c>
      <c r="AL1033" s="489"/>
      <c r="AM1033" s="489"/>
      <c r="AN1033" s="489"/>
      <c r="AO1033" s="489"/>
      <c r="AP1033" s="489"/>
      <c r="AQ1033" s="489"/>
      <c r="AR1033" s="489"/>
      <c r="AS1033" s="489"/>
    </row>
    <row r="1034" spans="1:45" s="484" customFormat="1" ht="14.5">
      <c r="A1034" s="695" t="s">
        <v>1293</v>
      </c>
      <c r="B1034" s="647"/>
      <c r="C1034" s="644"/>
      <c r="D1034" s="644"/>
      <c r="E1034" s="493">
        <f t="shared" si="384"/>
        <v>0</v>
      </c>
      <c r="F1034" s="763">
        <f t="shared" si="385"/>
        <v>1.4999999999999999E-2</v>
      </c>
      <c r="G1034" s="493">
        <f t="shared" si="386"/>
        <v>0</v>
      </c>
      <c r="H1034" s="493">
        <f t="shared" si="387"/>
        <v>0</v>
      </c>
      <c r="I1034" s="493">
        <f t="shared" si="387"/>
        <v>0</v>
      </c>
      <c r="J1034" s="493">
        <f t="shared" si="387"/>
        <v>0</v>
      </c>
      <c r="K1034" s="493">
        <f t="shared" si="387"/>
        <v>0</v>
      </c>
      <c r="L1034" s="493">
        <f t="shared" si="387"/>
        <v>0</v>
      </c>
      <c r="M1034" s="493">
        <f t="shared" si="387"/>
        <v>0</v>
      </c>
      <c r="N1034" s="493">
        <f t="shared" si="376"/>
        <v>0</v>
      </c>
      <c r="O1034" s="493">
        <f t="shared" si="376"/>
        <v>0</v>
      </c>
      <c r="P1034" s="493">
        <f t="shared" si="376"/>
        <v>0</v>
      </c>
      <c r="Q1034" s="493">
        <f t="shared" si="387"/>
        <v>0</v>
      </c>
      <c r="R1034" s="493">
        <f t="shared" si="377"/>
        <v>0</v>
      </c>
      <c r="S1034" s="493">
        <f t="shared" si="378"/>
        <v>0</v>
      </c>
      <c r="T1034" s="794"/>
      <c r="V1034" s="641">
        <f t="shared" si="379"/>
        <v>0</v>
      </c>
      <c r="W1034" s="488"/>
      <c r="X1034" s="1016"/>
      <c r="Y1034" s="675">
        <f t="shared" si="380"/>
        <v>1556248.7566880258</v>
      </c>
      <c r="Z1034" s="767">
        <f>0.3%/1.1</f>
        <v>2.7272727272727271E-3</v>
      </c>
      <c r="AA1034" s="675">
        <f t="shared" si="381"/>
        <v>2037271.0996643247</v>
      </c>
      <c r="AB1034" s="767">
        <f>0.3%/1.1</f>
        <v>2.7272727272727271E-3</v>
      </c>
      <c r="AC1034" s="675">
        <f t="shared" si="382"/>
        <v>2971020.3536771396</v>
      </c>
      <c r="AD1034" s="767">
        <f>0.3%/1.1</f>
        <v>2.7272727272727271E-3</v>
      </c>
      <c r="AE1034" s="675">
        <f t="shared" si="383"/>
        <v>4010877.4774641385</v>
      </c>
      <c r="AF1034" s="767">
        <f>0.3%/1.1</f>
        <v>2.7272727272727271E-3</v>
      </c>
      <c r="AL1034" s="489"/>
      <c r="AM1034" s="489"/>
      <c r="AN1034" s="489"/>
      <c r="AO1034" s="489"/>
      <c r="AP1034" s="489"/>
      <c r="AQ1034" s="489"/>
      <c r="AR1034" s="489"/>
      <c r="AS1034" s="489"/>
    </row>
    <row r="1035" spans="1:45" s="484" customFormat="1" ht="14.5">
      <c r="A1035" s="695" t="s">
        <v>1294</v>
      </c>
      <c r="B1035" s="647"/>
      <c r="C1035" s="644"/>
      <c r="D1035" s="644"/>
      <c r="E1035" s="493">
        <f t="shared" si="384"/>
        <v>0</v>
      </c>
      <c r="F1035" s="763">
        <f t="shared" si="385"/>
        <v>6.4999999999999997E-3</v>
      </c>
      <c r="G1035" s="493">
        <f t="shared" si="386"/>
        <v>54166.666666666664</v>
      </c>
      <c r="H1035" s="493">
        <f t="shared" si="387"/>
        <v>311458.33333333331</v>
      </c>
      <c r="I1035" s="493">
        <f t="shared" si="387"/>
        <v>717708.33333333337</v>
      </c>
      <c r="J1035" s="493">
        <f t="shared" si="387"/>
        <v>1123958.3333333333</v>
      </c>
      <c r="K1035" s="493">
        <f t="shared" si="387"/>
        <v>1530208.3333333333</v>
      </c>
      <c r="L1035" s="493">
        <f t="shared" si="387"/>
        <v>1936458.3333333333</v>
      </c>
      <c r="M1035" s="493">
        <f t="shared" si="387"/>
        <v>2342708.3333333335</v>
      </c>
      <c r="N1035" s="493">
        <f t="shared" si="376"/>
        <v>2748958.3333333335</v>
      </c>
      <c r="O1035" s="493">
        <f t="shared" si="376"/>
        <v>3155208.3333333335</v>
      </c>
      <c r="P1035" s="493">
        <f t="shared" si="376"/>
        <v>3561458.3333333335</v>
      </c>
      <c r="Q1035" s="493">
        <f t="shared" si="387"/>
        <v>3967708.3333333335</v>
      </c>
      <c r="R1035" s="493">
        <f t="shared" si="377"/>
        <v>4373958.333333333</v>
      </c>
      <c r="S1035" s="493">
        <f t="shared" si="378"/>
        <v>4780208.333333333</v>
      </c>
      <c r="T1035" s="794"/>
      <c r="V1035" s="641">
        <f t="shared" si="379"/>
        <v>30549999.999999996</v>
      </c>
      <c r="W1035" s="488"/>
      <c r="X1035" s="1016"/>
      <c r="Y1035" s="675">
        <f t="shared" si="380"/>
        <v>0</v>
      </c>
      <c r="Z1035" s="767">
        <f>0.3%/1.1</f>
        <v>2.7272727272727271E-3</v>
      </c>
      <c r="AA1035" s="675">
        <f t="shared" si="381"/>
        <v>0</v>
      </c>
      <c r="AB1035" s="767">
        <f>0.3%/1.1</f>
        <v>2.7272727272727271E-3</v>
      </c>
      <c r="AC1035" s="675">
        <f t="shared" si="382"/>
        <v>0</v>
      </c>
      <c r="AD1035" s="767">
        <f>0.3%/1.1</f>
        <v>2.7272727272727271E-3</v>
      </c>
      <c r="AE1035" s="675">
        <f t="shared" si="383"/>
        <v>0</v>
      </c>
      <c r="AF1035" s="767">
        <f>0.3%/1.1</f>
        <v>2.7272727272727271E-3</v>
      </c>
      <c r="AL1035" s="489"/>
      <c r="AM1035" s="489"/>
      <c r="AN1035" s="489"/>
      <c r="AO1035" s="489"/>
      <c r="AP1035" s="489"/>
      <c r="AQ1035" s="489"/>
      <c r="AR1035" s="489"/>
      <c r="AS1035" s="489"/>
    </row>
    <row r="1036" spans="1:45" s="484" customFormat="1" ht="14.5">
      <c r="A1036" s="695" t="s">
        <v>1295</v>
      </c>
      <c r="B1036" s="647"/>
      <c r="C1036" s="644"/>
      <c r="D1036" s="644"/>
      <c r="E1036" s="493">
        <f t="shared" si="384"/>
        <v>0</v>
      </c>
      <c r="F1036" s="763">
        <f t="shared" si="385"/>
        <v>6.4999999999999997E-3</v>
      </c>
      <c r="G1036" s="493">
        <f t="shared" si="386"/>
        <v>0</v>
      </c>
      <c r="H1036" s="493">
        <f t="shared" si="387"/>
        <v>13541.666666666666</v>
      </c>
      <c r="I1036" s="493">
        <f t="shared" si="387"/>
        <v>40625</v>
      </c>
      <c r="J1036" s="493">
        <f t="shared" si="387"/>
        <v>67708.333333333328</v>
      </c>
      <c r="K1036" s="493">
        <f t="shared" si="387"/>
        <v>94791.666666666672</v>
      </c>
      <c r="L1036" s="493">
        <f t="shared" si="387"/>
        <v>121875</v>
      </c>
      <c r="M1036" s="493">
        <f t="shared" si="387"/>
        <v>148958.33333333334</v>
      </c>
      <c r="N1036" s="493">
        <f t="shared" si="387"/>
        <v>176041.66666666666</v>
      </c>
      <c r="O1036" s="493">
        <f t="shared" si="387"/>
        <v>203125</v>
      </c>
      <c r="P1036" s="493">
        <f t="shared" si="387"/>
        <v>230208.33333333334</v>
      </c>
      <c r="Q1036" s="493">
        <f t="shared" si="387"/>
        <v>257291.66666666666</v>
      </c>
      <c r="R1036" s="493">
        <f t="shared" si="377"/>
        <v>284375</v>
      </c>
      <c r="S1036" s="493">
        <f t="shared" si="378"/>
        <v>311458.33333333331</v>
      </c>
      <c r="T1036" s="794"/>
      <c r="V1036" s="641">
        <f t="shared" si="379"/>
        <v>1950000</v>
      </c>
      <c r="W1036" s="488"/>
      <c r="X1036" s="1016"/>
      <c r="Y1036" s="675"/>
      <c r="Z1036" s="767"/>
      <c r="AA1036" s="675"/>
      <c r="AB1036" s="767"/>
      <c r="AC1036" s="675"/>
      <c r="AD1036" s="767"/>
      <c r="AE1036" s="675"/>
      <c r="AF1036" s="767"/>
      <c r="AL1036" s="489"/>
      <c r="AM1036" s="489"/>
      <c r="AN1036" s="489"/>
      <c r="AO1036" s="489"/>
      <c r="AP1036" s="489"/>
      <c r="AQ1036" s="489"/>
      <c r="AR1036" s="489"/>
      <c r="AS1036" s="489"/>
    </row>
    <row r="1037" spans="1:45" s="484" customFormat="1" ht="14.5">
      <c r="A1037" s="695" t="s">
        <v>1296</v>
      </c>
      <c r="B1037" s="647"/>
      <c r="C1037" s="644"/>
      <c r="D1037" s="644"/>
      <c r="E1037" s="493">
        <f t="shared" si="384"/>
        <v>0</v>
      </c>
      <c r="F1037" s="763">
        <f t="shared" si="385"/>
        <v>3.0000000000000001E-3</v>
      </c>
      <c r="G1037" s="493">
        <f t="shared" si="386"/>
        <v>0</v>
      </c>
      <c r="H1037" s="493">
        <f t="shared" si="387"/>
        <v>0</v>
      </c>
      <c r="I1037" s="493">
        <f t="shared" si="387"/>
        <v>0</v>
      </c>
      <c r="J1037" s="493">
        <f t="shared" si="387"/>
        <v>0</v>
      </c>
      <c r="K1037" s="493">
        <f t="shared" si="387"/>
        <v>0</v>
      </c>
      <c r="L1037" s="493">
        <f t="shared" si="387"/>
        <v>0</v>
      </c>
      <c r="M1037" s="493">
        <f t="shared" si="387"/>
        <v>0</v>
      </c>
      <c r="N1037" s="493">
        <f t="shared" si="387"/>
        <v>0</v>
      </c>
      <c r="O1037" s="493">
        <f t="shared" si="387"/>
        <v>0</v>
      </c>
      <c r="P1037" s="493">
        <f t="shared" si="387"/>
        <v>0</v>
      </c>
      <c r="Q1037" s="493">
        <f t="shared" si="387"/>
        <v>0</v>
      </c>
      <c r="R1037" s="493">
        <f t="shared" si="377"/>
        <v>0</v>
      </c>
      <c r="S1037" s="493">
        <f t="shared" si="378"/>
        <v>0</v>
      </c>
      <c r="T1037" s="794"/>
      <c r="V1037" s="641">
        <f t="shared" si="379"/>
        <v>0</v>
      </c>
      <c r="W1037" s="488"/>
      <c r="X1037" s="1016"/>
      <c r="Y1037" s="675"/>
      <c r="Z1037" s="767"/>
      <c r="AA1037" s="675"/>
      <c r="AB1037" s="767"/>
      <c r="AC1037" s="675"/>
      <c r="AD1037" s="767"/>
      <c r="AE1037" s="675"/>
      <c r="AF1037" s="767"/>
      <c r="AL1037" s="489"/>
      <c r="AM1037" s="489"/>
      <c r="AN1037" s="489"/>
      <c r="AO1037" s="489"/>
      <c r="AP1037" s="489"/>
      <c r="AQ1037" s="489"/>
      <c r="AR1037" s="489"/>
      <c r="AS1037" s="489"/>
    </row>
    <row r="1038" spans="1:45" s="484" customFormat="1" ht="14.5">
      <c r="A1038" s="695" t="s">
        <v>1297</v>
      </c>
      <c r="B1038" s="647"/>
      <c r="C1038" s="644"/>
      <c r="D1038" s="644"/>
      <c r="E1038" s="493">
        <f t="shared" si="384"/>
        <v>0</v>
      </c>
      <c r="F1038" s="763">
        <f t="shared" si="385"/>
        <v>6.8000000000000005E-4</v>
      </c>
      <c r="G1038" s="493">
        <f t="shared" si="386"/>
        <v>0</v>
      </c>
      <c r="H1038" s="493">
        <f t="shared" si="387"/>
        <v>0</v>
      </c>
      <c r="I1038" s="493">
        <f t="shared" si="387"/>
        <v>0</v>
      </c>
      <c r="J1038" s="493">
        <f t="shared" si="387"/>
        <v>0</v>
      </c>
      <c r="K1038" s="493">
        <f t="shared" si="387"/>
        <v>0</v>
      </c>
      <c r="L1038" s="493">
        <f t="shared" si="387"/>
        <v>0</v>
      </c>
      <c r="M1038" s="493">
        <f t="shared" si="387"/>
        <v>0</v>
      </c>
      <c r="N1038" s="493">
        <f t="shared" si="387"/>
        <v>0</v>
      </c>
      <c r="O1038" s="493">
        <f t="shared" si="387"/>
        <v>0</v>
      </c>
      <c r="P1038" s="493">
        <f t="shared" si="387"/>
        <v>0</v>
      </c>
      <c r="Q1038" s="493">
        <f t="shared" si="387"/>
        <v>0</v>
      </c>
      <c r="R1038" s="493">
        <f t="shared" si="377"/>
        <v>0</v>
      </c>
      <c r="S1038" s="493">
        <f t="shared" si="378"/>
        <v>0</v>
      </c>
      <c r="T1038" s="794"/>
      <c r="V1038" s="641">
        <f t="shared" si="379"/>
        <v>0</v>
      </c>
      <c r="W1038" s="488"/>
      <c r="X1038" s="1016"/>
      <c r="Y1038" s="675"/>
      <c r="Z1038" s="767"/>
      <c r="AA1038" s="675"/>
      <c r="AB1038" s="767"/>
      <c r="AC1038" s="675"/>
      <c r="AD1038" s="767"/>
      <c r="AE1038" s="675"/>
      <c r="AF1038" s="767"/>
      <c r="AL1038" s="489"/>
      <c r="AM1038" s="489"/>
      <c r="AN1038" s="489"/>
      <c r="AO1038" s="489"/>
      <c r="AP1038" s="489"/>
      <c r="AQ1038" s="489"/>
      <c r="AR1038" s="489"/>
      <c r="AS1038" s="489"/>
    </row>
    <row r="1039" spans="1:45" s="484" customFormat="1" ht="14.5">
      <c r="A1039" s="695" t="s">
        <v>1298</v>
      </c>
      <c r="B1039" s="647"/>
      <c r="C1039" s="644"/>
      <c r="D1039" s="644"/>
      <c r="E1039" s="493">
        <f t="shared" si="384"/>
        <v>0</v>
      </c>
      <c r="F1039" s="763">
        <f t="shared" si="385"/>
        <v>6.8000000000000005E-4</v>
      </c>
      <c r="G1039" s="493">
        <f t="shared" si="386"/>
        <v>0</v>
      </c>
      <c r="H1039" s="493">
        <f t="shared" si="387"/>
        <v>0</v>
      </c>
      <c r="I1039" s="493">
        <f t="shared" si="387"/>
        <v>0</v>
      </c>
      <c r="J1039" s="493">
        <f t="shared" si="387"/>
        <v>0</v>
      </c>
      <c r="K1039" s="493">
        <f t="shared" si="387"/>
        <v>0</v>
      </c>
      <c r="L1039" s="493">
        <f t="shared" si="387"/>
        <v>0</v>
      </c>
      <c r="M1039" s="493">
        <f t="shared" si="387"/>
        <v>0</v>
      </c>
      <c r="N1039" s="493">
        <f t="shared" si="387"/>
        <v>0</v>
      </c>
      <c r="O1039" s="493">
        <f t="shared" si="387"/>
        <v>0</v>
      </c>
      <c r="P1039" s="493">
        <f t="shared" si="387"/>
        <v>0</v>
      </c>
      <c r="Q1039" s="493">
        <f t="shared" si="387"/>
        <v>0</v>
      </c>
      <c r="R1039" s="493">
        <f t="shared" si="377"/>
        <v>0</v>
      </c>
      <c r="S1039" s="493">
        <f t="shared" si="378"/>
        <v>0</v>
      </c>
      <c r="T1039" s="794"/>
      <c r="V1039" s="641">
        <f t="shared" si="379"/>
        <v>0</v>
      </c>
      <c r="W1039" s="488"/>
      <c r="X1039" s="1016"/>
      <c r="Y1039" s="675"/>
      <c r="Z1039" s="767"/>
      <c r="AA1039" s="675"/>
      <c r="AB1039" s="767"/>
      <c r="AC1039" s="675"/>
      <c r="AD1039" s="767"/>
      <c r="AE1039" s="675"/>
      <c r="AF1039" s="767"/>
      <c r="AL1039" s="489"/>
      <c r="AM1039" s="489"/>
      <c r="AN1039" s="489"/>
      <c r="AO1039" s="489"/>
      <c r="AP1039" s="489"/>
      <c r="AQ1039" s="489"/>
      <c r="AR1039" s="489"/>
      <c r="AS1039" s="489"/>
    </row>
    <row r="1040" spans="1:45" s="484" customFormat="1" ht="14.5">
      <c r="A1040" s="695" t="s">
        <v>1299</v>
      </c>
      <c r="B1040" s="647"/>
      <c r="C1040" s="644"/>
      <c r="D1040" s="644"/>
      <c r="E1040" s="493">
        <f t="shared" si="384"/>
        <v>0</v>
      </c>
      <c r="F1040" s="763">
        <f t="shared" si="385"/>
        <v>2.7000000000000001E-3</v>
      </c>
      <c r="G1040" s="493">
        <f t="shared" si="386"/>
        <v>0</v>
      </c>
      <c r="H1040" s="493">
        <f t="shared" si="387"/>
        <v>0</v>
      </c>
      <c r="I1040" s="493">
        <f t="shared" si="387"/>
        <v>0</v>
      </c>
      <c r="J1040" s="493">
        <f t="shared" si="387"/>
        <v>0</v>
      </c>
      <c r="K1040" s="493">
        <f t="shared" si="387"/>
        <v>0</v>
      </c>
      <c r="L1040" s="493">
        <f t="shared" si="387"/>
        <v>0</v>
      </c>
      <c r="M1040" s="493">
        <f t="shared" si="387"/>
        <v>0</v>
      </c>
      <c r="N1040" s="493">
        <f t="shared" si="387"/>
        <v>0</v>
      </c>
      <c r="O1040" s="493">
        <f t="shared" si="387"/>
        <v>0</v>
      </c>
      <c r="P1040" s="493">
        <f t="shared" si="387"/>
        <v>0</v>
      </c>
      <c r="Q1040" s="493">
        <f t="shared" si="387"/>
        <v>0</v>
      </c>
      <c r="R1040" s="493">
        <f t="shared" si="377"/>
        <v>0</v>
      </c>
      <c r="S1040" s="493">
        <f t="shared" si="378"/>
        <v>0</v>
      </c>
      <c r="T1040" s="794"/>
      <c r="V1040" s="641">
        <f t="shared" si="379"/>
        <v>0</v>
      </c>
      <c r="W1040" s="488"/>
      <c r="X1040" s="1016"/>
      <c r="Y1040" s="675"/>
      <c r="Z1040" s="767"/>
      <c r="AA1040" s="675"/>
      <c r="AB1040" s="767"/>
      <c r="AC1040" s="675"/>
      <c r="AD1040" s="767"/>
      <c r="AE1040" s="675"/>
      <c r="AF1040" s="767"/>
      <c r="AL1040" s="489"/>
      <c r="AM1040" s="489"/>
      <c r="AN1040" s="489"/>
      <c r="AO1040" s="489"/>
      <c r="AP1040" s="489"/>
      <c r="AQ1040" s="489"/>
      <c r="AR1040" s="489"/>
      <c r="AS1040" s="489"/>
    </row>
    <row r="1041" spans="1:45" s="484" customFormat="1" ht="14.5">
      <c r="A1041" s="695" t="s">
        <v>1300</v>
      </c>
      <c r="B1041" s="647"/>
      <c r="C1041" s="644"/>
      <c r="D1041" s="644"/>
      <c r="E1041" s="493">
        <f t="shared" si="384"/>
        <v>0</v>
      </c>
      <c r="F1041" s="763">
        <f t="shared" si="385"/>
        <v>8.1999999999999998E-4</v>
      </c>
      <c r="G1041" s="493">
        <f t="shared" si="386"/>
        <v>0</v>
      </c>
      <c r="H1041" s="493">
        <f t="shared" si="387"/>
        <v>0</v>
      </c>
      <c r="I1041" s="493">
        <f t="shared" si="387"/>
        <v>0</v>
      </c>
      <c r="J1041" s="493">
        <f t="shared" si="387"/>
        <v>0</v>
      </c>
      <c r="K1041" s="493">
        <f t="shared" si="387"/>
        <v>0</v>
      </c>
      <c r="L1041" s="493">
        <f t="shared" si="387"/>
        <v>0</v>
      </c>
      <c r="M1041" s="493">
        <f t="shared" si="387"/>
        <v>0</v>
      </c>
      <c r="N1041" s="493">
        <f t="shared" si="387"/>
        <v>0</v>
      </c>
      <c r="O1041" s="493">
        <f t="shared" si="387"/>
        <v>0</v>
      </c>
      <c r="P1041" s="493">
        <f t="shared" si="387"/>
        <v>0</v>
      </c>
      <c r="Q1041" s="493">
        <f t="shared" si="387"/>
        <v>0</v>
      </c>
      <c r="R1041" s="493">
        <f t="shared" si="377"/>
        <v>0</v>
      </c>
      <c r="S1041" s="493">
        <f t="shared" si="378"/>
        <v>0</v>
      </c>
      <c r="T1041" s="794"/>
      <c r="V1041" s="641">
        <f t="shared" si="379"/>
        <v>0</v>
      </c>
      <c r="W1041" s="488"/>
      <c r="X1041" s="1016"/>
      <c r="Y1041" s="675"/>
      <c r="Z1041" s="767"/>
      <c r="AA1041" s="675"/>
      <c r="AB1041" s="767"/>
      <c r="AC1041" s="675"/>
      <c r="AD1041" s="767"/>
      <c r="AE1041" s="675"/>
      <c r="AF1041" s="767"/>
      <c r="AL1041" s="489"/>
      <c r="AM1041" s="489"/>
      <c r="AN1041" s="489"/>
      <c r="AO1041" s="489"/>
      <c r="AP1041" s="489"/>
      <c r="AQ1041" s="489"/>
      <c r="AR1041" s="489"/>
      <c r="AS1041" s="489"/>
    </row>
    <row r="1042" spans="1:45" s="484" customFormat="1" ht="14.5">
      <c r="A1042" s="695" t="s">
        <v>1301</v>
      </c>
      <c r="B1042" s="647"/>
      <c r="C1042" s="644"/>
      <c r="D1042" s="644"/>
      <c r="E1042" s="493">
        <f t="shared" si="384"/>
        <v>0</v>
      </c>
      <c r="F1042" s="763">
        <f t="shared" si="385"/>
        <v>6.9300000000000004E-3</v>
      </c>
      <c r="G1042" s="493">
        <f t="shared" si="386"/>
        <v>0</v>
      </c>
      <c r="H1042" s="493">
        <f t="shared" si="387"/>
        <v>0</v>
      </c>
      <c r="I1042" s="493">
        <f t="shared" si="387"/>
        <v>0</v>
      </c>
      <c r="J1042" s="493">
        <f t="shared" si="387"/>
        <v>0</v>
      </c>
      <c r="K1042" s="493">
        <f t="shared" si="387"/>
        <v>0</v>
      </c>
      <c r="L1042" s="493">
        <f t="shared" si="387"/>
        <v>0</v>
      </c>
      <c r="M1042" s="493">
        <f t="shared" si="387"/>
        <v>0</v>
      </c>
      <c r="N1042" s="493">
        <f t="shared" si="387"/>
        <v>0</v>
      </c>
      <c r="O1042" s="493">
        <f t="shared" si="387"/>
        <v>0</v>
      </c>
      <c r="P1042" s="493">
        <f t="shared" si="387"/>
        <v>0</v>
      </c>
      <c r="Q1042" s="493">
        <f t="shared" si="387"/>
        <v>0</v>
      </c>
      <c r="R1042" s="493">
        <f t="shared" si="377"/>
        <v>0</v>
      </c>
      <c r="S1042" s="493">
        <f t="shared" si="378"/>
        <v>0</v>
      </c>
      <c r="T1042" s="794"/>
      <c r="V1042" s="641">
        <f t="shared" si="379"/>
        <v>0</v>
      </c>
      <c r="W1042" s="488"/>
      <c r="X1042" s="1016"/>
      <c r="Y1042" s="675"/>
      <c r="Z1042" s="767"/>
      <c r="AA1042" s="675"/>
      <c r="AB1042" s="767"/>
      <c r="AC1042" s="675"/>
      <c r="AD1042" s="767"/>
      <c r="AE1042" s="675"/>
      <c r="AF1042" s="767"/>
      <c r="AL1042" s="489"/>
      <c r="AM1042" s="489"/>
      <c r="AN1042" s="489"/>
      <c r="AO1042" s="489"/>
      <c r="AP1042" s="489"/>
      <c r="AQ1042" s="489"/>
      <c r="AR1042" s="489"/>
      <c r="AS1042" s="489"/>
    </row>
    <row r="1043" spans="1:45" s="484" customFormat="1" ht="14.5">
      <c r="A1043" s="695" t="s">
        <v>1302</v>
      </c>
      <c r="B1043" s="647"/>
      <c r="C1043" s="644"/>
      <c r="D1043" s="644"/>
      <c r="E1043" s="493">
        <f t="shared" si="384"/>
        <v>0</v>
      </c>
      <c r="F1043" s="763">
        <f t="shared" si="385"/>
        <v>1.5E-3</v>
      </c>
      <c r="G1043" s="493">
        <f t="shared" si="386"/>
        <v>0</v>
      </c>
      <c r="H1043" s="493">
        <f t="shared" si="387"/>
        <v>0</v>
      </c>
      <c r="I1043" s="493">
        <f t="shared" si="387"/>
        <v>0</v>
      </c>
      <c r="J1043" s="493">
        <f t="shared" si="387"/>
        <v>0</v>
      </c>
      <c r="K1043" s="493">
        <f t="shared" si="387"/>
        <v>0</v>
      </c>
      <c r="L1043" s="493">
        <f t="shared" si="387"/>
        <v>0</v>
      </c>
      <c r="M1043" s="493">
        <f t="shared" si="387"/>
        <v>0</v>
      </c>
      <c r="N1043" s="493">
        <f t="shared" si="387"/>
        <v>0</v>
      </c>
      <c r="O1043" s="493">
        <f t="shared" si="387"/>
        <v>0</v>
      </c>
      <c r="P1043" s="493">
        <f t="shared" si="387"/>
        <v>0</v>
      </c>
      <c r="Q1043" s="493">
        <f t="shared" si="387"/>
        <v>0</v>
      </c>
      <c r="R1043" s="493">
        <f t="shared" si="377"/>
        <v>0</v>
      </c>
      <c r="S1043" s="493">
        <f t="shared" si="378"/>
        <v>0</v>
      </c>
      <c r="T1043" s="794"/>
      <c r="V1043" s="641">
        <f t="shared" si="379"/>
        <v>0</v>
      </c>
      <c r="W1043" s="488"/>
      <c r="X1043" s="1016"/>
      <c r="Y1043" s="675"/>
      <c r="Z1043" s="767"/>
      <c r="AA1043" s="675"/>
      <c r="AB1043" s="767"/>
      <c r="AC1043" s="675"/>
      <c r="AD1043" s="767"/>
      <c r="AE1043" s="675"/>
      <c r="AF1043" s="767"/>
      <c r="AL1043" s="489"/>
      <c r="AM1043" s="489"/>
      <c r="AN1043" s="489"/>
      <c r="AO1043" s="489"/>
      <c r="AP1043" s="489"/>
      <c r="AQ1043" s="489"/>
      <c r="AR1043" s="489"/>
      <c r="AS1043" s="489"/>
    </row>
    <row r="1044" spans="1:45" s="484" customFormat="1" ht="14.5">
      <c r="A1044" s="695" t="s">
        <v>1303</v>
      </c>
      <c r="B1044" s="647"/>
      <c r="C1044" s="644"/>
      <c r="D1044" s="644"/>
      <c r="E1044" s="493">
        <f t="shared" si="384"/>
        <v>0</v>
      </c>
      <c r="F1044" s="763">
        <f t="shared" si="385"/>
        <v>1.5E-3</v>
      </c>
      <c r="G1044" s="493">
        <f t="shared" si="386"/>
        <v>0</v>
      </c>
      <c r="H1044" s="493">
        <f t="shared" si="387"/>
        <v>0</v>
      </c>
      <c r="I1044" s="493">
        <f t="shared" si="387"/>
        <v>0</v>
      </c>
      <c r="J1044" s="493">
        <f t="shared" si="387"/>
        <v>0</v>
      </c>
      <c r="K1044" s="493">
        <f t="shared" si="387"/>
        <v>0</v>
      </c>
      <c r="L1044" s="493">
        <f t="shared" si="387"/>
        <v>0</v>
      </c>
      <c r="M1044" s="493">
        <f t="shared" si="387"/>
        <v>0</v>
      </c>
      <c r="N1044" s="493">
        <f t="shared" si="387"/>
        <v>0</v>
      </c>
      <c r="O1044" s="493">
        <f t="shared" si="387"/>
        <v>0</v>
      </c>
      <c r="P1044" s="493">
        <f t="shared" si="387"/>
        <v>0</v>
      </c>
      <c r="Q1044" s="493">
        <f t="shared" si="387"/>
        <v>0</v>
      </c>
      <c r="R1044" s="493">
        <f t="shared" si="377"/>
        <v>0</v>
      </c>
      <c r="S1044" s="493">
        <f t="shared" si="378"/>
        <v>0</v>
      </c>
      <c r="T1044" s="794"/>
      <c r="V1044" s="641">
        <f t="shared" si="379"/>
        <v>0</v>
      </c>
      <c r="W1044" s="488"/>
      <c r="X1044" s="1016"/>
      <c r="Y1044" s="675"/>
      <c r="Z1044" s="767"/>
      <c r="AA1044" s="675"/>
      <c r="AB1044" s="767"/>
      <c r="AC1044" s="675"/>
      <c r="AD1044" s="767"/>
      <c r="AE1044" s="675"/>
      <c r="AF1044" s="767"/>
      <c r="AL1044" s="489"/>
      <c r="AM1044" s="489"/>
      <c r="AN1044" s="489"/>
      <c r="AO1044" s="489"/>
      <c r="AP1044" s="489"/>
      <c r="AQ1044" s="489"/>
      <c r="AR1044" s="489"/>
      <c r="AS1044" s="489"/>
    </row>
    <row r="1045" spans="1:45" s="484" customFormat="1" ht="14.5">
      <c r="A1045" s="695" t="s">
        <v>1304</v>
      </c>
      <c r="B1045" s="647"/>
      <c r="C1045" s="644"/>
      <c r="D1045" s="644"/>
      <c r="E1045" s="493">
        <f t="shared" si="384"/>
        <v>0</v>
      </c>
      <c r="F1045" s="763">
        <f t="shared" si="385"/>
        <v>1.5E-3</v>
      </c>
      <c r="G1045" s="493">
        <f t="shared" si="386"/>
        <v>0</v>
      </c>
      <c r="H1045" s="493">
        <f t="shared" si="387"/>
        <v>0</v>
      </c>
      <c r="I1045" s="493">
        <f t="shared" si="387"/>
        <v>0</v>
      </c>
      <c r="J1045" s="493">
        <f t="shared" si="387"/>
        <v>0</v>
      </c>
      <c r="K1045" s="493">
        <f t="shared" si="387"/>
        <v>0</v>
      </c>
      <c r="L1045" s="493">
        <f t="shared" si="387"/>
        <v>0</v>
      </c>
      <c r="M1045" s="493">
        <f t="shared" si="387"/>
        <v>0</v>
      </c>
      <c r="N1045" s="493">
        <f t="shared" si="387"/>
        <v>0</v>
      </c>
      <c r="O1045" s="493">
        <f t="shared" si="387"/>
        <v>0</v>
      </c>
      <c r="P1045" s="493">
        <f t="shared" si="387"/>
        <v>0</v>
      </c>
      <c r="Q1045" s="493">
        <f t="shared" si="387"/>
        <v>0</v>
      </c>
      <c r="R1045" s="493">
        <f t="shared" si="377"/>
        <v>0</v>
      </c>
      <c r="S1045" s="493">
        <f t="shared" si="378"/>
        <v>0</v>
      </c>
      <c r="T1045" s="794"/>
      <c r="V1045" s="641">
        <f t="shared" si="379"/>
        <v>0</v>
      </c>
      <c r="W1045" s="488"/>
      <c r="X1045" s="1016"/>
      <c r="Y1045" s="675"/>
      <c r="Z1045" s="767"/>
      <c r="AA1045" s="675"/>
      <c r="AB1045" s="767"/>
      <c r="AC1045" s="675"/>
      <c r="AD1045" s="767"/>
      <c r="AE1045" s="675"/>
      <c r="AF1045" s="767"/>
      <c r="AL1045" s="489"/>
      <c r="AM1045" s="489"/>
      <c r="AN1045" s="489"/>
      <c r="AO1045" s="489"/>
      <c r="AP1045" s="489"/>
      <c r="AQ1045" s="489"/>
      <c r="AR1045" s="489"/>
      <c r="AS1045" s="489"/>
    </row>
    <row r="1046" spans="1:45" s="484" customFormat="1" ht="14.5">
      <c r="A1046" s="695" t="s">
        <v>1305</v>
      </c>
      <c r="B1046" s="647"/>
      <c r="C1046" s="644"/>
      <c r="D1046" s="644"/>
      <c r="E1046" s="493">
        <f t="shared" si="384"/>
        <v>0</v>
      </c>
      <c r="F1046" s="763">
        <f t="shared" si="385"/>
        <v>1.75E-3</v>
      </c>
      <c r="G1046" s="493">
        <f t="shared" si="386"/>
        <v>0</v>
      </c>
      <c r="H1046" s="493">
        <f t="shared" si="387"/>
        <v>0</v>
      </c>
      <c r="I1046" s="493">
        <f t="shared" si="387"/>
        <v>0</v>
      </c>
      <c r="J1046" s="493">
        <f t="shared" si="387"/>
        <v>0</v>
      </c>
      <c r="K1046" s="493">
        <f t="shared" si="387"/>
        <v>0</v>
      </c>
      <c r="L1046" s="493">
        <f t="shared" si="387"/>
        <v>0</v>
      </c>
      <c r="M1046" s="493">
        <f t="shared" si="387"/>
        <v>0</v>
      </c>
      <c r="N1046" s="493">
        <f t="shared" si="387"/>
        <v>0</v>
      </c>
      <c r="O1046" s="493">
        <f t="shared" si="387"/>
        <v>0</v>
      </c>
      <c r="P1046" s="493">
        <f t="shared" si="387"/>
        <v>0</v>
      </c>
      <c r="Q1046" s="493">
        <f t="shared" si="387"/>
        <v>0</v>
      </c>
      <c r="R1046" s="493">
        <f t="shared" si="377"/>
        <v>0</v>
      </c>
      <c r="S1046" s="493">
        <f t="shared" si="378"/>
        <v>0</v>
      </c>
      <c r="T1046" s="794"/>
      <c r="V1046" s="641">
        <f t="shared" si="379"/>
        <v>0</v>
      </c>
      <c r="W1046" s="488"/>
      <c r="X1046" s="1016"/>
      <c r="Y1046" s="675"/>
      <c r="Z1046" s="767"/>
      <c r="AA1046" s="675"/>
      <c r="AB1046" s="767"/>
      <c r="AC1046" s="675"/>
      <c r="AD1046" s="767"/>
      <c r="AE1046" s="675"/>
      <c r="AF1046" s="767"/>
      <c r="AL1046" s="489"/>
      <c r="AM1046" s="489"/>
      <c r="AN1046" s="489"/>
      <c r="AO1046" s="489"/>
      <c r="AP1046" s="489"/>
      <c r="AQ1046" s="489"/>
      <c r="AR1046" s="489"/>
      <c r="AS1046" s="489"/>
    </row>
    <row r="1047" spans="1:45" s="484" customFormat="1" ht="14.5">
      <c r="A1047" s="695" t="s">
        <v>1306</v>
      </c>
      <c r="B1047" s="647"/>
      <c r="C1047" s="644"/>
      <c r="D1047" s="644"/>
      <c r="E1047" s="493">
        <f t="shared" si="384"/>
        <v>0</v>
      </c>
      <c r="F1047" s="763">
        <f t="shared" si="385"/>
        <v>6.8999999999999999E-3</v>
      </c>
      <c r="G1047" s="493">
        <f t="shared" si="386"/>
        <v>0</v>
      </c>
      <c r="H1047" s="493">
        <f t="shared" si="387"/>
        <v>0</v>
      </c>
      <c r="I1047" s="493">
        <f t="shared" si="387"/>
        <v>0</v>
      </c>
      <c r="J1047" s="493">
        <f t="shared" si="387"/>
        <v>0</v>
      </c>
      <c r="K1047" s="493">
        <f t="shared" si="387"/>
        <v>0</v>
      </c>
      <c r="L1047" s="493">
        <f t="shared" si="387"/>
        <v>0</v>
      </c>
      <c r="M1047" s="493">
        <f t="shared" si="387"/>
        <v>0</v>
      </c>
      <c r="N1047" s="493">
        <f t="shared" si="387"/>
        <v>0</v>
      </c>
      <c r="O1047" s="493">
        <f t="shared" si="387"/>
        <v>0</v>
      </c>
      <c r="P1047" s="493">
        <f t="shared" si="387"/>
        <v>0</v>
      </c>
      <c r="Q1047" s="493">
        <f t="shared" si="387"/>
        <v>0</v>
      </c>
      <c r="R1047" s="493">
        <f t="shared" si="377"/>
        <v>0</v>
      </c>
      <c r="S1047" s="493">
        <f t="shared" si="378"/>
        <v>0</v>
      </c>
      <c r="T1047" s="794"/>
      <c r="V1047" s="641">
        <f t="shared" si="379"/>
        <v>0</v>
      </c>
      <c r="W1047" s="488"/>
      <c r="X1047" s="1016"/>
      <c r="Y1047" s="675"/>
      <c r="Z1047" s="767"/>
      <c r="AA1047" s="675"/>
      <c r="AB1047" s="767"/>
      <c r="AC1047" s="675"/>
      <c r="AD1047" s="767"/>
      <c r="AE1047" s="675"/>
      <c r="AF1047" s="767"/>
      <c r="AL1047" s="489"/>
      <c r="AM1047" s="489"/>
      <c r="AN1047" s="489"/>
      <c r="AO1047" s="489"/>
      <c r="AP1047" s="489"/>
      <c r="AQ1047" s="489"/>
      <c r="AR1047" s="489"/>
      <c r="AS1047" s="489"/>
    </row>
    <row r="1048" spans="1:45" s="484" customFormat="1" ht="14.5">
      <c r="A1048" s="695" t="s">
        <v>1307</v>
      </c>
      <c r="B1048" s="647"/>
      <c r="C1048" s="644"/>
      <c r="D1048" s="644"/>
      <c r="E1048" s="493">
        <f t="shared" si="384"/>
        <v>0</v>
      </c>
      <c r="F1048" s="763">
        <f t="shared" si="385"/>
        <v>1.4999999999999999E-2</v>
      </c>
      <c r="G1048" s="493">
        <f t="shared" si="386"/>
        <v>0</v>
      </c>
      <c r="H1048" s="493">
        <f t="shared" ref="H1048:Q1050" si="388">(G604+H604)/2*$F1048/12</f>
        <v>0</v>
      </c>
      <c r="I1048" s="493">
        <f t="shared" si="388"/>
        <v>0</v>
      </c>
      <c r="J1048" s="493">
        <f t="shared" si="388"/>
        <v>0</v>
      </c>
      <c r="K1048" s="493">
        <f t="shared" si="388"/>
        <v>0</v>
      </c>
      <c r="L1048" s="493">
        <f t="shared" si="388"/>
        <v>0</v>
      </c>
      <c r="M1048" s="493">
        <f t="shared" si="388"/>
        <v>0</v>
      </c>
      <c r="N1048" s="493">
        <f t="shared" si="388"/>
        <v>0</v>
      </c>
      <c r="O1048" s="493">
        <f t="shared" si="388"/>
        <v>0</v>
      </c>
      <c r="P1048" s="493">
        <f t="shared" si="388"/>
        <v>0</v>
      </c>
      <c r="Q1048" s="493">
        <f t="shared" si="388"/>
        <v>0</v>
      </c>
      <c r="R1048" s="493">
        <f t="shared" si="377"/>
        <v>0</v>
      </c>
      <c r="S1048" s="493">
        <f t="shared" si="378"/>
        <v>0</v>
      </c>
      <c r="T1048" s="794"/>
      <c r="V1048" s="641">
        <f t="shared" si="379"/>
        <v>0</v>
      </c>
      <c r="W1048" s="488"/>
      <c r="X1048" s="1016"/>
      <c r="Y1048" s="675"/>
      <c r="Z1048" s="767"/>
      <c r="AA1048" s="675"/>
      <c r="AB1048" s="767"/>
      <c r="AC1048" s="675"/>
      <c r="AD1048" s="767"/>
      <c r="AE1048" s="675"/>
      <c r="AF1048" s="767"/>
      <c r="AL1048" s="489"/>
      <c r="AM1048" s="489"/>
      <c r="AN1048" s="489"/>
      <c r="AO1048" s="489"/>
      <c r="AP1048" s="489"/>
      <c r="AQ1048" s="489"/>
      <c r="AR1048" s="489"/>
      <c r="AS1048" s="489"/>
    </row>
    <row r="1049" spans="1:45" s="484" customFormat="1" ht="14.5">
      <c r="A1049" s="695" t="s">
        <v>1308</v>
      </c>
      <c r="B1049" s="647"/>
      <c r="C1049" s="644"/>
      <c r="D1049" s="644"/>
      <c r="E1049" s="493">
        <f t="shared" si="384"/>
        <v>0</v>
      </c>
      <c r="F1049" s="763">
        <f t="shared" si="385"/>
        <v>1.5E-3</v>
      </c>
      <c r="G1049" s="493">
        <f t="shared" si="386"/>
        <v>0</v>
      </c>
      <c r="H1049" s="493">
        <f t="shared" si="388"/>
        <v>0</v>
      </c>
      <c r="I1049" s="493">
        <f t="shared" si="388"/>
        <v>0</v>
      </c>
      <c r="J1049" s="493">
        <f t="shared" si="388"/>
        <v>0</v>
      </c>
      <c r="K1049" s="493">
        <f t="shared" si="388"/>
        <v>0</v>
      </c>
      <c r="L1049" s="493">
        <f t="shared" si="388"/>
        <v>0</v>
      </c>
      <c r="M1049" s="493">
        <f t="shared" si="388"/>
        <v>0</v>
      </c>
      <c r="N1049" s="493">
        <f t="shared" si="388"/>
        <v>0</v>
      </c>
      <c r="O1049" s="493">
        <f t="shared" si="388"/>
        <v>0</v>
      </c>
      <c r="P1049" s="493">
        <f t="shared" si="388"/>
        <v>0</v>
      </c>
      <c r="Q1049" s="493">
        <f t="shared" si="388"/>
        <v>0</v>
      </c>
      <c r="R1049" s="493">
        <f t="shared" si="377"/>
        <v>0</v>
      </c>
      <c r="S1049" s="493">
        <f t="shared" si="378"/>
        <v>0</v>
      </c>
      <c r="T1049" s="794"/>
      <c r="V1049" s="641">
        <f t="shared" si="379"/>
        <v>0</v>
      </c>
      <c r="W1049" s="488"/>
      <c r="X1049" s="1016"/>
      <c r="Y1049" s="675"/>
      <c r="Z1049" s="767"/>
      <c r="AA1049" s="675"/>
      <c r="AB1049" s="767"/>
      <c r="AC1049" s="675"/>
      <c r="AD1049" s="767"/>
      <c r="AE1049" s="675"/>
      <c r="AF1049" s="767"/>
      <c r="AL1049" s="489"/>
      <c r="AM1049" s="489"/>
      <c r="AN1049" s="489"/>
      <c r="AO1049" s="489"/>
      <c r="AP1049" s="489"/>
      <c r="AQ1049" s="489"/>
      <c r="AR1049" s="489"/>
      <c r="AS1049" s="489"/>
    </row>
    <row r="1050" spans="1:45" s="484" customFormat="1" ht="14.5">
      <c r="A1050" s="695" t="s">
        <v>1309</v>
      </c>
      <c r="B1050" s="647"/>
      <c r="C1050" s="644"/>
      <c r="D1050" s="644"/>
      <c r="E1050" s="493">
        <f t="shared" si="384"/>
        <v>0</v>
      </c>
      <c r="F1050" s="763">
        <f t="shared" si="385"/>
        <v>8.1799999999999998E-3</v>
      </c>
      <c r="G1050" s="493">
        <f t="shared" si="386"/>
        <v>0</v>
      </c>
      <c r="H1050" s="493">
        <f t="shared" si="388"/>
        <v>0</v>
      </c>
      <c r="I1050" s="493">
        <f t="shared" si="388"/>
        <v>0</v>
      </c>
      <c r="J1050" s="493">
        <f t="shared" si="388"/>
        <v>0</v>
      </c>
      <c r="K1050" s="493">
        <f t="shared" si="388"/>
        <v>0</v>
      </c>
      <c r="L1050" s="493">
        <f t="shared" si="388"/>
        <v>0</v>
      </c>
      <c r="M1050" s="493">
        <f t="shared" si="388"/>
        <v>0</v>
      </c>
      <c r="N1050" s="493">
        <f t="shared" si="388"/>
        <v>0</v>
      </c>
      <c r="O1050" s="493">
        <f t="shared" si="388"/>
        <v>0</v>
      </c>
      <c r="P1050" s="493">
        <f t="shared" si="388"/>
        <v>0</v>
      </c>
      <c r="Q1050" s="493">
        <f t="shared" si="388"/>
        <v>0</v>
      </c>
      <c r="R1050" s="493">
        <f t="shared" si="377"/>
        <v>0</v>
      </c>
      <c r="S1050" s="493">
        <f t="shared" si="378"/>
        <v>0</v>
      </c>
      <c r="T1050" s="794"/>
      <c r="V1050" s="641">
        <f t="shared" si="379"/>
        <v>0</v>
      </c>
      <c r="W1050" s="488"/>
      <c r="X1050" s="1016"/>
      <c r="Y1050" s="675"/>
      <c r="Z1050" s="767"/>
      <c r="AA1050" s="675"/>
      <c r="AB1050" s="767"/>
      <c r="AC1050" s="675"/>
      <c r="AD1050" s="767"/>
      <c r="AE1050" s="675"/>
      <c r="AF1050" s="767"/>
      <c r="AL1050" s="489"/>
      <c r="AM1050" s="489"/>
      <c r="AN1050" s="489"/>
      <c r="AO1050" s="489"/>
      <c r="AP1050" s="489"/>
      <c r="AQ1050" s="489"/>
      <c r="AR1050" s="489"/>
      <c r="AS1050" s="489"/>
    </row>
    <row r="1051" spans="1:45" s="484" customFormat="1" ht="14.5">
      <c r="A1051" s="695"/>
      <c r="B1051" s="647"/>
      <c r="C1051" s="644"/>
      <c r="D1051" s="644"/>
      <c r="E1051" s="644"/>
      <c r="F1051" s="768"/>
      <c r="G1051" s="493"/>
      <c r="H1051" s="493"/>
      <c r="I1051" s="493"/>
      <c r="J1051" s="493"/>
      <c r="K1051" s="493"/>
      <c r="L1051" s="493"/>
      <c r="M1051" s="493"/>
      <c r="N1051" s="493"/>
      <c r="O1051" s="493"/>
      <c r="P1051" s="493"/>
      <c r="Q1051" s="493"/>
      <c r="R1051" s="493"/>
      <c r="S1051" s="493"/>
      <c r="T1051" s="794"/>
      <c r="V1051" s="641">
        <f t="shared" si="379"/>
        <v>0</v>
      </c>
      <c r="W1051" s="488"/>
      <c r="X1051" s="1016"/>
      <c r="Y1051" s="675"/>
      <c r="Z1051" s="767"/>
      <c r="AA1051" s="675"/>
      <c r="AB1051" s="767"/>
      <c r="AC1051" s="675"/>
      <c r="AD1051" s="767"/>
      <c r="AE1051" s="675"/>
      <c r="AF1051" s="767"/>
      <c r="AL1051" s="489"/>
      <c r="AM1051" s="489"/>
      <c r="AN1051" s="489"/>
      <c r="AO1051" s="489"/>
      <c r="AP1051" s="489"/>
      <c r="AQ1051" s="489"/>
      <c r="AR1051" s="489"/>
      <c r="AS1051" s="489"/>
    </row>
    <row r="1052" spans="1:45" s="484" customFormat="1">
      <c r="A1052" s="490" t="s">
        <v>1351</v>
      </c>
      <c r="B1052" s="653"/>
      <c r="C1052" s="654"/>
      <c r="D1052" s="654">
        <f>SUM(D1016:D1031)</f>
        <v>0</v>
      </c>
      <c r="E1052" s="654">
        <f>SUM(E1016:E1051)</f>
        <v>0</v>
      </c>
      <c r="F1052" s="707"/>
      <c r="G1052" s="654">
        <f>SUM(G1016:G1051)</f>
        <v>54166.666666666664</v>
      </c>
      <c r="H1052" s="654">
        <f t="shared" ref="H1052:Q1052" si="389">SUM(H1016:H1051)</f>
        <v>836562.49999999988</v>
      </c>
      <c r="I1052" s="654">
        <f t="shared" si="389"/>
        <v>2293020.8333333335</v>
      </c>
      <c r="J1052" s="654">
        <f t="shared" si="389"/>
        <v>3749479.1666666665</v>
      </c>
      <c r="K1052" s="654">
        <f t="shared" si="389"/>
        <v>5205937.5</v>
      </c>
      <c r="L1052" s="654">
        <f t="shared" si="389"/>
        <v>6662395.833333333</v>
      </c>
      <c r="M1052" s="654">
        <f t="shared" si="389"/>
        <v>8118854.166666667</v>
      </c>
      <c r="N1052" s="654">
        <f t="shared" si="389"/>
        <v>9575312.5</v>
      </c>
      <c r="O1052" s="654">
        <f t="shared" si="389"/>
        <v>11031770.833333334</v>
      </c>
      <c r="P1052" s="654">
        <f t="shared" si="389"/>
        <v>12488229.166666668</v>
      </c>
      <c r="Q1052" s="654">
        <f t="shared" si="389"/>
        <v>13944687.5</v>
      </c>
      <c r="R1052" s="654">
        <f>SUM(R1016:R1051)</f>
        <v>15401145.833333332</v>
      </c>
      <c r="S1052" s="654">
        <f>SUM(S1016:S1051)</f>
        <v>16857604.166666664</v>
      </c>
      <c r="T1052" s="816"/>
      <c r="V1052" s="654">
        <f t="shared" ref="V1052" si="390">SUM(V1016:V1051)</f>
        <v>106165000</v>
      </c>
      <c r="W1052" s="708"/>
      <c r="X1052" s="1017"/>
      <c r="Y1052" s="718">
        <f>SUM(Y1016:Y1033)</f>
        <v>161525000.68577999</v>
      </c>
      <c r="Z1052" s="708">
        <f>Y1052/V1052-1</f>
        <v>0.52145246254208066</v>
      </c>
      <c r="AA1052" s="718">
        <f>SUM(AA1016:AA1031)</f>
        <v>126360000</v>
      </c>
      <c r="AB1052" s="708">
        <f>+AA1052/Y1052-1</f>
        <v>-0.21770624074589939</v>
      </c>
      <c r="AC1052" s="718">
        <f>SUM(AC1016:AC1031)</f>
        <v>184275000</v>
      </c>
      <c r="AD1052" s="708">
        <f>+AC1052/AA1052-1</f>
        <v>0.45833333333333326</v>
      </c>
      <c r="AE1052" s="718">
        <f>SUM(AE1016:AE1031)</f>
        <v>248771250</v>
      </c>
      <c r="AF1052" s="708">
        <f>+AE1052/AC1052-1</f>
        <v>0.35000000000000009</v>
      </c>
      <c r="AL1052" s="489"/>
      <c r="AM1052" s="489"/>
      <c r="AN1052" s="489"/>
      <c r="AO1052" s="489"/>
      <c r="AP1052" s="489"/>
      <c r="AQ1052" s="489"/>
      <c r="AR1052" s="489"/>
      <c r="AS1052" s="489"/>
    </row>
    <row r="1053" spans="1:45" s="484" customFormat="1">
      <c r="A1053" s="490"/>
      <c r="B1053" s="653"/>
      <c r="C1053" s="654"/>
      <c r="D1053" s="654"/>
      <c r="E1053" s="654"/>
      <c r="F1053" s="707"/>
      <c r="G1053" s="654"/>
      <c r="H1053" s="654"/>
      <c r="I1053" s="654"/>
      <c r="J1053" s="654"/>
      <c r="K1053" s="654"/>
      <c r="L1053" s="654"/>
      <c r="M1053" s="654"/>
      <c r="N1053" s="654"/>
      <c r="O1053" s="654"/>
      <c r="P1053" s="654"/>
      <c r="Q1053" s="654"/>
      <c r="R1053" s="654"/>
      <c r="S1053" s="654"/>
      <c r="T1053" s="816"/>
      <c r="V1053" s="654"/>
      <c r="W1053" s="708"/>
      <c r="X1053" s="1017"/>
      <c r="Y1053" s="718"/>
      <c r="Z1053" s="708"/>
      <c r="AA1053" s="718"/>
      <c r="AB1053" s="708"/>
      <c r="AC1053" s="718"/>
      <c r="AD1053" s="708"/>
      <c r="AE1053" s="718"/>
      <c r="AF1053" s="708"/>
      <c r="AL1053" s="489"/>
      <c r="AM1053" s="489"/>
      <c r="AN1053" s="489"/>
      <c r="AO1053" s="489"/>
      <c r="AP1053" s="489"/>
      <c r="AQ1053" s="489"/>
      <c r="AR1053" s="489"/>
      <c r="AS1053" s="489"/>
    </row>
    <row r="1054" spans="1:45" s="484" customFormat="1">
      <c r="A1054" s="490" t="s">
        <v>1149</v>
      </c>
      <c r="B1054" s="633"/>
      <c r="C1054" s="634"/>
      <c r="D1054" s="689"/>
      <c r="E1054" s="689"/>
      <c r="F1054" s="691"/>
      <c r="G1054" s="690">
        <v>42735</v>
      </c>
      <c r="H1054" s="690">
        <v>42736</v>
      </c>
      <c r="I1054" s="690">
        <v>42768</v>
      </c>
      <c r="J1054" s="690">
        <v>42800</v>
      </c>
      <c r="K1054" s="690">
        <v>42832</v>
      </c>
      <c r="L1054" s="690">
        <v>42864</v>
      </c>
      <c r="M1054" s="690">
        <v>42896</v>
      </c>
      <c r="N1054" s="690">
        <v>42928</v>
      </c>
      <c r="O1054" s="690">
        <v>42960</v>
      </c>
      <c r="P1054" s="690">
        <v>42992</v>
      </c>
      <c r="Q1054" s="690">
        <v>43024</v>
      </c>
      <c r="R1054" s="690">
        <v>43056</v>
      </c>
      <c r="S1054" s="690">
        <v>43088</v>
      </c>
      <c r="T1054" s="822"/>
      <c r="V1054" s="690" t="s">
        <v>1159</v>
      </c>
      <c r="W1054" s="692"/>
      <c r="X1054" s="1022"/>
      <c r="Y1054" s="693"/>
      <c r="Z1054" s="693"/>
      <c r="AA1054" s="694"/>
      <c r="AB1054" s="694"/>
      <c r="AC1054" s="694"/>
      <c r="AD1054" s="694"/>
      <c r="AE1054" s="694"/>
      <c r="AF1054" s="694"/>
      <c r="AL1054" s="489"/>
      <c r="AM1054" s="489"/>
      <c r="AN1054" s="489"/>
      <c r="AO1054" s="489"/>
      <c r="AP1054" s="489"/>
      <c r="AQ1054" s="489"/>
      <c r="AR1054" s="489"/>
      <c r="AS1054" s="489"/>
    </row>
    <row r="1055" spans="1:45" s="484" customFormat="1">
      <c r="A1055" s="695" t="s">
        <v>1275</v>
      </c>
      <c r="B1055" s="638"/>
      <c r="C1055" s="639"/>
      <c r="D1055" s="639"/>
      <c r="E1055" s="493">
        <f>(0+E611)/2*$F1055/12</f>
        <v>75720.8377791526</v>
      </c>
      <c r="F1055" s="763">
        <f>+F1016</f>
        <v>0.02</v>
      </c>
      <c r="G1055" s="493">
        <f>(E611+G611)/2*$F1055/12</f>
        <v>75720.8377791526</v>
      </c>
      <c r="H1055" s="493">
        <f t="shared" ref="H1055:Q1070" si="391">(G611+H611)/2*$F1055/12</f>
        <v>0</v>
      </c>
      <c r="I1055" s="493">
        <f t="shared" si="391"/>
        <v>0</v>
      </c>
      <c r="J1055" s="493">
        <f t="shared" si="391"/>
        <v>0</v>
      </c>
      <c r="K1055" s="493">
        <f t="shared" si="391"/>
        <v>0</v>
      </c>
      <c r="L1055" s="493">
        <f t="shared" si="391"/>
        <v>0</v>
      </c>
      <c r="M1055" s="493">
        <f t="shared" si="391"/>
        <v>0</v>
      </c>
      <c r="N1055" s="493">
        <f t="shared" ref="N1055:P1074" si="392">(M611+N611)/2*$F1055/12</f>
        <v>0</v>
      </c>
      <c r="O1055" s="493">
        <f t="shared" si="392"/>
        <v>0</v>
      </c>
      <c r="P1055" s="493">
        <f t="shared" si="392"/>
        <v>0</v>
      </c>
      <c r="Q1055" s="493">
        <f t="shared" si="391"/>
        <v>0</v>
      </c>
      <c r="R1055" s="493">
        <f t="shared" ref="R1055:R1089" si="393">(Q611+R611)/2*$F1055/12</f>
        <v>0</v>
      </c>
      <c r="S1055" s="493">
        <f t="shared" ref="S1055:S1089" si="394">(R611+S611)/2*$F1055/12</f>
        <v>0</v>
      </c>
      <c r="T1055" s="794"/>
      <c r="V1055" s="641">
        <f t="shared" ref="V1055:V1090" si="395">SUM(H1055:U1055)</f>
        <v>0</v>
      </c>
      <c r="W1055" s="704"/>
      <c r="X1055" s="1015"/>
      <c r="Y1055" s="664">
        <f t="shared" ref="Y1055:Y1074" si="396">(Y633+V633)/2*Z1055</f>
        <v>-2.716064453125E-5</v>
      </c>
      <c r="Z1055" s="764">
        <v>0.02</v>
      </c>
      <c r="AA1055" s="664">
        <f t="shared" ref="AA1055:AA1074" si="397">(AA633+Y633)/2*AB1055</f>
        <v>0</v>
      </c>
      <c r="AB1055" s="764">
        <v>0.02</v>
      </c>
      <c r="AC1055" s="664">
        <f t="shared" ref="AC1055:AC1074" si="398">(AC633+AA633)/2*AD1055</f>
        <v>0</v>
      </c>
      <c r="AD1055" s="764">
        <v>0.02</v>
      </c>
      <c r="AE1055" s="664">
        <f t="shared" ref="AE1055:AE1074" si="399">(AE633+AC633)/2*AF1055</f>
        <v>0</v>
      </c>
      <c r="AF1055" s="764">
        <v>0.02</v>
      </c>
      <c r="AL1055" s="489"/>
      <c r="AM1055" s="489"/>
      <c r="AN1055" s="489"/>
      <c r="AO1055" s="489"/>
      <c r="AP1055" s="489"/>
      <c r="AQ1055" s="489"/>
      <c r="AR1055" s="489"/>
      <c r="AS1055" s="489"/>
    </row>
    <row r="1056" spans="1:45" s="484" customFormat="1" ht="14.5">
      <c r="A1056" s="695" t="s">
        <v>1276</v>
      </c>
      <c r="B1056" s="647"/>
      <c r="C1056" s="644"/>
      <c r="D1056" s="644"/>
      <c r="E1056" s="493">
        <f t="shared" ref="E1056:E1089" si="400">(0+E612)/2*$F1056/12</f>
        <v>106646.88418119897</v>
      </c>
      <c r="F1056" s="763">
        <f t="shared" ref="F1056:F1089" si="401">+F1017</f>
        <v>1.2500000000000001E-2</v>
      </c>
      <c r="G1056" s="493">
        <f t="shared" ref="G1056:G1089" si="402">(E612+G612)/2*$F1056/12</f>
        <v>106646.88418119897</v>
      </c>
      <c r="H1056" s="493">
        <f t="shared" si="391"/>
        <v>0</v>
      </c>
      <c r="I1056" s="493">
        <f t="shared" si="391"/>
        <v>0</v>
      </c>
      <c r="J1056" s="493">
        <f t="shared" si="391"/>
        <v>0</v>
      </c>
      <c r="K1056" s="493">
        <f t="shared" si="391"/>
        <v>0</v>
      </c>
      <c r="L1056" s="493">
        <f t="shared" si="391"/>
        <v>0</v>
      </c>
      <c r="M1056" s="493">
        <f t="shared" si="391"/>
        <v>0</v>
      </c>
      <c r="N1056" s="493">
        <f t="shared" si="392"/>
        <v>0</v>
      </c>
      <c r="O1056" s="493">
        <f t="shared" si="392"/>
        <v>0</v>
      </c>
      <c r="P1056" s="493">
        <f t="shared" si="392"/>
        <v>0</v>
      </c>
      <c r="Q1056" s="493">
        <f t="shared" si="391"/>
        <v>0</v>
      </c>
      <c r="R1056" s="493">
        <f t="shared" si="393"/>
        <v>0</v>
      </c>
      <c r="S1056" s="493">
        <f t="shared" si="394"/>
        <v>0</v>
      </c>
      <c r="T1056" s="794"/>
      <c r="V1056" s="641">
        <f t="shared" si="395"/>
        <v>0</v>
      </c>
      <c r="W1056" s="765"/>
      <c r="X1056" s="1016"/>
      <c r="Y1056" s="675">
        <f t="shared" si="396"/>
        <v>2271410499.4198003</v>
      </c>
      <c r="Z1056" s="766">
        <v>0.02</v>
      </c>
      <c r="AA1056" s="675">
        <f t="shared" si="397"/>
        <v>0</v>
      </c>
      <c r="AB1056" s="766">
        <v>0.02</v>
      </c>
      <c r="AC1056" s="675">
        <f t="shared" si="398"/>
        <v>0</v>
      </c>
      <c r="AD1056" s="766">
        <v>0.02</v>
      </c>
      <c r="AE1056" s="675">
        <f t="shared" si="399"/>
        <v>0</v>
      </c>
      <c r="AF1056" s="766">
        <v>0.02</v>
      </c>
      <c r="AL1056" s="489"/>
      <c r="AM1056" s="489"/>
      <c r="AN1056" s="489"/>
      <c r="AO1056" s="489"/>
      <c r="AP1056" s="489"/>
      <c r="AQ1056" s="489"/>
      <c r="AR1056" s="489"/>
      <c r="AS1056" s="489"/>
    </row>
    <row r="1057" spans="1:45" s="484" customFormat="1">
      <c r="A1057" s="695" t="s">
        <v>1277</v>
      </c>
      <c r="B1057" s="638"/>
      <c r="C1057" s="639"/>
      <c r="D1057" s="639"/>
      <c r="E1057" s="493">
        <f t="shared" si="400"/>
        <v>2475.9671414270706</v>
      </c>
      <c r="F1057" s="763">
        <f t="shared" si="401"/>
        <v>1.2500000000000001E-2</v>
      </c>
      <c r="G1057" s="493">
        <f t="shared" si="402"/>
        <v>272658.0429553205</v>
      </c>
      <c r="H1057" s="493">
        <f t="shared" si="391"/>
        <v>540364.15162778681</v>
      </c>
      <c r="I1057" s="493">
        <f t="shared" si="391"/>
        <v>540364.15162778681</v>
      </c>
      <c r="J1057" s="493">
        <f t="shared" si="391"/>
        <v>540364.15162778681</v>
      </c>
      <c r="K1057" s="493">
        <f t="shared" si="391"/>
        <v>540364.15162778681</v>
      </c>
      <c r="L1057" s="493">
        <f t="shared" si="391"/>
        <v>540364.15162778681</v>
      </c>
      <c r="M1057" s="493">
        <f t="shared" si="391"/>
        <v>540364.15162778681</v>
      </c>
      <c r="N1057" s="493">
        <f t="shared" si="392"/>
        <v>540364.15162778681</v>
      </c>
      <c r="O1057" s="493">
        <f t="shared" si="392"/>
        <v>540364.15162778681</v>
      </c>
      <c r="P1057" s="493">
        <f t="shared" si="392"/>
        <v>540364.15162778681</v>
      </c>
      <c r="Q1057" s="493">
        <f t="shared" si="391"/>
        <v>540364.15162778681</v>
      </c>
      <c r="R1057" s="493">
        <f t="shared" si="393"/>
        <v>540364.15162778681</v>
      </c>
      <c r="S1057" s="493">
        <f t="shared" si="394"/>
        <v>540364.15162778681</v>
      </c>
      <c r="T1057" s="794"/>
      <c r="V1057" s="641">
        <f t="shared" si="395"/>
        <v>6484369.8195334403</v>
      </c>
      <c r="W1057" s="713"/>
      <c r="X1057" s="1015"/>
      <c r="Y1057" s="675">
        <f t="shared" si="396"/>
        <v>0</v>
      </c>
      <c r="Z1057" s="766">
        <v>1.2500000000000001E-2</v>
      </c>
      <c r="AA1057" s="675">
        <f t="shared" si="397"/>
        <v>0</v>
      </c>
      <c r="AB1057" s="766">
        <v>1.2500000000000001E-2</v>
      </c>
      <c r="AC1057" s="675">
        <f t="shared" si="398"/>
        <v>0</v>
      </c>
      <c r="AD1057" s="766">
        <v>1.2500000000000001E-2</v>
      </c>
      <c r="AE1057" s="675">
        <f t="shared" si="399"/>
        <v>0</v>
      </c>
      <c r="AF1057" s="766">
        <v>1.2500000000000001E-2</v>
      </c>
      <c r="AL1057" s="489"/>
      <c r="AM1057" s="489"/>
      <c r="AN1057" s="489"/>
      <c r="AO1057" s="489"/>
      <c r="AP1057" s="489"/>
      <c r="AQ1057" s="489"/>
      <c r="AR1057" s="489"/>
      <c r="AS1057" s="489"/>
    </row>
    <row r="1058" spans="1:45" s="484" customFormat="1" ht="14.5">
      <c r="A1058" s="695" t="s">
        <v>1278</v>
      </c>
      <c r="B1058" s="647"/>
      <c r="C1058" s="644"/>
      <c r="D1058" s="644"/>
      <c r="E1058" s="493">
        <f t="shared" si="400"/>
        <v>14091.463686874509</v>
      </c>
      <c r="F1058" s="763">
        <f t="shared" si="401"/>
        <v>1.2500000000000001E-2</v>
      </c>
      <c r="G1058" s="493">
        <f t="shared" si="402"/>
        <v>14091.463686874509</v>
      </c>
      <c r="H1058" s="493">
        <f t="shared" si="391"/>
        <v>0</v>
      </c>
      <c r="I1058" s="493">
        <f t="shared" si="391"/>
        <v>0</v>
      </c>
      <c r="J1058" s="493">
        <f t="shared" si="391"/>
        <v>0</v>
      </c>
      <c r="K1058" s="493">
        <f t="shared" si="391"/>
        <v>0</v>
      </c>
      <c r="L1058" s="493">
        <f t="shared" si="391"/>
        <v>0</v>
      </c>
      <c r="M1058" s="493">
        <f t="shared" si="391"/>
        <v>0</v>
      </c>
      <c r="N1058" s="493">
        <f t="shared" si="392"/>
        <v>0</v>
      </c>
      <c r="O1058" s="493">
        <f t="shared" si="392"/>
        <v>0</v>
      </c>
      <c r="P1058" s="493">
        <f t="shared" si="392"/>
        <v>0</v>
      </c>
      <c r="Q1058" s="493">
        <f t="shared" si="391"/>
        <v>0</v>
      </c>
      <c r="R1058" s="493">
        <f t="shared" si="393"/>
        <v>0</v>
      </c>
      <c r="S1058" s="493">
        <f t="shared" si="394"/>
        <v>0</v>
      </c>
      <c r="T1058" s="794"/>
      <c r="V1058" s="641">
        <f t="shared" si="395"/>
        <v>0</v>
      </c>
      <c r="W1058" s="765"/>
      <c r="X1058" s="1016"/>
      <c r="Y1058" s="675">
        <f t="shared" si="396"/>
        <v>659230312.40625</v>
      </c>
      <c r="Z1058" s="766">
        <v>1.2500000000000001E-2</v>
      </c>
      <c r="AA1058" s="675">
        <f t="shared" si="397"/>
        <v>0</v>
      </c>
      <c r="AB1058" s="766">
        <v>1.2500000000000001E-2</v>
      </c>
      <c r="AC1058" s="675">
        <f t="shared" si="398"/>
        <v>0</v>
      </c>
      <c r="AD1058" s="766">
        <v>1.2500000000000001E-2</v>
      </c>
      <c r="AE1058" s="675">
        <f t="shared" si="399"/>
        <v>0</v>
      </c>
      <c r="AF1058" s="766">
        <v>1.2500000000000001E-2</v>
      </c>
      <c r="AL1058" s="489"/>
      <c r="AM1058" s="489"/>
      <c r="AN1058" s="489"/>
      <c r="AO1058" s="489"/>
      <c r="AP1058" s="489"/>
      <c r="AQ1058" s="489"/>
      <c r="AR1058" s="489"/>
      <c r="AS1058" s="489"/>
    </row>
    <row r="1059" spans="1:45" s="484" customFormat="1">
      <c r="A1059" s="695" t="s">
        <v>1279</v>
      </c>
      <c r="B1059" s="638"/>
      <c r="C1059" s="639"/>
      <c r="D1059" s="639"/>
      <c r="E1059" s="493">
        <f t="shared" si="400"/>
        <v>50532495.157916009</v>
      </c>
      <c r="F1059" s="763">
        <f t="shared" si="401"/>
        <v>0.03</v>
      </c>
      <c r="G1059" s="493">
        <f t="shared" si="402"/>
        <v>92400049.616386339</v>
      </c>
      <c r="H1059" s="493">
        <f t="shared" si="391"/>
        <v>83735108.916940644</v>
      </c>
      <c r="I1059" s="493">
        <f t="shared" si="391"/>
        <v>83735108.916940644</v>
      </c>
      <c r="J1059" s="493">
        <f t="shared" si="391"/>
        <v>83735108.916940644</v>
      </c>
      <c r="K1059" s="493">
        <f t="shared" si="391"/>
        <v>83735108.916940644</v>
      </c>
      <c r="L1059" s="493">
        <f t="shared" si="391"/>
        <v>83735108.916940644</v>
      </c>
      <c r="M1059" s="493">
        <f t="shared" si="391"/>
        <v>83735108.916940644</v>
      </c>
      <c r="N1059" s="493">
        <f t="shared" si="392"/>
        <v>83735108.916940644</v>
      </c>
      <c r="O1059" s="493">
        <f t="shared" si="392"/>
        <v>83735108.916940644</v>
      </c>
      <c r="P1059" s="493">
        <f t="shared" si="392"/>
        <v>83735108.916940644</v>
      </c>
      <c r="Q1059" s="493">
        <f t="shared" si="391"/>
        <v>83735108.916940644</v>
      </c>
      <c r="R1059" s="493">
        <f t="shared" si="393"/>
        <v>83735108.916940644</v>
      </c>
      <c r="S1059" s="493">
        <f t="shared" si="394"/>
        <v>83735108.916940644</v>
      </c>
      <c r="T1059" s="794"/>
      <c r="V1059" s="641">
        <f t="shared" si="395"/>
        <v>1004821307.0032879</v>
      </c>
      <c r="W1059" s="713"/>
      <c r="X1059" s="1015"/>
      <c r="Y1059" s="675">
        <f t="shared" si="396"/>
        <v>0</v>
      </c>
      <c r="Z1059" s="766">
        <f>1%/1.1</f>
        <v>9.0909090909090905E-3</v>
      </c>
      <c r="AA1059" s="675">
        <f t="shared" si="397"/>
        <v>0</v>
      </c>
      <c r="AB1059" s="766">
        <f>1%/1.1</f>
        <v>9.0909090909090905E-3</v>
      </c>
      <c r="AC1059" s="675">
        <f t="shared" si="398"/>
        <v>0</v>
      </c>
      <c r="AD1059" s="766">
        <f>1%/1.1</f>
        <v>9.0909090909090905E-3</v>
      </c>
      <c r="AE1059" s="675">
        <f t="shared" si="399"/>
        <v>0</v>
      </c>
      <c r="AF1059" s="766">
        <f>1%/1.1</f>
        <v>9.0909090909090905E-3</v>
      </c>
      <c r="AL1059" s="489"/>
      <c r="AM1059" s="489"/>
      <c r="AN1059" s="489"/>
      <c r="AO1059" s="489"/>
      <c r="AP1059" s="489"/>
      <c r="AQ1059" s="489"/>
      <c r="AR1059" s="489"/>
      <c r="AS1059" s="489"/>
    </row>
    <row r="1060" spans="1:45" s="484" customFormat="1" ht="14.5">
      <c r="A1060" s="695" t="s">
        <v>1280</v>
      </c>
      <c r="B1060" s="647"/>
      <c r="C1060" s="644"/>
      <c r="D1060" s="644"/>
      <c r="E1060" s="493">
        <f t="shared" si="400"/>
        <v>109902.74567505174</v>
      </c>
      <c r="F1060" s="763">
        <f t="shared" si="401"/>
        <v>1.2500000000000001E-2</v>
      </c>
      <c r="G1060" s="493">
        <f t="shared" si="402"/>
        <v>232059.24664117928</v>
      </c>
      <c r="H1060" s="493">
        <f t="shared" si="391"/>
        <v>244313.00193225508</v>
      </c>
      <c r="I1060" s="493">
        <f t="shared" si="391"/>
        <v>244313.00193225508</v>
      </c>
      <c r="J1060" s="493">
        <f t="shared" si="391"/>
        <v>244313.00193225508</v>
      </c>
      <c r="K1060" s="493">
        <f t="shared" si="391"/>
        <v>244313.00193225508</v>
      </c>
      <c r="L1060" s="493">
        <f t="shared" si="391"/>
        <v>244313.00193225508</v>
      </c>
      <c r="M1060" s="493">
        <f t="shared" si="391"/>
        <v>244313.00193225508</v>
      </c>
      <c r="N1060" s="493">
        <f t="shared" si="392"/>
        <v>244313.00193225508</v>
      </c>
      <c r="O1060" s="493">
        <f t="shared" si="392"/>
        <v>244313.00193225508</v>
      </c>
      <c r="P1060" s="493">
        <f t="shared" si="392"/>
        <v>244313.00193225508</v>
      </c>
      <c r="Q1060" s="493">
        <f t="shared" si="391"/>
        <v>244313.00193225508</v>
      </c>
      <c r="R1060" s="493">
        <f t="shared" si="393"/>
        <v>244313.00193225508</v>
      </c>
      <c r="S1060" s="493">
        <f t="shared" si="394"/>
        <v>244313.00193225508</v>
      </c>
      <c r="T1060" s="794"/>
      <c r="V1060" s="641">
        <f t="shared" si="395"/>
        <v>2931756.0231870604</v>
      </c>
      <c r="W1060" s="765"/>
      <c r="X1060" s="1016"/>
      <c r="Y1060" s="675">
        <f t="shared" si="396"/>
        <v>0</v>
      </c>
      <c r="Z1060" s="766">
        <v>1.2500000000000001E-2</v>
      </c>
      <c r="AA1060" s="675">
        <f t="shared" si="397"/>
        <v>0</v>
      </c>
      <c r="AB1060" s="766">
        <v>1.2500000000000001E-2</v>
      </c>
      <c r="AC1060" s="675">
        <f t="shared" si="398"/>
        <v>0</v>
      </c>
      <c r="AD1060" s="766">
        <v>1.2500000000000001E-2</v>
      </c>
      <c r="AE1060" s="675">
        <f t="shared" si="399"/>
        <v>0</v>
      </c>
      <c r="AF1060" s="766">
        <v>1.2500000000000001E-2</v>
      </c>
      <c r="AL1060" s="489"/>
      <c r="AM1060" s="489"/>
      <c r="AN1060" s="489"/>
      <c r="AO1060" s="489"/>
      <c r="AP1060" s="489"/>
      <c r="AQ1060" s="489"/>
      <c r="AR1060" s="489"/>
      <c r="AS1060" s="489"/>
    </row>
    <row r="1061" spans="1:45" s="484" customFormat="1">
      <c r="A1061" s="695" t="s">
        <v>1281</v>
      </c>
      <c r="B1061" s="638"/>
      <c r="C1061" s="639"/>
      <c r="D1061" s="639"/>
      <c r="E1061" s="493">
        <f t="shared" si="400"/>
        <v>901589.04069039354</v>
      </c>
      <c r="F1061" s="763">
        <f t="shared" si="401"/>
        <v>8.9999999999999993E-3</v>
      </c>
      <c r="G1061" s="493">
        <f t="shared" si="402"/>
        <v>1722787.7438898301</v>
      </c>
      <c r="H1061" s="493">
        <f t="shared" si="391"/>
        <v>1642397.4063988735</v>
      </c>
      <c r="I1061" s="493">
        <f t="shared" si="391"/>
        <v>1642397.4063988735</v>
      </c>
      <c r="J1061" s="493">
        <f t="shared" si="391"/>
        <v>1642397.4063988735</v>
      </c>
      <c r="K1061" s="493">
        <f t="shared" si="391"/>
        <v>1642397.4063988735</v>
      </c>
      <c r="L1061" s="493">
        <f t="shared" si="391"/>
        <v>1642397.4063988735</v>
      </c>
      <c r="M1061" s="493">
        <f t="shared" si="391"/>
        <v>1642397.4063988735</v>
      </c>
      <c r="N1061" s="493">
        <f t="shared" si="392"/>
        <v>1642397.4063988735</v>
      </c>
      <c r="O1061" s="493">
        <f t="shared" si="392"/>
        <v>1642397.4063988735</v>
      </c>
      <c r="P1061" s="493">
        <f t="shared" si="392"/>
        <v>1642397.4063988735</v>
      </c>
      <c r="Q1061" s="493">
        <f t="shared" si="391"/>
        <v>1642397.4063988735</v>
      </c>
      <c r="R1061" s="493">
        <f t="shared" si="393"/>
        <v>1642397.4063988735</v>
      </c>
      <c r="S1061" s="493">
        <f t="shared" si="394"/>
        <v>1642397.4063988735</v>
      </c>
      <c r="T1061" s="794"/>
      <c r="V1061" s="641">
        <f t="shared" si="395"/>
        <v>19708768.876786482</v>
      </c>
      <c r="W1061" s="713"/>
      <c r="X1061" s="1015"/>
      <c r="Y1061" s="675">
        <f t="shared" si="396"/>
        <v>0</v>
      </c>
      <c r="Z1061" s="766">
        <v>1.2500000000000001E-2</v>
      </c>
      <c r="AA1061" s="675">
        <f t="shared" si="397"/>
        <v>0</v>
      </c>
      <c r="AB1061" s="766">
        <v>1.2500000000000001E-2</v>
      </c>
      <c r="AC1061" s="675">
        <f t="shared" si="398"/>
        <v>0</v>
      </c>
      <c r="AD1061" s="766">
        <v>1.2500000000000001E-2</v>
      </c>
      <c r="AE1061" s="675">
        <f t="shared" si="399"/>
        <v>0</v>
      </c>
      <c r="AF1061" s="766">
        <v>1.2500000000000001E-2</v>
      </c>
      <c r="AL1061" s="489"/>
      <c r="AM1061" s="489"/>
      <c r="AN1061" s="489"/>
      <c r="AO1061" s="489"/>
      <c r="AP1061" s="489"/>
      <c r="AQ1061" s="489"/>
      <c r="AR1061" s="489"/>
      <c r="AS1061" s="489"/>
    </row>
    <row r="1062" spans="1:45" s="484" customFormat="1" ht="14.5">
      <c r="A1062" s="695" t="s">
        <v>1282</v>
      </c>
      <c r="B1062" s="647"/>
      <c r="C1062" s="644"/>
      <c r="D1062" s="644"/>
      <c r="E1062" s="493">
        <f t="shared" si="400"/>
        <v>0</v>
      </c>
      <c r="F1062" s="763">
        <f t="shared" si="401"/>
        <v>0</v>
      </c>
      <c r="G1062" s="493">
        <f t="shared" si="402"/>
        <v>0</v>
      </c>
      <c r="H1062" s="493">
        <f t="shared" si="391"/>
        <v>0</v>
      </c>
      <c r="I1062" s="493">
        <f t="shared" si="391"/>
        <v>0</v>
      </c>
      <c r="J1062" s="493">
        <f t="shared" si="391"/>
        <v>0</v>
      </c>
      <c r="K1062" s="493">
        <f t="shared" si="391"/>
        <v>0</v>
      </c>
      <c r="L1062" s="493">
        <f t="shared" si="391"/>
        <v>0</v>
      </c>
      <c r="M1062" s="493">
        <f t="shared" si="391"/>
        <v>0</v>
      </c>
      <c r="N1062" s="493">
        <f t="shared" si="392"/>
        <v>0</v>
      </c>
      <c r="O1062" s="493">
        <f t="shared" si="392"/>
        <v>0</v>
      </c>
      <c r="P1062" s="493">
        <f t="shared" si="392"/>
        <v>0</v>
      </c>
      <c r="Q1062" s="493">
        <f t="shared" si="391"/>
        <v>0</v>
      </c>
      <c r="R1062" s="493">
        <f t="shared" si="393"/>
        <v>0</v>
      </c>
      <c r="S1062" s="493">
        <f t="shared" si="394"/>
        <v>0</v>
      </c>
      <c r="T1062" s="794"/>
      <c r="V1062" s="641">
        <f t="shared" si="395"/>
        <v>0</v>
      </c>
      <c r="W1062" s="765"/>
      <c r="X1062" s="1016"/>
      <c r="Y1062" s="675">
        <f t="shared" si="396"/>
        <v>0</v>
      </c>
      <c r="Z1062" s="766">
        <v>1.2500000000000001E-2</v>
      </c>
      <c r="AA1062" s="675">
        <f t="shared" si="397"/>
        <v>0</v>
      </c>
      <c r="AB1062" s="766">
        <v>1.2500000000000001E-2</v>
      </c>
      <c r="AC1062" s="675">
        <f t="shared" si="398"/>
        <v>0</v>
      </c>
      <c r="AD1062" s="766">
        <v>1.2500000000000001E-2</v>
      </c>
      <c r="AE1062" s="675">
        <f t="shared" si="399"/>
        <v>0</v>
      </c>
      <c r="AF1062" s="766">
        <v>1.2500000000000001E-2</v>
      </c>
      <c r="AL1062" s="489"/>
      <c r="AM1062" s="489"/>
      <c r="AN1062" s="489"/>
      <c r="AO1062" s="489"/>
      <c r="AP1062" s="489"/>
      <c r="AQ1062" s="489"/>
      <c r="AR1062" s="489"/>
      <c r="AS1062" s="489"/>
    </row>
    <row r="1063" spans="1:45" s="484" customFormat="1">
      <c r="A1063" s="695" t="s">
        <v>1283</v>
      </c>
      <c r="B1063" s="638"/>
      <c r="C1063" s="639"/>
      <c r="D1063" s="639"/>
      <c r="E1063" s="493">
        <f t="shared" si="400"/>
        <v>0</v>
      </c>
      <c r="F1063" s="763">
        <f t="shared" si="401"/>
        <v>0</v>
      </c>
      <c r="G1063" s="493">
        <f t="shared" si="402"/>
        <v>0</v>
      </c>
      <c r="H1063" s="493">
        <f t="shared" si="391"/>
        <v>0</v>
      </c>
      <c r="I1063" s="493">
        <f t="shared" si="391"/>
        <v>0</v>
      </c>
      <c r="J1063" s="493">
        <f t="shared" si="391"/>
        <v>0</v>
      </c>
      <c r="K1063" s="493">
        <f t="shared" si="391"/>
        <v>0</v>
      </c>
      <c r="L1063" s="493">
        <f t="shared" si="391"/>
        <v>0</v>
      </c>
      <c r="M1063" s="493">
        <f t="shared" si="391"/>
        <v>0</v>
      </c>
      <c r="N1063" s="493">
        <f t="shared" si="392"/>
        <v>0</v>
      </c>
      <c r="O1063" s="493">
        <f t="shared" si="392"/>
        <v>0</v>
      </c>
      <c r="P1063" s="493">
        <f t="shared" si="392"/>
        <v>0</v>
      </c>
      <c r="Q1063" s="493">
        <f t="shared" si="391"/>
        <v>0</v>
      </c>
      <c r="R1063" s="493">
        <f t="shared" si="393"/>
        <v>0</v>
      </c>
      <c r="S1063" s="493">
        <f t="shared" si="394"/>
        <v>0</v>
      </c>
      <c r="T1063" s="794"/>
      <c r="V1063" s="641">
        <f t="shared" si="395"/>
        <v>0</v>
      </c>
      <c r="W1063" s="713"/>
      <c r="X1063" s="1015"/>
      <c r="Y1063" s="675">
        <f t="shared" si="396"/>
        <v>59.0625</v>
      </c>
      <c r="Z1063" s="766">
        <v>1.2500000000000001E-2</v>
      </c>
      <c r="AA1063" s="675">
        <f t="shared" si="397"/>
        <v>0</v>
      </c>
      <c r="AB1063" s="766">
        <v>1.2500000000000001E-2</v>
      </c>
      <c r="AC1063" s="675">
        <f t="shared" si="398"/>
        <v>0</v>
      </c>
      <c r="AD1063" s="766">
        <v>1.2500000000000001E-2</v>
      </c>
      <c r="AE1063" s="675">
        <f t="shared" si="399"/>
        <v>0</v>
      </c>
      <c r="AF1063" s="766">
        <v>1.2500000000000001E-2</v>
      </c>
      <c r="AL1063" s="489"/>
      <c r="AM1063" s="489"/>
      <c r="AN1063" s="489"/>
      <c r="AO1063" s="489"/>
      <c r="AP1063" s="489"/>
      <c r="AQ1063" s="489"/>
      <c r="AR1063" s="489"/>
      <c r="AS1063" s="489"/>
    </row>
    <row r="1064" spans="1:45" s="484" customFormat="1" ht="14.5">
      <c r="A1064" s="695" t="s">
        <v>1284</v>
      </c>
      <c r="B1064" s="647"/>
      <c r="C1064" s="644"/>
      <c r="D1064" s="644"/>
      <c r="E1064" s="493">
        <f t="shared" si="400"/>
        <v>2230313.2319596885</v>
      </c>
      <c r="F1064" s="763">
        <f t="shared" si="401"/>
        <v>1.4999999999999999E-2</v>
      </c>
      <c r="G1064" s="493">
        <f t="shared" si="402"/>
        <v>4640014.6432832526</v>
      </c>
      <c r="H1064" s="493">
        <f t="shared" si="391"/>
        <v>4819402.8226471273</v>
      </c>
      <c r="I1064" s="493">
        <f t="shared" si="391"/>
        <v>4819402.8226471273</v>
      </c>
      <c r="J1064" s="493">
        <f t="shared" si="391"/>
        <v>4819402.8226471273</v>
      </c>
      <c r="K1064" s="493">
        <f t="shared" si="391"/>
        <v>4819402.8226471273</v>
      </c>
      <c r="L1064" s="493">
        <f t="shared" si="391"/>
        <v>4819402.8226471273</v>
      </c>
      <c r="M1064" s="493">
        <f t="shared" si="391"/>
        <v>4819402.8226471273</v>
      </c>
      <c r="N1064" s="493">
        <f t="shared" si="392"/>
        <v>4819402.8226471273</v>
      </c>
      <c r="O1064" s="493">
        <f t="shared" si="392"/>
        <v>4819402.8226471273</v>
      </c>
      <c r="P1064" s="493">
        <f t="shared" si="392"/>
        <v>4819402.8226471273</v>
      </c>
      <c r="Q1064" s="493">
        <f t="shared" si="391"/>
        <v>4819402.8226471273</v>
      </c>
      <c r="R1064" s="493">
        <f t="shared" si="393"/>
        <v>4819402.8226471273</v>
      </c>
      <c r="S1064" s="493">
        <f t="shared" si="394"/>
        <v>4819402.8226471273</v>
      </c>
      <c r="T1064" s="794"/>
      <c r="V1064" s="641">
        <f t="shared" si="395"/>
        <v>57832833.871765517</v>
      </c>
      <c r="W1064" s="765"/>
      <c r="X1064" s="1016"/>
      <c r="Y1064" s="675">
        <f t="shared" si="396"/>
        <v>0</v>
      </c>
      <c r="Z1064" s="766">
        <v>1.2500000000000001E-2</v>
      </c>
      <c r="AA1064" s="675">
        <f t="shared" si="397"/>
        <v>0</v>
      </c>
      <c r="AB1064" s="766">
        <v>1.2500000000000001E-2</v>
      </c>
      <c r="AC1064" s="675">
        <f t="shared" si="398"/>
        <v>0</v>
      </c>
      <c r="AD1064" s="766">
        <v>1.2500000000000001E-2</v>
      </c>
      <c r="AE1064" s="675">
        <f t="shared" si="399"/>
        <v>0</v>
      </c>
      <c r="AF1064" s="766">
        <v>1.2500000000000001E-2</v>
      </c>
      <c r="AL1064" s="489"/>
      <c r="AM1064" s="489"/>
      <c r="AN1064" s="489"/>
      <c r="AO1064" s="489"/>
      <c r="AP1064" s="489"/>
      <c r="AQ1064" s="489"/>
      <c r="AR1064" s="489"/>
      <c r="AS1064" s="489"/>
    </row>
    <row r="1065" spans="1:45" s="484" customFormat="1">
      <c r="A1065" s="695" t="s">
        <v>1285</v>
      </c>
      <c r="B1065" s="638"/>
      <c r="C1065" s="639"/>
      <c r="D1065" s="639"/>
      <c r="E1065" s="493">
        <f t="shared" si="400"/>
        <v>6716951.8441125052</v>
      </c>
      <c r="F1065" s="763">
        <f t="shared" si="401"/>
        <v>1.4999999999999999E-2</v>
      </c>
      <c r="G1065" s="493">
        <f t="shared" si="402"/>
        <v>10839955.855940446</v>
      </c>
      <c r="H1065" s="493">
        <f t="shared" si="391"/>
        <v>8246008.0236558812</v>
      </c>
      <c r="I1065" s="493">
        <f t="shared" si="391"/>
        <v>8246008.0236558812</v>
      </c>
      <c r="J1065" s="493">
        <f t="shared" si="391"/>
        <v>8246008.0236558812</v>
      </c>
      <c r="K1065" s="493">
        <f t="shared" si="391"/>
        <v>8246008.0236558812</v>
      </c>
      <c r="L1065" s="493">
        <f t="shared" si="391"/>
        <v>8246008.0236558812</v>
      </c>
      <c r="M1065" s="493">
        <f t="shared" si="391"/>
        <v>8246008.0236558812</v>
      </c>
      <c r="N1065" s="493">
        <f t="shared" si="392"/>
        <v>8246008.0236558812</v>
      </c>
      <c r="O1065" s="493">
        <f t="shared" si="392"/>
        <v>8246008.0236558812</v>
      </c>
      <c r="P1065" s="493">
        <f t="shared" si="392"/>
        <v>8246008.0236558812</v>
      </c>
      <c r="Q1065" s="493">
        <f t="shared" si="391"/>
        <v>8246008.0236558812</v>
      </c>
      <c r="R1065" s="493">
        <f t="shared" si="393"/>
        <v>8246008.0236558812</v>
      </c>
      <c r="S1065" s="493">
        <f t="shared" si="394"/>
        <v>8246008.0236558812</v>
      </c>
      <c r="T1065" s="794"/>
      <c r="V1065" s="641">
        <f t="shared" si="395"/>
        <v>98952096.283870563</v>
      </c>
      <c r="W1065" s="713"/>
      <c r="X1065" s="1015"/>
      <c r="Y1065" s="675">
        <f t="shared" si="396"/>
        <v>0</v>
      </c>
      <c r="Z1065" s="766">
        <v>1.2500000000000001E-2</v>
      </c>
      <c r="AA1065" s="675">
        <f t="shared" si="397"/>
        <v>0</v>
      </c>
      <c r="AB1065" s="766">
        <v>1.2500000000000001E-2</v>
      </c>
      <c r="AC1065" s="675">
        <f t="shared" si="398"/>
        <v>0</v>
      </c>
      <c r="AD1065" s="766">
        <v>1.2500000000000001E-2</v>
      </c>
      <c r="AE1065" s="675">
        <f t="shared" si="399"/>
        <v>0</v>
      </c>
      <c r="AF1065" s="766">
        <v>1.2500000000000001E-2</v>
      </c>
      <c r="AL1065" s="489"/>
      <c r="AM1065" s="489"/>
      <c r="AN1065" s="489"/>
      <c r="AO1065" s="489"/>
      <c r="AP1065" s="489"/>
      <c r="AQ1065" s="489"/>
      <c r="AR1065" s="489"/>
      <c r="AS1065" s="489"/>
    </row>
    <row r="1066" spans="1:45" s="484" customFormat="1" ht="14.5">
      <c r="A1066" s="695" t="s">
        <v>1286</v>
      </c>
      <c r="B1066" s="647"/>
      <c r="C1066" s="644"/>
      <c r="D1066" s="644"/>
      <c r="E1066" s="493">
        <f t="shared" si="400"/>
        <v>1467.2546348959206</v>
      </c>
      <c r="F1066" s="763">
        <f t="shared" si="401"/>
        <v>1.2500000000000001E-2</v>
      </c>
      <c r="G1066" s="493">
        <f t="shared" si="402"/>
        <v>1467.2546348959206</v>
      </c>
      <c r="H1066" s="493">
        <f t="shared" si="391"/>
        <v>0</v>
      </c>
      <c r="I1066" s="493">
        <f t="shared" si="391"/>
        <v>0</v>
      </c>
      <c r="J1066" s="493">
        <f t="shared" si="391"/>
        <v>0</v>
      </c>
      <c r="K1066" s="493">
        <f t="shared" si="391"/>
        <v>0</v>
      </c>
      <c r="L1066" s="493">
        <f t="shared" si="391"/>
        <v>0</v>
      </c>
      <c r="M1066" s="493">
        <f t="shared" si="391"/>
        <v>0</v>
      </c>
      <c r="N1066" s="493">
        <f t="shared" si="392"/>
        <v>0</v>
      </c>
      <c r="O1066" s="493">
        <f t="shared" si="392"/>
        <v>0</v>
      </c>
      <c r="P1066" s="493">
        <f t="shared" si="392"/>
        <v>0</v>
      </c>
      <c r="Q1066" s="493">
        <f t="shared" si="391"/>
        <v>0</v>
      </c>
      <c r="R1066" s="493">
        <f t="shared" si="393"/>
        <v>0</v>
      </c>
      <c r="S1066" s="493">
        <f t="shared" si="394"/>
        <v>0</v>
      </c>
      <c r="T1066" s="794"/>
      <c r="V1066" s="641">
        <f t="shared" si="395"/>
        <v>0</v>
      </c>
      <c r="W1066" s="765"/>
      <c r="X1066" s="1016"/>
      <c r="Y1066" s="675">
        <f t="shared" si="396"/>
        <v>0</v>
      </c>
      <c r="Z1066" s="766">
        <f>1%/1.1</f>
        <v>9.0909090909090905E-3</v>
      </c>
      <c r="AA1066" s="675">
        <f t="shared" si="397"/>
        <v>0</v>
      </c>
      <c r="AB1066" s="766">
        <f>1%/1.1</f>
        <v>9.0909090909090905E-3</v>
      </c>
      <c r="AC1066" s="675">
        <f t="shared" si="398"/>
        <v>0</v>
      </c>
      <c r="AD1066" s="766">
        <f>1%/1.1</f>
        <v>9.0909090909090905E-3</v>
      </c>
      <c r="AE1066" s="675">
        <f t="shared" si="399"/>
        <v>0</v>
      </c>
      <c r="AF1066" s="766">
        <f>1%/1.1</f>
        <v>9.0909090909090905E-3</v>
      </c>
      <c r="AL1066" s="489"/>
      <c r="AM1066" s="489"/>
      <c r="AN1066" s="489"/>
      <c r="AO1066" s="489"/>
      <c r="AP1066" s="489"/>
      <c r="AQ1066" s="489"/>
      <c r="AR1066" s="489"/>
      <c r="AS1066" s="489"/>
    </row>
    <row r="1067" spans="1:45" s="484" customFormat="1">
      <c r="A1067" s="695" t="s">
        <v>1287</v>
      </c>
      <c r="B1067" s="638"/>
      <c r="C1067" s="639"/>
      <c r="D1067" s="639"/>
      <c r="E1067" s="493">
        <f t="shared" si="400"/>
        <v>0</v>
      </c>
      <c r="F1067" s="763">
        <f t="shared" si="401"/>
        <v>1.2500000000000001E-2</v>
      </c>
      <c r="G1067" s="493">
        <f t="shared" si="402"/>
        <v>0</v>
      </c>
      <c r="H1067" s="493">
        <f t="shared" si="391"/>
        <v>0</v>
      </c>
      <c r="I1067" s="493">
        <f t="shared" si="391"/>
        <v>0</v>
      </c>
      <c r="J1067" s="493">
        <f t="shared" si="391"/>
        <v>0</v>
      </c>
      <c r="K1067" s="493">
        <f t="shared" si="391"/>
        <v>0</v>
      </c>
      <c r="L1067" s="493">
        <f t="shared" si="391"/>
        <v>0</v>
      </c>
      <c r="M1067" s="493">
        <f t="shared" si="391"/>
        <v>0</v>
      </c>
      <c r="N1067" s="493">
        <f t="shared" si="392"/>
        <v>0</v>
      </c>
      <c r="O1067" s="493">
        <f t="shared" si="392"/>
        <v>0</v>
      </c>
      <c r="P1067" s="493">
        <f t="shared" si="392"/>
        <v>0</v>
      </c>
      <c r="Q1067" s="493">
        <f t="shared" si="391"/>
        <v>0</v>
      </c>
      <c r="R1067" s="493">
        <f t="shared" si="393"/>
        <v>0</v>
      </c>
      <c r="S1067" s="493">
        <f t="shared" si="394"/>
        <v>0</v>
      </c>
      <c r="T1067" s="794"/>
      <c r="V1067" s="641">
        <f t="shared" si="395"/>
        <v>0</v>
      </c>
      <c r="W1067" s="713"/>
      <c r="X1067" s="1015"/>
      <c r="Y1067" s="675">
        <f t="shared" si="396"/>
        <v>0</v>
      </c>
      <c r="Z1067" s="766">
        <v>1.5E-3</v>
      </c>
      <c r="AA1067" s="675">
        <f t="shared" si="397"/>
        <v>0</v>
      </c>
      <c r="AB1067" s="766">
        <v>1.5E-3</v>
      </c>
      <c r="AC1067" s="675">
        <f t="shared" si="398"/>
        <v>0</v>
      </c>
      <c r="AD1067" s="766">
        <v>1.5E-3</v>
      </c>
      <c r="AE1067" s="675">
        <f t="shared" si="399"/>
        <v>0</v>
      </c>
      <c r="AF1067" s="766">
        <v>1.5E-3</v>
      </c>
      <c r="AL1067" s="489"/>
      <c r="AM1067" s="489"/>
      <c r="AN1067" s="489"/>
      <c r="AO1067" s="489"/>
      <c r="AP1067" s="489"/>
      <c r="AQ1067" s="489"/>
      <c r="AR1067" s="489"/>
      <c r="AS1067" s="489"/>
    </row>
    <row r="1068" spans="1:45" s="484" customFormat="1" ht="14.5">
      <c r="A1068" s="695" t="s">
        <v>1288</v>
      </c>
      <c r="B1068" s="647"/>
      <c r="C1068" s="644"/>
      <c r="D1068" s="644"/>
      <c r="E1068" s="493">
        <f t="shared" si="400"/>
        <v>-2.8928120930989584E-7</v>
      </c>
      <c r="F1068" s="763">
        <f t="shared" si="401"/>
        <v>1.75E-3</v>
      </c>
      <c r="G1068" s="493">
        <f t="shared" si="402"/>
        <v>-2.8928120930989584E-7</v>
      </c>
      <c r="H1068" s="493">
        <f t="shared" si="391"/>
        <v>0</v>
      </c>
      <c r="I1068" s="493">
        <f t="shared" si="391"/>
        <v>0</v>
      </c>
      <c r="J1068" s="493">
        <f t="shared" si="391"/>
        <v>0</v>
      </c>
      <c r="K1068" s="493">
        <f t="shared" si="391"/>
        <v>0</v>
      </c>
      <c r="L1068" s="493">
        <f t="shared" si="391"/>
        <v>0</v>
      </c>
      <c r="M1068" s="493">
        <f t="shared" si="391"/>
        <v>0</v>
      </c>
      <c r="N1068" s="493">
        <f t="shared" si="392"/>
        <v>0</v>
      </c>
      <c r="O1068" s="493">
        <f t="shared" si="392"/>
        <v>0</v>
      </c>
      <c r="P1068" s="493">
        <f t="shared" si="392"/>
        <v>0</v>
      </c>
      <c r="Q1068" s="493">
        <f t="shared" si="391"/>
        <v>0</v>
      </c>
      <c r="R1068" s="493">
        <f t="shared" si="393"/>
        <v>0</v>
      </c>
      <c r="S1068" s="493">
        <f t="shared" si="394"/>
        <v>0</v>
      </c>
      <c r="T1068" s="794"/>
      <c r="V1068" s="641">
        <f t="shared" si="395"/>
        <v>0</v>
      </c>
      <c r="W1068" s="765"/>
      <c r="X1068" s="1016"/>
      <c r="Y1068" s="675">
        <f t="shared" si="396"/>
        <v>0</v>
      </c>
      <c r="Z1068" s="766">
        <v>1.2500000000000001E-2</v>
      </c>
      <c r="AA1068" s="675">
        <f t="shared" si="397"/>
        <v>0</v>
      </c>
      <c r="AB1068" s="766">
        <v>1.2500000000000001E-2</v>
      </c>
      <c r="AC1068" s="675">
        <f t="shared" si="398"/>
        <v>0</v>
      </c>
      <c r="AD1068" s="766">
        <v>1.2500000000000001E-2</v>
      </c>
      <c r="AE1068" s="675">
        <f t="shared" si="399"/>
        <v>0</v>
      </c>
      <c r="AF1068" s="766">
        <v>1.2500000000000001E-2</v>
      </c>
      <c r="AL1068" s="489"/>
      <c r="AM1068" s="489"/>
      <c r="AN1068" s="489"/>
      <c r="AO1068" s="489"/>
      <c r="AP1068" s="489"/>
      <c r="AQ1068" s="489"/>
      <c r="AR1068" s="489"/>
      <c r="AS1068" s="489"/>
    </row>
    <row r="1069" spans="1:45" s="484" customFormat="1">
      <c r="A1069" s="695" t="s">
        <v>1289</v>
      </c>
      <c r="B1069" s="647"/>
      <c r="C1069" s="648"/>
      <c r="D1069" s="639"/>
      <c r="E1069" s="493">
        <f t="shared" si="400"/>
        <v>-1.9604647958278656</v>
      </c>
      <c r="F1069" s="763">
        <f t="shared" si="401"/>
        <v>1.125E-2</v>
      </c>
      <c r="G1069" s="493">
        <f t="shared" si="402"/>
        <v>-1.9601712942123413</v>
      </c>
      <c r="H1069" s="493">
        <f t="shared" si="391"/>
        <v>5.8700323104858402E-4</v>
      </c>
      <c r="I1069" s="493">
        <f t="shared" si="391"/>
        <v>5.8700323104858402E-4</v>
      </c>
      <c r="J1069" s="493">
        <f t="shared" si="391"/>
        <v>5.8700323104858402E-4</v>
      </c>
      <c r="K1069" s="493">
        <f t="shared" si="391"/>
        <v>5.8700323104858402E-4</v>
      </c>
      <c r="L1069" s="493">
        <f t="shared" si="391"/>
        <v>5.8700323104858402E-4</v>
      </c>
      <c r="M1069" s="493">
        <f t="shared" si="391"/>
        <v>5.8700323104858402E-4</v>
      </c>
      <c r="N1069" s="493">
        <f t="shared" si="392"/>
        <v>5.8700323104858402E-4</v>
      </c>
      <c r="O1069" s="493">
        <f t="shared" si="392"/>
        <v>5.8700323104858402E-4</v>
      </c>
      <c r="P1069" s="493">
        <f t="shared" si="392"/>
        <v>5.8700323104858402E-4</v>
      </c>
      <c r="Q1069" s="493">
        <f t="shared" si="391"/>
        <v>5.8700323104858402E-4</v>
      </c>
      <c r="R1069" s="493">
        <f t="shared" si="393"/>
        <v>5.8700323104858402E-4</v>
      </c>
      <c r="S1069" s="493">
        <f t="shared" si="394"/>
        <v>5.8700323104858402E-4</v>
      </c>
      <c r="T1069" s="794"/>
      <c r="V1069" s="641">
        <f t="shared" si="395"/>
        <v>7.0440387725830078E-3</v>
      </c>
      <c r="W1069" s="713"/>
      <c r="X1069" s="1015"/>
      <c r="Y1069" s="675">
        <f t="shared" si="396"/>
        <v>860560540.26499844</v>
      </c>
      <c r="Z1069" s="766">
        <v>3.0000000000000001E-3</v>
      </c>
      <c r="AA1069" s="675">
        <f t="shared" si="397"/>
        <v>441959859.78183317</v>
      </c>
      <c r="AB1069" s="766">
        <v>3.0000000000000001E-3</v>
      </c>
      <c r="AC1069" s="675">
        <f t="shared" si="398"/>
        <v>644524795.51517344</v>
      </c>
      <c r="AD1069" s="766">
        <v>3.0000000000000001E-3</v>
      </c>
      <c r="AE1069" s="675">
        <f t="shared" si="399"/>
        <v>870108473.94548404</v>
      </c>
      <c r="AF1069" s="766">
        <v>3.0000000000000001E-3</v>
      </c>
      <c r="AL1069" s="489"/>
      <c r="AM1069" s="489"/>
      <c r="AN1069" s="489"/>
      <c r="AO1069" s="489"/>
      <c r="AP1069" s="489"/>
      <c r="AQ1069" s="489"/>
      <c r="AR1069" s="489"/>
      <c r="AS1069" s="489"/>
    </row>
    <row r="1070" spans="1:45" s="484" customFormat="1" ht="14.5">
      <c r="A1070" s="695" t="s">
        <v>1290</v>
      </c>
      <c r="B1070" s="647"/>
      <c r="C1070" s="644"/>
      <c r="D1070" s="644"/>
      <c r="E1070" s="493">
        <f t="shared" si="400"/>
        <v>4.3869018554687506E-8</v>
      </c>
      <c r="F1070" s="763">
        <f t="shared" si="401"/>
        <v>1.5E-3</v>
      </c>
      <c r="G1070" s="493">
        <f t="shared" si="402"/>
        <v>4.3869018554687506E-8</v>
      </c>
      <c r="H1070" s="493">
        <f t="shared" si="391"/>
        <v>0</v>
      </c>
      <c r="I1070" s="493">
        <f t="shared" si="391"/>
        <v>0</v>
      </c>
      <c r="J1070" s="493">
        <f t="shared" si="391"/>
        <v>0</v>
      </c>
      <c r="K1070" s="493">
        <f t="shared" si="391"/>
        <v>0</v>
      </c>
      <c r="L1070" s="493">
        <f t="shared" si="391"/>
        <v>0</v>
      </c>
      <c r="M1070" s="493">
        <f t="shared" si="391"/>
        <v>0</v>
      </c>
      <c r="N1070" s="493">
        <f t="shared" si="392"/>
        <v>0</v>
      </c>
      <c r="O1070" s="493">
        <f t="shared" si="392"/>
        <v>0</v>
      </c>
      <c r="P1070" s="493">
        <f t="shared" si="392"/>
        <v>0</v>
      </c>
      <c r="Q1070" s="493">
        <f t="shared" si="391"/>
        <v>0</v>
      </c>
      <c r="R1070" s="493">
        <f t="shared" si="393"/>
        <v>0</v>
      </c>
      <c r="S1070" s="493">
        <f t="shared" si="394"/>
        <v>0</v>
      </c>
      <c r="T1070" s="794"/>
      <c r="V1070" s="641">
        <f t="shared" si="395"/>
        <v>0</v>
      </c>
      <c r="W1070" s="488"/>
      <c r="X1070" s="1016"/>
      <c r="Y1070" s="675">
        <f t="shared" si="396"/>
        <v>129566376.19695118</v>
      </c>
      <c r="Z1070" s="767">
        <v>6.8000000000000005E-4</v>
      </c>
      <c r="AA1070" s="675">
        <f t="shared" si="397"/>
        <v>0</v>
      </c>
      <c r="AB1070" s="767">
        <v>6.8000000000000005E-4</v>
      </c>
      <c r="AC1070" s="675">
        <f t="shared" si="398"/>
        <v>0</v>
      </c>
      <c r="AD1070" s="767">
        <v>6.8000000000000005E-4</v>
      </c>
      <c r="AE1070" s="675">
        <f t="shared" si="399"/>
        <v>0</v>
      </c>
      <c r="AF1070" s="767">
        <v>6.8000000000000005E-4</v>
      </c>
      <c r="AL1070" s="489"/>
      <c r="AM1070" s="489"/>
      <c r="AN1070" s="489"/>
      <c r="AO1070" s="489"/>
      <c r="AP1070" s="489"/>
      <c r="AQ1070" s="489"/>
      <c r="AR1070" s="489"/>
      <c r="AS1070" s="489"/>
    </row>
    <row r="1071" spans="1:45" s="484" customFormat="1">
      <c r="A1071" s="695" t="s">
        <v>1291</v>
      </c>
      <c r="B1071" s="647"/>
      <c r="C1071" s="648"/>
      <c r="D1071" s="639"/>
      <c r="E1071" s="493">
        <f t="shared" si="400"/>
        <v>29465410.483465437</v>
      </c>
      <c r="F1071" s="763">
        <f t="shared" si="401"/>
        <v>1.4999999999999999E-2</v>
      </c>
      <c r="G1071" s="493">
        <f t="shared" si="402"/>
        <v>59373842.904315434</v>
      </c>
      <c r="H1071" s="493">
        <f t="shared" ref="H1071:Q1086" si="403">(G627+H627)/2*$F1071/12</f>
        <v>59816864.841699995</v>
      </c>
      <c r="I1071" s="493">
        <f t="shared" si="403"/>
        <v>59816864.841699995</v>
      </c>
      <c r="J1071" s="493">
        <f t="shared" si="403"/>
        <v>59816864.841699995</v>
      </c>
      <c r="K1071" s="493">
        <f t="shared" si="403"/>
        <v>59816864.841699995</v>
      </c>
      <c r="L1071" s="493">
        <f t="shared" si="403"/>
        <v>59816864.841699995</v>
      </c>
      <c r="M1071" s="493">
        <f t="shared" si="403"/>
        <v>59816864.841699995</v>
      </c>
      <c r="N1071" s="493">
        <f t="shared" si="392"/>
        <v>59816864.841699995</v>
      </c>
      <c r="O1071" s="493">
        <f t="shared" si="392"/>
        <v>59816864.841699995</v>
      </c>
      <c r="P1071" s="493">
        <f t="shared" si="392"/>
        <v>59816864.841699995</v>
      </c>
      <c r="Q1071" s="493">
        <f t="shared" si="403"/>
        <v>59816864.841699995</v>
      </c>
      <c r="R1071" s="493">
        <f t="shared" si="393"/>
        <v>59816864.841699995</v>
      </c>
      <c r="S1071" s="493">
        <f t="shared" si="394"/>
        <v>59816864.841699995</v>
      </c>
      <c r="T1071" s="794"/>
      <c r="V1071" s="641">
        <f t="shared" si="395"/>
        <v>717802378.10039985</v>
      </c>
      <c r="W1071" s="713"/>
      <c r="X1071" s="1015"/>
      <c r="Y1071" s="675">
        <f t="shared" si="396"/>
        <v>0</v>
      </c>
      <c r="Z1071" s="767">
        <v>7.5000000000000002E-4</v>
      </c>
      <c r="AA1071" s="675">
        <f t="shared" si="397"/>
        <v>0</v>
      </c>
      <c r="AB1071" s="767">
        <v>7.5000000000000002E-4</v>
      </c>
      <c r="AC1071" s="675">
        <f t="shared" si="398"/>
        <v>0</v>
      </c>
      <c r="AD1071" s="767">
        <v>7.5000000000000002E-4</v>
      </c>
      <c r="AE1071" s="675">
        <f t="shared" si="399"/>
        <v>0</v>
      </c>
      <c r="AF1071" s="767">
        <v>7.5000000000000002E-4</v>
      </c>
      <c r="AL1071" s="489"/>
      <c r="AM1071" s="489"/>
      <c r="AN1071" s="489"/>
      <c r="AO1071" s="489"/>
      <c r="AP1071" s="489"/>
      <c r="AQ1071" s="489"/>
      <c r="AR1071" s="489"/>
      <c r="AS1071" s="489"/>
    </row>
    <row r="1072" spans="1:45" s="484" customFormat="1" ht="14.5">
      <c r="A1072" s="695" t="s">
        <v>1292</v>
      </c>
      <c r="B1072" s="647"/>
      <c r="C1072" s="644"/>
      <c r="D1072" s="644"/>
      <c r="E1072" s="493">
        <f t="shared" si="400"/>
        <v>7103368.4446329996</v>
      </c>
      <c r="F1072" s="763">
        <f t="shared" si="401"/>
        <v>1.4999999999999999E-2</v>
      </c>
      <c r="G1072" s="493">
        <f t="shared" si="402"/>
        <v>14239635.920889249</v>
      </c>
      <c r="H1072" s="493">
        <f t="shared" si="403"/>
        <v>14272534.952512501</v>
      </c>
      <c r="I1072" s="493">
        <f t="shared" si="403"/>
        <v>14272534.952512501</v>
      </c>
      <c r="J1072" s="493">
        <f t="shared" si="403"/>
        <v>14272534.952512501</v>
      </c>
      <c r="K1072" s="493">
        <f t="shared" si="403"/>
        <v>14272534.952512501</v>
      </c>
      <c r="L1072" s="493">
        <f t="shared" si="403"/>
        <v>14272534.952512501</v>
      </c>
      <c r="M1072" s="493">
        <f t="shared" si="403"/>
        <v>14272534.952512501</v>
      </c>
      <c r="N1072" s="493">
        <f t="shared" si="392"/>
        <v>14272534.952512501</v>
      </c>
      <c r="O1072" s="493">
        <f t="shared" si="392"/>
        <v>14272534.952512501</v>
      </c>
      <c r="P1072" s="493">
        <f t="shared" si="392"/>
        <v>14272534.952512501</v>
      </c>
      <c r="Q1072" s="493">
        <f t="shared" si="403"/>
        <v>14272534.952512501</v>
      </c>
      <c r="R1072" s="493">
        <f t="shared" si="393"/>
        <v>14272534.952512501</v>
      </c>
      <c r="S1072" s="493">
        <f t="shared" si="394"/>
        <v>14272534.952512501</v>
      </c>
      <c r="T1072" s="794"/>
      <c r="V1072" s="641">
        <f t="shared" si="395"/>
        <v>171270419.43015</v>
      </c>
      <c r="W1072" s="488"/>
      <c r="X1072" s="1016"/>
      <c r="Y1072" s="675">
        <f t="shared" si="396"/>
        <v>109090909.09090908</v>
      </c>
      <c r="Z1072" s="767">
        <f>0.3%/1.1</f>
        <v>2.7272727272727271E-3</v>
      </c>
      <c r="AA1072" s="675">
        <f t="shared" si="397"/>
        <v>0</v>
      </c>
      <c r="AB1072" s="767">
        <f>0.3%/1.1</f>
        <v>2.7272727272727271E-3</v>
      </c>
      <c r="AC1072" s="675">
        <f t="shared" si="398"/>
        <v>0</v>
      </c>
      <c r="AD1072" s="767">
        <f>0.3%/1.1</f>
        <v>2.7272727272727271E-3</v>
      </c>
      <c r="AE1072" s="675">
        <f t="shared" si="399"/>
        <v>0</v>
      </c>
      <c r="AF1072" s="767">
        <f>0.3%/1.1</f>
        <v>2.7272727272727271E-3</v>
      </c>
      <c r="AL1072" s="489"/>
      <c r="AM1072" s="489"/>
      <c r="AN1072" s="489"/>
      <c r="AO1072" s="489"/>
      <c r="AP1072" s="489"/>
      <c r="AQ1072" s="489"/>
      <c r="AR1072" s="489"/>
      <c r="AS1072" s="489"/>
    </row>
    <row r="1073" spans="1:45" s="484" customFormat="1" ht="14.5">
      <c r="A1073" s="695" t="s">
        <v>1293</v>
      </c>
      <c r="B1073" s="647"/>
      <c r="C1073" s="644"/>
      <c r="D1073" s="644"/>
      <c r="E1073" s="493">
        <f t="shared" si="400"/>
        <v>6683863.8823220618</v>
      </c>
      <c r="F1073" s="763">
        <f t="shared" si="401"/>
        <v>1.4999999999999999E-2</v>
      </c>
      <c r="G1073" s="493">
        <f t="shared" si="402"/>
        <v>13303427.782903314</v>
      </c>
      <c r="H1073" s="493">
        <f t="shared" si="403"/>
        <v>13239127.801162498</v>
      </c>
      <c r="I1073" s="493">
        <f t="shared" si="403"/>
        <v>13239127.801162498</v>
      </c>
      <c r="J1073" s="493">
        <f t="shared" si="403"/>
        <v>13239127.801162498</v>
      </c>
      <c r="K1073" s="493">
        <f t="shared" si="403"/>
        <v>13239127.801162498</v>
      </c>
      <c r="L1073" s="493">
        <f t="shared" si="403"/>
        <v>13239127.801162498</v>
      </c>
      <c r="M1073" s="493">
        <f t="shared" si="403"/>
        <v>13239127.801162498</v>
      </c>
      <c r="N1073" s="493">
        <f t="shared" si="392"/>
        <v>13239127.801162498</v>
      </c>
      <c r="O1073" s="493">
        <f t="shared" si="392"/>
        <v>13239127.801162498</v>
      </c>
      <c r="P1073" s="493">
        <f t="shared" si="392"/>
        <v>13239127.801162498</v>
      </c>
      <c r="Q1073" s="493">
        <f t="shared" si="403"/>
        <v>13239127.801162498</v>
      </c>
      <c r="R1073" s="493">
        <f t="shared" si="393"/>
        <v>13239127.801162498</v>
      </c>
      <c r="S1073" s="493">
        <f t="shared" si="394"/>
        <v>13239127.801162498</v>
      </c>
      <c r="T1073" s="794"/>
      <c r="V1073" s="641">
        <f t="shared" si="395"/>
        <v>158869533.61394998</v>
      </c>
      <c r="W1073" s="488"/>
      <c r="X1073" s="1016"/>
      <c r="Y1073" s="675">
        <f t="shared" si="396"/>
        <v>465545454.5454545</v>
      </c>
      <c r="Z1073" s="767">
        <f>0.3%/1.1</f>
        <v>2.7272727272727271E-3</v>
      </c>
      <c r="AA1073" s="675">
        <f t="shared" si="397"/>
        <v>0</v>
      </c>
      <c r="AB1073" s="767">
        <f>0.3%/1.1</f>
        <v>2.7272727272727271E-3</v>
      </c>
      <c r="AC1073" s="675">
        <f t="shared" si="398"/>
        <v>0</v>
      </c>
      <c r="AD1073" s="767">
        <f>0.3%/1.1</f>
        <v>2.7272727272727271E-3</v>
      </c>
      <c r="AE1073" s="675">
        <f t="shared" si="399"/>
        <v>0</v>
      </c>
      <c r="AF1073" s="767">
        <f>0.3%/1.1</f>
        <v>2.7272727272727271E-3</v>
      </c>
      <c r="AL1073" s="489"/>
      <c r="AM1073" s="489"/>
      <c r="AN1073" s="489"/>
      <c r="AO1073" s="489"/>
      <c r="AP1073" s="489"/>
      <c r="AQ1073" s="489"/>
      <c r="AR1073" s="489"/>
      <c r="AS1073" s="489"/>
    </row>
    <row r="1074" spans="1:45" s="484" customFormat="1" ht="14.5">
      <c r="A1074" s="695" t="s">
        <v>1294</v>
      </c>
      <c r="B1074" s="647"/>
      <c r="C1074" s="644"/>
      <c r="D1074" s="644"/>
      <c r="E1074" s="493">
        <f t="shared" si="400"/>
        <v>297037.47507660772</v>
      </c>
      <c r="F1074" s="763">
        <f t="shared" si="401"/>
        <v>6.4999999999999997E-3</v>
      </c>
      <c r="G1074" s="493">
        <f t="shared" si="402"/>
        <v>722284.30663791357</v>
      </c>
      <c r="H1074" s="493">
        <f t="shared" si="403"/>
        <v>850493.66312261194</v>
      </c>
      <c r="I1074" s="493">
        <f t="shared" si="403"/>
        <v>850493.66312261194</v>
      </c>
      <c r="J1074" s="493">
        <f t="shared" si="403"/>
        <v>850493.66312261194</v>
      </c>
      <c r="K1074" s="493">
        <f t="shared" si="403"/>
        <v>850493.66312261194</v>
      </c>
      <c r="L1074" s="493">
        <f t="shared" si="403"/>
        <v>850493.66312261194</v>
      </c>
      <c r="M1074" s="493">
        <f t="shared" si="403"/>
        <v>850493.66312261194</v>
      </c>
      <c r="N1074" s="493">
        <f t="shared" si="392"/>
        <v>850493.66312261194</v>
      </c>
      <c r="O1074" s="493">
        <f t="shared" si="392"/>
        <v>850493.66312261194</v>
      </c>
      <c r="P1074" s="493">
        <f t="shared" si="392"/>
        <v>850493.66312261194</v>
      </c>
      <c r="Q1074" s="493">
        <f t="shared" si="403"/>
        <v>850493.66312261194</v>
      </c>
      <c r="R1074" s="493">
        <f t="shared" si="393"/>
        <v>850493.66312261194</v>
      </c>
      <c r="S1074" s="493">
        <f t="shared" si="394"/>
        <v>850493.66312261194</v>
      </c>
      <c r="T1074" s="794"/>
      <c r="V1074" s="641">
        <f t="shared" si="395"/>
        <v>10205923.957471341</v>
      </c>
      <c r="W1074" s="488"/>
      <c r="X1074" s="1016"/>
      <c r="Y1074" s="675">
        <f t="shared" si="396"/>
        <v>574636363.63636363</v>
      </c>
      <c r="Z1074" s="767">
        <f>0.3%/1.1</f>
        <v>2.7272727272727271E-3</v>
      </c>
      <c r="AA1074" s="675">
        <f t="shared" si="397"/>
        <v>0</v>
      </c>
      <c r="AB1074" s="767">
        <f>0.3%/1.1</f>
        <v>2.7272727272727271E-3</v>
      </c>
      <c r="AC1074" s="675">
        <f t="shared" si="398"/>
        <v>0</v>
      </c>
      <c r="AD1074" s="767">
        <f>0.3%/1.1</f>
        <v>2.7272727272727271E-3</v>
      </c>
      <c r="AE1074" s="675">
        <f t="shared" si="399"/>
        <v>0</v>
      </c>
      <c r="AF1074" s="767">
        <f>0.3%/1.1</f>
        <v>2.7272727272727271E-3</v>
      </c>
      <c r="AL1074" s="489"/>
      <c r="AM1074" s="489"/>
      <c r="AN1074" s="489"/>
      <c r="AO1074" s="489"/>
      <c r="AP1074" s="489"/>
      <c r="AQ1074" s="489"/>
      <c r="AR1074" s="489"/>
      <c r="AS1074" s="489"/>
    </row>
    <row r="1075" spans="1:45" s="484" customFormat="1" ht="14.5">
      <c r="A1075" s="695" t="s">
        <v>1295</v>
      </c>
      <c r="B1075" s="647"/>
      <c r="C1075" s="644"/>
      <c r="D1075" s="644"/>
      <c r="E1075" s="493">
        <f t="shared" si="400"/>
        <v>572.88489691845575</v>
      </c>
      <c r="F1075" s="763">
        <f t="shared" si="401"/>
        <v>6.4999999999999997E-3</v>
      </c>
      <c r="G1075" s="493">
        <f t="shared" si="402"/>
        <v>572.88489691845575</v>
      </c>
      <c r="H1075" s="493">
        <f t="shared" si="403"/>
        <v>0</v>
      </c>
      <c r="I1075" s="493">
        <f t="shared" si="403"/>
        <v>0</v>
      </c>
      <c r="J1075" s="493">
        <f t="shared" si="403"/>
        <v>0</v>
      </c>
      <c r="K1075" s="493">
        <f t="shared" si="403"/>
        <v>0</v>
      </c>
      <c r="L1075" s="493">
        <f t="shared" si="403"/>
        <v>0</v>
      </c>
      <c r="M1075" s="493">
        <f t="shared" si="403"/>
        <v>0</v>
      </c>
      <c r="N1075" s="493">
        <f t="shared" si="403"/>
        <v>0</v>
      </c>
      <c r="O1075" s="493">
        <f t="shared" si="403"/>
        <v>0</v>
      </c>
      <c r="P1075" s="493">
        <f t="shared" si="403"/>
        <v>0</v>
      </c>
      <c r="Q1075" s="493">
        <f t="shared" si="403"/>
        <v>0</v>
      </c>
      <c r="R1075" s="493">
        <f t="shared" si="393"/>
        <v>0</v>
      </c>
      <c r="S1075" s="493">
        <f t="shared" si="394"/>
        <v>0</v>
      </c>
      <c r="T1075" s="794"/>
      <c r="V1075" s="641">
        <f t="shared" si="395"/>
        <v>0</v>
      </c>
      <c r="W1075" s="488"/>
      <c r="X1075" s="1016"/>
      <c r="Y1075" s="675"/>
      <c r="Z1075" s="767"/>
      <c r="AA1075" s="675"/>
      <c r="AB1075" s="767"/>
      <c r="AC1075" s="675"/>
      <c r="AD1075" s="767"/>
      <c r="AE1075" s="675"/>
      <c r="AF1075" s="767"/>
      <c r="AL1075" s="489"/>
      <c r="AM1075" s="489"/>
      <c r="AN1075" s="489"/>
      <c r="AO1075" s="489"/>
      <c r="AP1075" s="489"/>
      <c r="AQ1075" s="489"/>
      <c r="AR1075" s="489"/>
      <c r="AS1075" s="489"/>
    </row>
    <row r="1076" spans="1:45" s="484" customFormat="1" ht="14.5">
      <c r="A1076" s="695" t="s">
        <v>1296</v>
      </c>
      <c r="B1076" s="647"/>
      <c r="C1076" s="644"/>
      <c r="D1076" s="644"/>
      <c r="E1076" s="493">
        <f t="shared" si="400"/>
        <v>1.4998769760131837E-4</v>
      </c>
      <c r="F1076" s="763">
        <f t="shared" si="401"/>
        <v>3.0000000000000001E-3</v>
      </c>
      <c r="G1076" s="493">
        <f t="shared" si="402"/>
        <v>7.9767513275146495E-4</v>
      </c>
      <c r="H1076" s="493">
        <f t="shared" si="403"/>
        <v>1.2953748703002929E-3</v>
      </c>
      <c r="I1076" s="493">
        <f t="shared" si="403"/>
        <v>1.2953748703002929E-3</v>
      </c>
      <c r="J1076" s="493">
        <f t="shared" si="403"/>
        <v>1.2953748703002929E-3</v>
      </c>
      <c r="K1076" s="493">
        <f t="shared" si="403"/>
        <v>1.2953748703002929E-3</v>
      </c>
      <c r="L1076" s="493">
        <f t="shared" si="403"/>
        <v>1.2953748703002929E-3</v>
      </c>
      <c r="M1076" s="493">
        <f t="shared" si="403"/>
        <v>1.2953748703002929E-3</v>
      </c>
      <c r="N1076" s="493">
        <f t="shared" si="403"/>
        <v>1.2953748703002929E-3</v>
      </c>
      <c r="O1076" s="493">
        <f t="shared" si="403"/>
        <v>1.2953748703002929E-3</v>
      </c>
      <c r="P1076" s="493">
        <f t="shared" si="403"/>
        <v>1.2953748703002929E-3</v>
      </c>
      <c r="Q1076" s="493">
        <f t="shared" si="403"/>
        <v>1.2953748703002929E-3</v>
      </c>
      <c r="R1076" s="493">
        <f t="shared" si="393"/>
        <v>1.2953748703002929E-3</v>
      </c>
      <c r="S1076" s="493">
        <f t="shared" si="394"/>
        <v>1.2953748703002929E-3</v>
      </c>
      <c r="T1076" s="794"/>
      <c r="V1076" s="641">
        <f t="shared" si="395"/>
        <v>1.5544498443603512E-2</v>
      </c>
      <c r="W1076" s="488"/>
      <c r="X1076" s="1016"/>
      <c r="Y1076" s="675"/>
      <c r="Z1076" s="767"/>
      <c r="AA1076" s="675"/>
      <c r="AB1076" s="767"/>
      <c r="AC1076" s="675"/>
      <c r="AD1076" s="767"/>
      <c r="AE1076" s="675"/>
      <c r="AF1076" s="767"/>
      <c r="AL1076" s="489"/>
      <c r="AM1076" s="489"/>
      <c r="AN1076" s="489"/>
      <c r="AO1076" s="489"/>
      <c r="AP1076" s="489"/>
      <c r="AQ1076" s="489"/>
      <c r="AR1076" s="489"/>
      <c r="AS1076" s="489"/>
    </row>
    <row r="1077" spans="1:45" s="484" customFormat="1" ht="14.5">
      <c r="A1077" s="695" t="s">
        <v>1297</v>
      </c>
      <c r="B1077" s="647"/>
      <c r="C1077" s="644"/>
      <c r="D1077" s="644"/>
      <c r="E1077" s="493">
        <f t="shared" si="400"/>
        <v>-8.5169474283854186E-8</v>
      </c>
      <c r="F1077" s="763">
        <f t="shared" si="401"/>
        <v>6.8000000000000005E-4</v>
      </c>
      <c r="G1077" s="493">
        <f t="shared" si="402"/>
        <v>-1.6212463378906251E-7</v>
      </c>
      <c r="H1077" s="493">
        <f t="shared" si="403"/>
        <v>-1.5391031901041668E-7</v>
      </c>
      <c r="I1077" s="493">
        <f t="shared" si="403"/>
        <v>-1.5391031901041668E-7</v>
      </c>
      <c r="J1077" s="493">
        <f t="shared" si="403"/>
        <v>-1.5391031901041668E-7</v>
      </c>
      <c r="K1077" s="493">
        <f t="shared" si="403"/>
        <v>-1.5391031901041668E-7</v>
      </c>
      <c r="L1077" s="493">
        <f t="shared" si="403"/>
        <v>-1.5391031901041668E-7</v>
      </c>
      <c r="M1077" s="493">
        <f t="shared" si="403"/>
        <v>-1.5391031901041668E-7</v>
      </c>
      <c r="N1077" s="493">
        <f t="shared" si="403"/>
        <v>-1.5391031901041668E-7</v>
      </c>
      <c r="O1077" s="493">
        <f t="shared" si="403"/>
        <v>-1.5391031901041668E-7</v>
      </c>
      <c r="P1077" s="493">
        <f t="shared" si="403"/>
        <v>-1.5391031901041668E-7</v>
      </c>
      <c r="Q1077" s="493">
        <f t="shared" si="403"/>
        <v>-1.5391031901041668E-7</v>
      </c>
      <c r="R1077" s="493">
        <f t="shared" si="393"/>
        <v>-1.5391031901041668E-7</v>
      </c>
      <c r="S1077" s="493">
        <f t="shared" si="394"/>
        <v>-1.5391031901041668E-7</v>
      </c>
      <c r="T1077" s="794"/>
      <c r="V1077" s="641">
        <f t="shared" si="395"/>
        <v>-1.8469238281249997E-6</v>
      </c>
      <c r="W1077" s="488"/>
      <c r="X1077" s="1016"/>
      <c r="Y1077" s="675"/>
      <c r="Z1077" s="767"/>
      <c r="AA1077" s="675"/>
      <c r="AB1077" s="767"/>
      <c r="AC1077" s="675"/>
      <c r="AD1077" s="767"/>
      <c r="AE1077" s="675"/>
      <c r="AF1077" s="767"/>
      <c r="AL1077" s="489"/>
      <c r="AM1077" s="489"/>
      <c r="AN1077" s="489"/>
      <c r="AO1077" s="489"/>
      <c r="AP1077" s="489"/>
      <c r="AQ1077" s="489"/>
      <c r="AR1077" s="489"/>
      <c r="AS1077" s="489"/>
    </row>
    <row r="1078" spans="1:45" s="484" customFormat="1" ht="14.5">
      <c r="A1078" s="695" t="s">
        <v>1298</v>
      </c>
      <c r="B1078" s="647"/>
      <c r="C1078" s="644"/>
      <c r="D1078" s="644"/>
      <c r="E1078" s="493">
        <f t="shared" si="400"/>
        <v>6798069.5053866664</v>
      </c>
      <c r="F1078" s="763">
        <f t="shared" si="401"/>
        <v>6.8000000000000005E-4</v>
      </c>
      <c r="G1078" s="493">
        <f t="shared" si="402"/>
        <v>13233732.5870761</v>
      </c>
      <c r="H1078" s="493">
        <f t="shared" si="403"/>
        <v>12871326.163378866</v>
      </c>
      <c r="I1078" s="493">
        <f t="shared" si="403"/>
        <v>12871326.163378866</v>
      </c>
      <c r="J1078" s="493">
        <f t="shared" si="403"/>
        <v>12871326.163378866</v>
      </c>
      <c r="K1078" s="493">
        <f t="shared" si="403"/>
        <v>12871326.163378866</v>
      </c>
      <c r="L1078" s="493">
        <f t="shared" si="403"/>
        <v>12871326.163378866</v>
      </c>
      <c r="M1078" s="493">
        <f t="shared" si="403"/>
        <v>12871326.163378866</v>
      </c>
      <c r="N1078" s="493">
        <f t="shared" si="403"/>
        <v>12871326.163378866</v>
      </c>
      <c r="O1078" s="493">
        <f t="shared" si="403"/>
        <v>12871326.163378866</v>
      </c>
      <c r="P1078" s="493">
        <f t="shared" si="403"/>
        <v>12871326.163378866</v>
      </c>
      <c r="Q1078" s="493">
        <f t="shared" si="403"/>
        <v>12871326.163378866</v>
      </c>
      <c r="R1078" s="493">
        <f t="shared" si="393"/>
        <v>12871326.163378866</v>
      </c>
      <c r="S1078" s="493">
        <f t="shared" si="394"/>
        <v>12871326.163378866</v>
      </c>
      <c r="T1078" s="794"/>
      <c r="V1078" s="641">
        <f t="shared" si="395"/>
        <v>154455913.9605464</v>
      </c>
      <c r="W1078" s="488"/>
      <c r="X1078" s="1016"/>
      <c r="Y1078" s="675"/>
      <c r="Z1078" s="767"/>
      <c r="AA1078" s="675"/>
      <c r="AB1078" s="767"/>
      <c r="AC1078" s="675"/>
      <c r="AD1078" s="767"/>
      <c r="AE1078" s="675"/>
      <c r="AF1078" s="767"/>
      <c r="AL1078" s="489"/>
      <c r="AM1078" s="489"/>
      <c r="AN1078" s="489"/>
      <c r="AO1078" s="489"/>
      <c r="AP1078" s="489"/>
      <c r="AQ1078" s="489"/>
      <c r="AR1078" s="489"/>
      <c r="AS1078" s="489"/>
    </row>
    <row r="1079" spans="1:45" s="484" customFormat="1" ht="14.5">
      <c r="A1079" s="695" t="s">
        <v>1299</v>
      </c>
      <c r="B1079" s="647"/>
      <c r="C1079" s="644"/>
      <c r="D1079" s="644"/>
      <c r="E1079" s="493">
        <f t="shared" si="400"/>
        <v>3.9949035644531251E-5</v>
      </c>
      <c r="F1079" s="763">
        <f t="shared" si="401"/>
        <v>2.7000000000000001E-3</v>
      </c>
      <c r="G1079" s="493">
        <f t="shared" si="402"/>
        <v>3.9949035644531251E-5</v>
      </c>
      <c r="H1079" s="493">
        <f t="shared" si="403"/>
        <v>0</v>
      </c>
      <c r="I1079" s="493">
        <f t="shared" si="403"/>
        <v>0</v>
      </c>
      <c r="J1079" s="493">
        <f t="shared" si="403"/>
        <v>0</v>
      </c>
      <c r="K1079" s="493">
        <f t="shared" si="403"/>
        <v>0</v>
      </c>
      <c r="L1079" s="493">
        <f t="shared" si="403"/>
        <v>0</v>
      </c>
      <c r="M1079" s="493">
        <f t="shared" si="403"/>
        <v>0</v>
      </c>
      <c r="N1079" s="493">
        <f t="shared" si="403"/>
        <v>0</v>
      </c>
      <c r="O1079" s="493">
        <f t="shared" si="403"/>
        <v>0</v>
      </c>
      <c r="P1079" s="493">
        <f t="shared" si="403"/>
        <v>0</v>
      </c>
      <c r="Q1079" s="493">
        <f t="shared" si="403"/>
        <v>0</v>
      </c>
      <c r="R1079" s="493">
        <f t="shared" si="393"/>
        <v>0</v>
      </c>
      <c r="S1079" s="493">
        <f t="shared" si="394"/>
        <v>0</v>
      </c>
      <c r="T1079" s="794"/>
      <c r="V1079" s="641">
        <f t="shared" si="395"/>
        <v>0</v>
      </c>
      <c r="W1079" s="488"/>
      <c r="X1079" s="1016"/>
      <c r="Y1079" s="675"/>
      <c r="Z1079" s="767"/>
      <c r="AA1079" s="675"/>
      <c r="AB1079" s="767"/>
      <c r="AC1079" s="675"/>
      <c r="AD1079" s="767"/>
      <c r="AE1079" s="675"/>
      <c r="AF1079" s="767"/>
      <c r="AL1079" s="489"/>
      <c r="AM1079" s="489"/>
      <c r="AN1079" s="489"/>
      <c r="AO1079" s="489"/>
      <c r="AP1079" s="489"/>
      <c r="AQ1079" s="489"/>
      <c r="AR1079" s="489"/>
      <c r="AS1079" s="489"/>
    </row>
    <row r="1080" spans="1:45" s="484" customFormat="1" ht="14.5">
      <c r="A1080" s="695" t="s">
        <v>1300</v>
      </c>
      <c r="B1080" s="647"/>
      <c r="C1080" s="644"/>
      <c r="D1080" s="644"/>
      <c r="E1080" s="493">
        <f t="shared" si="400"/>
        <v>3587490.2296999996</v>
      </c>
      <c r="F1080" s="763">
        <f t="shared" si="401"/>
        <v>8.1999999999999998E-4</v>
      </c>
      <c r="G1080" s="493">
        <f t="shared" si="402"/>
        <v>7191282.6041874997</v>
      </c>
      <c r="H1080" s="493">
        <f t="shared" si="403"/>
        <v>7207584.7489750003</v>
      </c>
      <c r="I1080" s="493">
        <f t="shared" si="403"/>
        <v>7207584.7489750003</v>
      </c>
      <c r="J1080" s="493">
        <f t="shared" si="403"/>
        <v>7207584.7489750003</v>
      </c>
      <c r="K1080" s="493">
        <f t="shared" si="403"/>
        <v>7207584.7489750003</v>
      </c>
      <c r="L1080" s="493">
        <f t="shared" si="403"/>
        <v>7207584.7489750003</v>
      </c>
      <c r="M1080" s="493">
        <f t="shared" si="403"/>
        <v>7207584.7489750003</v>
      </c>
      <c r="N1080" s="493">
        <f t="shared" si="403"/>
        <v>7207584.7489750003</v>
      </c>
      <c r="O1080" s="493">
        <f t="shared" si="403"/>
        <v>7207584.7489750003</v>
      </c>
      <c r="P1080" s="493">
        <f t="shared" si="403"/>
        <v>7207584.7489750003</v>
      </c>
      <c r="Q1080" s="493">
        <f t="shared" si="403"/>
        <v>7207584.7489750003</v>
      </c>
      <c r="R1080" s="493">
        <f t="shared" si="393"/>
        <v>7207584.7489750003</v>
      </c>
      <c r="S1080" s="493">
        <f t="shared" si="394"/>
        <v>7207584.7489750003</v>
      </c>
      <c r="T1080" s="794"/>
      <c r="V1080" s="641">
        <f t="shared" si="395"/>
        <v>86491016.987699986</v>
      </c>
      <c r="W1080" s="488"/>
      <c r="X1080" s="1016"/>
      <c r="Y1080" s="675"/>
      <c r="Z1080" s="767"/>
      <c r="AA1080" s="675"/>
      <c r="AB1080" s="767"/>
      <c r="AC1080" s="675"/>
      <c r="AD1080" s="767"/>
      <c r="AE1080" s="675"/>
      <c r="AF1080" s="767"/>
      <c r="AL1080" s="489"/>
      <c r="AM1080" s="489"/>
      <c r="AN1080" s="489"/>
      <c r="AO1080" s="489"/>
      <c r="AP1080" s="489"/>
      <c r="AQ1080" s="489"/>
      <c r="AR1080" s="489"/>
      <c r="AS1080" s="489"/>
    </row>
    <row r="1081" spans="1:45" s="484" customFormat="1" ht="14.5">
      <c r="A1081" s="695" t="s">
        <v>1301</v>
      </c>
      <c r="B1081" s="647"/>
      <c r="C1081" s="644"/>
      <c r="D1081" s="644"/>
      <c r="E1081" s="493">
        <f t="shared" si="400"/>
        <v>0</v>
      </c>
      <c r="F1081" s="763">
        <f t="shared" si="401"/>
        <v>6.9300000000000004E-3</v>
      </c>
      <c r="G1081" s="493">
        <f t="shared" si="402"/>
        <v>0</v>
      </c>
      <c r="H1081" s="493">
        <f t="shared" si="403"/>
        <v>0</v>
      </c>
      <c r="I1081" s="493">
        <f t="shared" si="403"/>
        <v>0</v>
      </c>
      <c r="J1081" s="493">
        <f t="shared" si="403"/>
        <v>0</v>
      </c>
      <c r="K1081" s="493">
        <f t="shared" si="403"/>
        <v>0</v>
      </c>
      <c r="L1081" s="493">
        <f t="shared" si="403"/>
        <v>0</v>
      </c>
      <c r="M1081" s="493">
        <f t="shared" si="403"/>
        <v>0</v>
      </c>
      <c r="N1081" s="493">
        <f t="shared" si="403"/>
        <v>0</v>
      </c>
      <c r="O1081" s="493">
        <f t="shared" si="403"/>
        <v>0</v>
      </c>
      <c r="P1081" s="493">
        <f t="shared" si="403"/>
        <v>0</v>
      </c>
      <c r="Q1081" s="493">
        <f t="shared" si="403"/>
        <v>0</v>
      </c>
      <c r="R1081" s="493">
        <f t="shared" si="393"/>
        <v>0</v>
      </c>
      <c r="S1081" s="493">
        <f t="shared" si="394"/>
        <v>0</v>
      </c>
      <c r="T1081" s="794"/>
      <c r="V1081" s="641">
        <f t="shared" si="395"/>
        <v>0</v>
      </c>
      <c r="W1081" s="488"/>
      <c r="X1081" s="1016"/>
      <c r="Y1081" s="675"/>
      <c r="Z1081" s="767"/>
      <c r="AA1081" s="675"/>
      <c r="AB1081" s="767"/>
      <c r="AC1081" s="675"/>
      <c r="AD1081" s="767"/>
      <c r="AE1081" s="675"/>
      <c r="AF1081" s="767"/>
      <c r="AL1081" s="489"/>
      <c r="AM1081" s="489"/>
      <c r="AN1081" s="489"/>
      <c r="AO1081" s="489"/>
      <c r="AP1081" s="489"/>
      <c r="AQ1081" s="489"/>
      <c r="AR1081" s="489"/>
      <c r="AS1081" s="489"/>
    </row>
    <row r="1082" spans="1:45" s="484" customFormat="1" ht="14.5">
      <c r="A1082" s="695" t="s">
        <v>1302</v>
      </c>
      <c r="B1082" s="647"/>
      <c r="C1082" s="644"/>
      <c r="D1082" s="644"/>
      <c r="E1082" s="493">
        <f t="shared" si="400"/>
        <v>0</v>
      </c>
      <c r="F1082" s="763">
        <f t="shared" si="401"/>
        <v>1.5E-3</v>
      </c>
      <c r="G1082" s="493">
        <f t="shared" si="402"/>
        <v>0</v>
      </c>
      <c r="H1082" s="493">
        <f t="shared" si="403"/>
        <v>0</v>
      </c>
      <c r="I1082" s="493">
        <f t="shared" si="403"/>
        <v>0</v>
      </c>
      <c r="J1082" s="493">
        <f t="shared" si="403"/>
        <v>0</v>
      </c>
      <c r="K1082" s="493">
        <f t="shared" si="403"/>
        <v>0</v>
      </c>
      <c r="L1082" s="493">
        <f t="shared" si="403"/>
        <v>0</v>
      </c>
      <c r="M1082" s="493">
        <f t="shared" si="403"/>
        <v>0</v>
      </c>
      <c r="N1082" s="493">
        <f t="shared" si="403"/>
        <v>0</v>
      </c>
      <c r="O1082" s="493">
        <f t="shared" si="403"/>
        <v>0</v>
      </c>
      <c r="P1082" s="493">
        <f t="shared" si="403"/>
        <v>0</v>
      </c>
      <c r="Q1082" s="493">
        <f t="shared" si="403"/>
        <v>0</v>
      </c>
      <c r="R1082" s="493">
        <f t="shared" si="393"/>
        <v>0</v>
      </c>
      <c r="S1082" s="493">
        <f t="shared" si="394"/>
        <v>0</v>
      </c>
      <c r="T1082" s="794"/>
      <c r="V1082" s="641">
        <f t="shared" si="395"/>
        <v>0</v>
      </c>
      <c r="W1082" s="488"/>
      <c r="X1082" s="1016"/>
      <c r="Y1082" s="675"/>
      <c r="Z1082" s="767"/>
      <c r="AA1082" s="675"/>
      <c r="AB1082" s="767"/>
      <c r="AC1082" s="675"/>
      <c r="AD1082" s="767"/>
      <c r="AE1082" s="675"/>
      <c r="AF1082" s="767"/>
      <c r="AL1082" s="489"/>
      <c r="AM1082" s="489"/>
      <c r="AN1082" s="489"/>
      <c r="AO1082" s="489"/>
      <c r="AP1082" s="489"/>
      <c r="AQ1082" s="489"/>
      <c r="AR1082" s="489"/>
      <c r="AS1082" s="489"/>
    </row>
    <row r="1083" spans="1:45" s="484" customFormat="1" ht="14.5">
      <c r="A1083" s="695" t="s">
        <v>1303</v>
      </c>
      <c r="B1083" s="647"/>
      <c r="C1083" s="644"/>
      <c r="D1083" s="644"/>
      <c r="E1083" s="493">
        <f t="shared" si="400"/>
        <v>0</v>
      </c>
      <c r="F1083" s="763">
        <f t="shared" si="401"/>
        <v>1.5E-3</v>
      </c>
      <c r="G1083" s="493">
        <f t="shared" si="402"/>
        <v>0</v>
      </c>
      <c r="H1083" s="493">
        <f t="shared" si="403"/>
        <v>0</v>
      </c>
      <c r="I1083" s="493">
        <f t="shared" si="403"/>
        <v>0</v>
      </c>
      <c r="J1083" s="493">
        <f t="shared" si="403"/>
        <v>0</v>
      </c>
      <c r="K1083" s="493">
        <f t="shared" si="403"/>
        <v>0</v>
      </c>
      <c r="L1083" s="493">
        <f t="shared" si="403"/>
        <v>0</v>
      </c>
      <c r="M1083" s="493">
        <f t="shared" si="403"/>
        <v>0</v>
      </c>
      <c r="N1083" s="493">
        <f t="shared" si="403"/>
        <v>0</v>
      </c>
      <c r="O1083" s="493">
        <f t="shared" si="403"/>
        <v>0</v>
      </c>
      <c r="P1083" s="493">
        <f t="shared" si="403"/>
        <v>0</v>
      </c>
      <c r="Q1083" s="493">
        <f t="shared" si="403"/>
        <v>0</v>
      </c>
      <c r="R1083" s="493">
        <f t="shared" si="393"/>
        <v>0</v>
      </c>
      <c r="S1083" s="493">
        <f t="shared" si="394"/>
        <v>0</v>
      </c>
      <c r="T1083" s="794"/>
      <c r="V1083" s="641">
        <f t="shared" si="395"/>
        <v>0</v>
      </c>
      <c r="W1083" s="488"/>
      <c r="X1083" s="1016"/>
      <c r="Y1083" s="675"/>
      <c r="Z1083" s="767"/>
      <c r="AA1083" s="675"/>
      <c r="AB1083" s="767"/>
      <c r="AC1083" s="675"/>
      <c r="AD1083" s="767"/>
      <c r="AE1083" s="675"/>
      <c r="AF1083" s="767"/>
      <c r="AL1083" s="489"/>
      <c r="AM1083" s="489"/>
      <c r="AN1083" s="489"/>
      <c r="AO1083" s="489"/>
      <c r="AP1083" s="489"/>
      <c r="AQ1083" s="489"/>
      <c r="AR1083" s="489"/>
      <c r="AS1083" s="489"/>
    </row>
    <row r="1084" spans="1:45" s="484" customFormat="1" ht="14.5">
      <c r="A1084" s="695" t="s">
        <v>1304</v>
      </c>
      <c r="B1084" s="647"/>
      <c r="C1084" s="644"/>
      <c r="D1084" s="644"/>
      <c r="E1084" s="493">
        <f t="shared" si="400"/>
        <v>1.1478124999999999</v>
      </c>
      <c r="F1084" s="763">
        <f t="shared" si="401"/>
        <v>1.5E-3</v>
      </c>
      <c r="G1084" s="493">
        <f t="shared" si="402"/>
        <v>1.1478124999999999</v>
      </c>
      <c r="H1084" s="493">
        <f t="shared" si="403"/>
        <v>0</v>
      </c>
      <c r="I1084" s="493">
        <f t="shared" si="403"/>
        <v>0</v>
      </c>
      <c r="J1084" s="493">
        <f t="shared" si="403"/>
        <v>0</v>
      </c>
      <c r="K1084" s="493">
        <f t="shared" si="403"/>
        <v>0</v>
      </c>
      <c r="L1084" s="493">
        <f t="shared" si="403"/>
        <v>0</v>
      </c>
      <c r="M1084" s="493">
        <f t="shared" si="403"/>
        <v>0</v>
      </c>
      <c r="N1084" s="493">
        <f t="shared" si="403"/>
        <v>0</v>
      </c>
      <c r="O1084" s="493">
        <f t="shared" si="403"/>
        <v>0</v>
      </c>
      <c r="P1084" s="493">
        <f t="shared" si="403"/>
        <v>0</v>
      </c>
      <c r="Q1084" s="493">
        <f t="shared" si="403"/>
        <v>0</v>
      </c>
      <c r="R1084" s="493">
        <f t="shared" si="393"/>
        <v>0</v>
      </c>
      <c r="S1084" s="493">
        <f t="shared" si="394"/>
        <v>0</v>
      </c>
      <c r="T1084" s="794"/>
      <c r="V1084" s="641">
        <f t="shared" si="395"/>
        <v>0</v>
      </c>
      <c r="W1084" s="488"/>
      <c r="X1084" s="1016"/>
      <c r="Y1084" s="675"/>
      <c r="Z1084" s="767"/>
      <c r="AA1084" s="675"/>
      <c r="AB1084" s="767"/>
      <c r="AC1084" s="675"/>
      <c r="AD1084" s="767"/>
      <c r="AE1084" s="675"/>
      <c r="AF1084" s="767"/>
      <c r="AL1084" s="489"/>
      <c r="AM1084" s="489"/>
      <c r="AN1084" s="489"/>
      <c r="AO1084" s="489"/>
      <c r="AP1084" s="489"/>
      <c r="AQ1084" s="489"/>
      <c r="AR1084" s="489"/>
      <c r="AS1084" s="489"/>
    </row>
    <row r="1085" spans="1:45" s="484" customFormat="1" ht="14.5">
      <c r="A1085" s="695" t="s">
        <v>1305</v>
      </c>
      <c r="B1085" s="647"/>
      <c r="C1085" s="644"/>
      <c r="D1085" s="644"/>
      <c r="E1085" s="493">
        <f t="shared" si="400"/>
        <v>0</v>
      </c>
      <c r="F1085" s="763">
        <f t="shared" si="401"/>
        <v>1.75E-3</v>
      </c>
      <c r="G1085" s="493">
        <f t="shared" si="402"/>
        <v>0.68906250000000002</v>
      </c>
      <c r="H1085" s="493">
        <f t="shared" si="403"/>
        <v>1.378125</v>
      </c>
      <c r="I1085" s="493">
        <f t="shared" si="403"/>
        <v>1.378125</v>
      </c>
      <c r="J1085" s="493">
        <f t="shared" si="403"/>
        <v>1.378125</v>
      </c>
      <c r="K1085" s="493">
        <f t="shared" si="403"/>
        <v>1.378125</v>
      </c>
      <c r="L1085" s="493">
        <f t="shared" si="403"/>
        <v>1.378125</v>
      </c>
      <c r="M1085" s="493">
        <f t="shared" si="403"/>
        <v>1.378125</v>
      </c>
      <c r="N1085" s="493">
        <f t="shared" si="403"/>
        <v>1.378125</v>
      </c>
      <c r="O1085" s="493">
        <f t="shared" si="403"/>
        <v>1.378125</v>
      </c>
      <c r="P1085" s="493">
        <f t="shared" si="403"/>
        <v>1.378125</v>
      </c>
      <c r="Q1085" s="493">
        <f t="shared" si="403"/>
        <v>1.378125</v>
      </c>
      <c r="R1085" s="493">
        <f t="shared" si="393"/>
        <v>1.378125</v>
      </c>
      <c r="S1085" s="493">
        <f t="shared" si="394"/>
        <v>1.378125</v>
      </c>
      <c r="T1085" s="794"/>
      <c r="V1085" s="641">
        <f t="shared" si="395"/>
        <v>16.537500000000005</v>
      </c>
      <c r="W1085" s="488"/>
      <c r="X1085" s="1016"/>
      <c r="Y1085" s="675"/>
      <c r="Z1085" s="767"/>
      <c r="AA1085" s="675"/>
      <c r="AB1085" s="767"/>
      <c r="AC1085" s="675"/>
      <c r="AD1085" s="767"/>
      <c r="AE1085" s="675"/>
      <c r="AF1085" s="767"/>
      <c r="AL1085" s="489"/>
      <c r="AM1085" s="489"/>
      <c r="AN1085" s="489"/>
      <c r="AO1085" s="489"/>
      <c r="AP1085" s="489"/>
      <c r="AQ1085" s="489"/>
      <c r="AR1085" s="489"/>
      <c r="AS1085" s="489"/>
    </row>
    <row r="1086" spans="1:45" s="484" customFormat="1" ht="14.5">
      <c r="A1086" s="695" t="s">
        <v>1306</v>
      </c>
      <c r="B1086" s="647"/>
      <c r="C1086" s="644"/>
      <c r="D1086" s="644"/>
      <c r="E1086" s="493">
        <f t="shared" si="400"/>
        <v>0</v>
      </c>
      <c r="F1086" s="763">
        <f t="shared" si="401"/>
        <v>6.8999999999999999E-3</v>
      </c>
      <c r="G1086" s="493">
        <f t="shared" si="402"/>
        <v>0</v>
      </c>
      <c r="H1086" s="493">
        <f t="shared" si="403"/>
        <v>0</v>
      </c>
      <c r="I1086" s="493">
        <f t="shared" si="403"/>
        <v>0</v>
      </c>
      <c r="J1086" s="493">
        <f t="shared" si="403"/>
        <v>0</v>
      </c>
      <c r="K1086" s="493">
        <f t="shared" si="403"/>
        <v>0</v>
      </c>
      <c r="L1086" s="493">
        <f t="shared" si="403"/>
        <v>0</v>
      </c>
      <c r="M1086" s="493">
        <f t="shared" si="403"/>
        <v>0</v>
      </c>
      <c r="N1086" s="493">
        <f t="shared" si="403"/>
        <v>0</v>
      </c>
      <c r="O1086" s="493">
        <f t="shared" si="403"/>
        <v>0</v>
      </c>
      <c r="P1086" s="493">
        <f t="shared" si="403"/>
        <v>0</v>
      </c>
      <c r="Q1086" s="493">
        <f t="shared" si="403"/>
        <v>0</v>
      </c>
      <c r="R1086" s="493">
        <f t="shared" si="393"/>
        <v>0</v>
      </c>
      <c r="S1086" s="493">
        <f t="shared" si="394"/>
        <v>0</v>
      </c>
      <c r="T1086" s="794"/>
      <c r="V1086" s="641">
        <f t="shared" si="395"/>
        <v>0</v>
      </c>
      <c r="W1086" s="488"/>
      <c r="X1086" s="1016"/>
      <c r="Y1086" s="675"/>
      <c r="Z1086" s="767"/>
      <c r="AA1086" s="675"/>
      <c r="AB1086" s="767"/>
      <c r="AC1086" s="675"/>
      <c r="AD1086" s="767"/>
      <c r="AE1086" s="675"/>
      <c r="AF1086" s="767"/>
      <c r="AL1086" s="489"/>
      <c r="AM1086" s="489"/>
      <c r="AN1086" s="489"/>
      <c r="AO1086" s="489"/>
      <c r="AP1086" s="489"/>
      <c r="AQ1086" s="489"/>
      <c r="AR1086" s="489"/>
      <c r="AS1086" s="489"/>
    </row>
    <row r="1087" spans="1:45" s="484" customFormat="1" ht="14.5">
      <c r="A1087" s="695" t="s">
        <v>1307</v>
      </c>
      <c r="B1087" s="647"/>
      <c r="C1087" s="644"/>
      <c r="D1087" s="644"/>
      <c r="E1087" s="493">
        <f t="shared" si="400"/>
        <v>0</v>
      </c>
      <c r="F1087" s="763">
        <f t="shared" si="401"/>
        <v>1.4999999999999999E-2</v>
      </c>
      <c r="G1087" s="493">
        <f t="shared" si="402"/>
        <v>0</v>
      </c>
      <c r="H1087" s="493">
        <f t="shared" ref="H1087:Q1089" si="404">(G643+H643)/2*$F1087/12</f>
        <v>0</v>
      </c>
      <c r="I1087" s="493">
        <f t="shared" si="404"/>
        <v>0</v>
      </c>
      <c r="J1087" s="493">
        <f t="shared" si="404"/>
        <v>0</v>
      </c>
      <c r="K1087" s="493">
        <f t="shared" si="404"/>
        <v>0</v>
      </c>
      <c r="L1087" s="493">
        <f t="shared" si="404"/>
        <v>0</v>
      </c>
      <c r="M1087" s="493">
        <f t="shared" si="404"/>
        <v>0</v>
      </c>
      <c r="N1087" s="493">
        <f t="shared" si="404"/>
        <v>0</v>
      </c>
      <c r="O1087" s="493">
        <f t="shared" si="404"/>
        <v>0</v>
      </c>
      <c r="P1087" s="493">
        <f t="shared" si="404"/>
        <v>0</v>
      </c>
      <c r="Q1087" s="493">
        <f t="shared" si="404"/>
        <v>0</v>
      </c>
      <c r="R1087" s="493">
        <f t="shared" si="393"/>
        <v>0</v>
      </c>
      <c r="S1087" s="493">
        <f t="shared" si="394"/>
        <v>0</v>
      </c>
      <c r="T1087" s="794"/>
      <c r="V1087" s="641">
        <f t="shared" si="395"/>
        <v>0</v>
      </c>
      <c r="W1087" s="488"/>
      <c r="X1087" s="1016"/>
      <c r="Y1087" s="675"/>
      <c r="Z1087" s="767"/>
      <c r="AA1087" s="675"/>
      <c r="AB1087" s="767"/>
      <c r="AC1087" s="675"/>
      <c r="AD1087" s="767"/>
      <c r="AE1087" s="675"/>
      <c r="AF1087" s="767"/>
      <c r="AL1087" s="489"/>
      <c r="AM1087" s="489"/>
      <c r="AN1087" s="489"/>
      <c r="AO1087" s="489"/>
      <c r="AP1087" s="489"/>
      <c r="AQ1087" s="489"/>
      <c r="AR1087" s="489"/>
      <c r="AS1087" s="489"/>
    </row>
    <row r="1088" spans="1:45" s="484" customFormat="1" ht="14.5">
      <c r="A1088" s="695" t="s">
        <v>1308</v>
      </c>
      <c r="B1088" s="647"/>
      <c r="C1088" s="644"/>
      <c r="D1088" s="644"/>
      <c r="E1088" s="493">
        <f t="shared" si="400"/>
        <v>0</v>
      </c>
      <c r="F1088" s="763">
        <f t="shared" si="401"/>
        <v>1.5E-3</v>
      </c>
      <c r="G1088" s="493">
        <f t="shared" si="402"/>
        <v>0</v>
      </c>
      <c r="H1088" s="493">
        <f t="shared" si="404"/>
        <v>0</v>
      </c>
      <c r="I1088" s="493">
        <f t="shared" si="404"/>
        <v>0</v>
      </c>
      <c r="J1088" s="493">
        <f t="shared" si="404"/>
        <v>0</v>
      </c>
      <c r="K1088" s="493">
        <f t="shared" si="404"/>
        <v>0</v>
      </c>
      <c r="L1088" s="493">
        <f t="shared" si="404"/>
        <v>0</v>
      </c>
      <c r="M1088" s="493">
        <f t="shared" si="404"/>
        <v>0</v>
      </c>
      <c r="N1088" s="493">
        <f t="shared" si="404"/>
        <v>0</v>
      </c>
      <c r="O1088" s="493">
        <f t="shared" si="404"/>
        <v>0</v>
      </c>
      <c r="P1088" s="493">
        <f t="shared" si="404"/>
        <v>0</v>
      </c>
      <c r="Q1088" s="493">
        <f t="shared" si="404"/>
        <v>0</v>
      </c>
      <c r="R1088" s="493">
        <f t="shared" si="393"/>
        <v>0</v>
      </c>
      <c r="S1088" s="493">
        <f t="shared" si="394"/>
        <v>0</v>
      </c>
      <c r="T1088" s="794"/>
      <c r="V1088" s="641">
        <f t="shared" si="395"/>
        <v>0</v>
      </c>
      <c r="W1088" s="488"/>
      <c r="X1088" s="1016"/>
      <c r="Y1088" s="675"/>
      <c r="Z1088" s="767"/>
      <c r="AA1088" s="675"/>
      <c r="AB1088" s="767"/>
      <c r="AC1088" s="675"/>
      <c r="AD1088" s="767"/>
      <c r="AE1088" s="675"/>
      <c r="AF1088" s="767"/>
      <c r="AL1088" s="489"/>
      <c r="AM1088" s="489"/>
      <c r="AN1088" s="489"/>
      <c r="AO1088" s="489"/>
      <c r="AP1088" s="489"/>
      <c r="AQ1088" s="489"/>
      <c r="AR1088" s="489"/>
      <c r="AS1088" s="489"/>
    </row>
    <row r="1089" spans="1:45" s="484" customFormat="1" ht="14.5">
      <c r="A1089" s="695" t="s">
        <v>1309</v>
      </c>
      <c r="B1089" s="647"/>
      <c r="C1089" s="644"/>
      <c r="D1089" s="644"/>
      <c r="E1089" s="493">
        <f t="shared" si="400"/>
        <v>0</v>
      </c>
      <c r="F1089" s="763">
        <f t="shared" si="401"/>
        <v>8.1799999999999998E-3</v>
      </c>
      <c r="G1089" s="493">
        <f t="shared" si="402"/>
        <v>0</v>
      </c>
      <c r="H1089" s="493">
        <f t="shared" si="404"/>
        <v>0</v>
      </c>
      <c r="I1089" s="493">
        <f t="shared" si="404"/>
        <v>0</v>
      </c>
      <c r="J1089" s="493">
        <f t="shared" si="404"/>
        <v>0</v>
      </c>
      <c r="K1089" s="493">
        <f t="shared" si="404"/>
        <v>0</v>
      </c>
      <c r="L1089" s="493">
        <f t="shared" si="404"/>
        <v>0</v>
      </c>
      <c r="M1089" s="493">
        <f t="shared" si="404"/>
        <v>0</v>
      </c>
      <c r="N1089" s="493">
        <f t="shared" si="404"/>
        <v>0</v>
      </c>
      <c r="O1089" s="493">
        <f t="shared" si="404"/>
        <v>0</v>
      </c>
      <c r="P1089" s="493">
        <f t="shared" si="404"/>
        <v>0</v>
      </c>
      <c r="Q1089" s="493">
        <f t="shared" si="404"/>
        <v>0</v>
      </c>
      <c r="R1089" s="493">
        <f t="shared" si="393"/>
        <v>0</v>
      </c>
      <c r="S1089" s="493">
        <f t="shared" si="394"/>
        <v>0</v>
      </c>
      <c r="T1089" s="794"/>
      <c r="V1089" s="641">
        <f t="shared" si="395"/>
        <v>0</v>
      </c>
      <c r="W1089" s="488"/>
      <c r="X1089" s="1016"/>
      <c r="Y1089" s="675"/>
      <c r="Z1089" s="767"/>
      <c r="AA1089" s="675"/>
      <c r="AB1089" s="767"/>
      <c r="AC1089" s="675"/>
      <c r="AD1089" s="767"/>
      <c r="AE1089" s="675"/>
      <c r="AF1089" s="767"/>
      <c r="AL1089" s="489"/>
      <c r="AM1089" s="489"/>
      <c r="AN1089" s="489"/>
      <c r="AO1089" s="489"/>
      <c r="AP1089" s="489"/>
      <c r="AQ1089" s="489"/>
      <c r="AR1089" s="489"/>
      <c r="AS1089" s="489"/>
    </row>
    <row r="1090" spans="1:45" s="484" customFormat="1" ht="14.5">
      <c r="A1090" s="695"/>
      <c r="B1090" s="647"/>
      <c r="C1090" s="644"/>
      <c r="D1090" s="644"/>
      <c r="E1090" s="644"/>
      <c r="F1090" s="768"/>
      <c r="G1090" s="493"/>
      <c r="H1090" s="493"/>
      <c r="I1090" s="493"/>
      <c r="J1090" s="493"/>
      <c r="K1090" s="493"/>
      <c r="L1090" s="493"/>
      <c r="M1090" s="493"/>
      <c r="N1090" s="493"/>
      <c r="O1090" s="493"/>
      <c r="P1090" s="493"/>
      <c r="Q1090" s="493"/>
      <c r="R1090" s="493"/>
      <c r="S1090" s="493"/>
      <c r="T1090" s="794"/>
      <c r="V1090" s="641">
        <f t="shared" si="395"/>
        <v>0</v>
      </c>
      <c r="W1090" s="488"/>
      <c r="X1090" s="1016"/>
      <c r="Y1090" s="675"/>
      <c r="Z1090" s="767"/>
      <c r="AA1090" s="675"/>
      <c r="AB1090" s="767"/>
      <c r="AC1090" s="675"/>
      <c r="AD1090" s="767"/>
      <c r="AE1090" s="675"/>
      <c r="AF1090" s="767"/>
      <c r="AL1090" s="489"/>
      <c r="AM1090" s="489"/>
      <c r="AN1090" s="489"/>
      <c r="AO1090" s="489"/>
      <c r="AP1090" s="489"/>
      <c r="AQ1090" s="489"/>
      <c r="AR1090" s="489"/>
      <c r="AS1090" s="489"/>
    </row>
    <row r="1091" spans="1:45" s="484" customFormat="1">
      <c r="A1091" s="490" t="s">
        <v>1352</v>
      </c>
      <c r="B1091" s="653"/>
      <c r="C1091" s="654"/>
      <c r="D1091" s="654">
        <f>SUM(D1055:D1070)</f>
        <v>0</v>
      </c>
      <c r="E1091" s="654">
        <f>SUM(E1055:E1090)</f>
        <v>114627466.5207952</v>
      </c>
      <c r="F1091" s="707"/>
      <c r="G1091" s="654">
        <f>SUM(G1055:G1090)</f>
        <v>218370230.45782581</v>
      </c>
      <c r="H1091" s="654">
        <f t="shared" ref="H1091:Q1091" si="405">SUM(H1055:H1090)</f>
        <v>207485527.87406132</v>
      </c>
      <c r="I1091" s="654">
        <f t="shared" si="405"/>
        <v>207485527.87406132</v>
      </c>
      <c r="J1091" s="654">
        <f t="shared" si="405"/>
        <v>207485527.87406132</v>
      </c>
      <c r="K1091" s="654">
        <f t="shared" si="405"/>
        <v>207485527.87406132</v>
      </c>
      <c r="L1091" s="654">
        <f t="shared" si="405"/>
        <v>207485527.87406132</v>
      </c>
      <c r="M1091" s="654">
        <f t="shared" si="405"/>
        <v>207485527.87406132</v>
      </c>
      <c r="N1091" s="654">
        <f t="shared" si="405"/>
        <v>207485527.87406132</v>
      </c>
      <c r="O1091" s="654">
        <f t="shared" si="405"/>
        <v>207485527.87406132</v>
      </c>
      <c r="P1091" s="654">
        <f t="shared" si="405"/>
        <v>207485527.87406132</v>
      </c>
      <c r="Q1091" s="654">
        <f t="shared" si="405"/>
        <v>207485527.87406132</v>
      </c>
      <c r="R1091" s="654">
        <f>SUM(R1055:R1090)</f>
        <v>207485527.87406132</v>
      </c>
      <c r="S1091" s="654">
        <f>SUM(S1055:S1090)</f>
        <v>207485527.87406132</v>
      </c>
      <c r="T1091" s="816"/>
      <c r="V1091" s="654">
        <f t="shared" ref="V1091" si="406">SUM(V1055:V1090)</f>
        <v>2489826334.4887347</v>
      </c>
      <c r="W1091" s="708"/>
      <c r="X1091" s="1017"/>
      <c r="Y1091" s="718">
        <f>SUM(Y1055:Y1072)</f>
        <v>4029858696.4413819</v>
      </c>
      <c r="Z1091" s="708">
        <f>Y1091/V1091-1</f>
        <v>0.61853003184211253</v>
      </c>
      <c r="AA1091" s="718">
        <f>SUM(AA1055:AA1070)</f>
        <v>441959859.78183317</v>
      </c>
      <c r="AB1091" s="708">
        <f>+AA1091/Y1091-1</f>
        <v>-0.8903286956011357</v>
      </c>
      <c r="AC1091" s="718">
        <f>SUM(AC1055:AC1070)</f>
        <v>644524795.51517344</v>
      </c>
      <c r="AD1091" s="708">
        <f>+AC1091/AA1091-1</f>
        <v>0.45833333333333348</v>
      </c>
      <c r="AE1091" s="718">
        <f>SUM(AE1055:AE1070)</f>
        <v>870108473.94548404</v>
      </c>
      <c r="AF1091" s="708">
        <f>+AE1091/AC1091-1</f>
        <v>0.34999999999999987</v>
      </c>
      <c r="AL1091" s="489"/>
      <c r="AM1091" s="489"/>
      <c r="AN1091" s="489"/>
      <c r="AO1091" s="489"/>
      <c r="AP1091" s="489"/>
      <c r="AQ1091" s="489"/>
      <c r="AR1091" s="489"/>
      <c r="AS1091" s="489"/>
    </row>
    <row r="1092" spans="1:45" s="484" customFormat="1">
      <c r="A1092" s="779" t="s">
        <v>1353</v>
      </c>
      <c r="B1092" s="657">
        <v>8530500</v>
      </c>
      <c r="C1092" s="780">
        <v>940</v>
      </c>
      <c r="D1092" s="603">
        <v>1350</v>
      </c>
      <c r="E1092" s="486">
        <f>B1092*D1092</f>
        <v>11516175000</v>
      </c>
      <c r="F1092" s="688">
        <v>1700</v>
      </c>
      <c r="G1092" s="496">
        <v>30</v>
      </c>
      <c r="H1092" s="486">
        <f>D1092+G1092</f>
        <v>1380</v>
      </c>
      <c r="I1092" s="486">
        <f>+H1092+$G$1092</f>
        <v>1410</v>
      </c>
      <c r="J1092" s="486">
        <f>+I1092+$G$1092</f>
        <v>1440</v>
      </c>
      <c r="K1092" s="486">
        <f t="shared" ref="K1092:Q1092" si="407">+J1092+$G$1092</f>
        <v>1470</v>
      </c>
      <c r="L1092" s="486">
        <f t="shared" si="407"/>
        <v>1500</v>
      </c>
      <c r="M1092" s="486">
        <f t="shared" si="407"/>
        <v>1530</v>
      </c>
      <c r="N1092" s="486">
        <f>+M1092+$G$1092</f>
        <v>1560</v>
      </c>
      <c r="O1092" s="486">
        <f>+N1092+$G$1092</f>
        <v>1590</v>
      </c>
      <c r="P1092" s="486">
        <f>+O1092+$G$1092</f>
        <v>1620</v>
      </c>
      <c r="Q1092" s="486">
        <f t="shared" si="407"/>
        <v>1650</v>
      </c>
      <c r="R1092" s="486">
        <f>+Q1092+$G$1092</f>
        <v>1680</v>
      </c>
      <c r="S1092" s="486">
        <f>F1092</f>
        <v>1700</v>
      </c>
      <c r="T1092" s="786"/>
      <c r="W1092" s="488"/>
      <c r="X1092" s="1003"/>
      <c r="Y1092" s="600"/>
    </row>
    <row r="1093" spans="1:45" s="484" customFormat="1">
      <c r="A1093" s="779" t="s">
        <v>1354</v>
      </c>
      <c r="B1093" s="484">
        <v>81</v>
      </c>
      <c r="C1093" s="781">
        <v>51</v>
      </c>
      <c r="D1093" s="600">
        <f>C1093</f>
        <v>51</v>
      </c>
      <c r="E1093" s="486">
        <f t="shared" ref="E1093:E1098" si="408">B1093*C1093</f>
        <v>4131</v>
      </c>
      <c r="F1093" s="688"/>
      <c r="G1093" s="600">
        <f>D1093</f>
        <v>51</v>
      </c>
      <c r="H1093" s="600">
        <f>G1093</f>
        <v>51</v>
      </c>
      <c r="I1093" s="600">
        <f t="shared" ref="I1093:Q1094" si="409">H1093</f>
        <v>51</v>
      </c>
      <c r="J1093" s="600">
        <f>I1093</f>
        <v>51</v>
      </c>
      <c r="K1093" s="600">
        <f t="shared" si="409"/>
        <v>51</v>
      </c>
      <c r="L1093" s="600">
        <f t="shared" si="409"/>
        <v>51</v>
      </c>
      <c r="M1093" s="600">
        <f t="shared" si="409"/>
        <v>51</v>
      </c>
      <c r="N1093" s="600">
        <f t="shared" ref="N1093:P1094" si="410">M1093</f>
        <v>51</v>
      </c>
      <c r="O1093" s="600">
        <f t="shared" si="410"/>
        <v>51</v>
      </c>
      <c r="P1093" s="600">
        <f t="shared" si="410"/>
        <v>51</v>
      </c>
      <c r="Q1093" s="600">
        <f t="shared" si="409"/>
        <v>51</v>
      </c>
      <c r="R1093" s="600">
        <f>Q1093</f>
        <v>51</v>
      </c>
      <c r="S1093" s="600">
        <f>R1093</f>
        <v>51</v>
      </c>
      <c r="T1093" s="807"/>
      <c r="W1093" s="488"/>
      <c r="X1093" s="1003"/>
      <c r="Y1093" s="600"/>
    </row>
    <row r="1094" spans="1:45" s="484" customFormat="1">
      <c r="A1094" s="779" t="s">
        <v>1355</v>
      </c>
      <c r="B1094" s="657">
        <v>3122990</v>
      </c>
      <c r="C1094" s="781">
        <v>50</v>
      </c>
      <c r="D1094" s="600">
        <f t="shared" ref="D1094:D1098" si="411">C1094</f>
        <v>50</v>
      </c>
      <c r="E1094" s="486">
        <f t="shared" si="408"/>
        <v>156149500</v>
      </c>
      <c r="F1094" s="688"/>
      <c r="G1094" s="600">
        <f>+D1094</f>
        <v>50</v>
      </c>
      <c r="H1094" s="600">
        <f>G1094</f>
        <v>50</v>
      </c>
      <c r="I1094" s="600">
        <f t="shared" si="409"/>
        <v>50</v>
      </c>
      <c r="J1094" s="600">
        <f>I1094</f>
        <v>50</v>
      </c>
      <c r="K1094" s="600">
        <f t="shared" si="409"/>
        <v>50</v>
      </c>
      <c r="L1094" s="600">
        <f t="shared" si="409"/>
        <v>50</v>
      </c>
      <c r="M1094" s="600">
        <f t="shared" si="409"/>
        <v>50</v>
      </c>
      <c r="N1094" s="600">
        <f t="shared" si="410"/>
        <v>50</v>
      </c>
      <c r="O1094" s="600">
        <f t="shared" si="410"/>
        <v>50</v>
      </c>
      <c r="P1094" s="600">
        <f t="shared" si="410"/>
        <v>50</v>
      </c>
      <c r="Q1094" s="600">
        <f t="shared" si="409"/>
        <v>50</v>
      </c>
      <c r="R1094" s="600">
        <f>Q1094</f>
        <v>50</v>
      </c>
      <c r="S1094" s="600">
        <f>R1094</f>
        <v>50</v>
      </c>
      <c r="T1094" s="807"/>
      <c r="W1094" s="488"/>
      <c r="X1094" s="1003"/>
      <c r="Y1094" s="600"/>
    </row>
    <row r="1095" spans="1:45" s="484" customFormat="1">
      <c r="A1095" s="779" t="s">
        <v>1356</v>
      </c>
      <c r="B1095" s="657">
        <v>1003500</v>
      </c>
      <c r="C1095" s="781">
        <v>1640</v>
      </c>
      <c r="D1095" s="600">
        <f t="shared" si="411"/>
        <v>1640</v>
      </c>
      <c r="E1095" s="486">
        <f t="shared" si="408"/>
        <v>1645740000</v>
      </c>
      <c r="F1095" s="688">
        <v>2500</v>
      </c>
      <c r="G1095" s="496">
        <v>75</v>
      </c>
      <c r="H1095" s="486">
        <f t="shared" ref="H1095:H1096" si="412">D1095+G1095</f>
        <v>1715</v>
      </c>
      <c r="I1095" s="486">
        <f>+H1095+$G$1095</f>
        <v>1790</v>
      </c>
      <c r="J1095" s="486">
        <f>+I1095+$G$1095</f>
        <v>1865</v>
      </c>
      <c r="K1095" s="486">
        <f t="shared" ref="K1095:Q1095" si="413">+J1095+$G$1095</f>
        <v>1940</v>
      </c>
      <c r="L1095" s="486">
        <f t="shared" si="413"/>
        <v>2015</v>
      </c>
      <c r="M1095" s="486">
        <f t="shared" si="413"/>
        <v>2090</v>
      </c>
      <c r="N1095" s="486">
        <f>+M1095+$G$1095</f>
        <v>2165</v>
      </c>
      <c r="O1095" s="486">
        <f>+N1095+$G$1095</f>
        <v>2240</v>
      </c>
      <c r="P1095" s="486">
        <f>+O1095+$G$1095</f>
        <v>2315</v>
      </c>
      <c r="Q1095" s="486">
        <f t="shared" si="413"/>
        <v>2390</v>
      </c>
      <c r="R1095" s="486">
        <f>+Q1095+$G$1095</f>
        <v>2465</v>
      </c>
      <c r="S1095" s="486">
        <f>F1095</f>
        <v>2500</v>
      </c>
      <c r="T1095" s="786"/>
      <c r="W1095" s="488"/>
      <c r="X1095" s="1003"/>
      <c r="Y1095" s="600"/>
    </row>
    <row r="1096" spans="1:45" s="484" customFormat="1">
      <c r="A1096" s="779" t="s">
        <v>1357</v>
      </c>
      <c r="B1096" s="657">
        <v>659700</v>
      </c>
      <c r="C1096" s="781">
        <v>1485</v>
      </c>
      <c r="D1096" s="600">
        <f t="shared" si="411"/>
        <v>1485</v>
      </c>
      <c r="E1096" s="486">
        <f t="shared" si="408"/>
        <v>979654500</v>
      </c>
      <c r="F1096" s="688">
        <v>1800</v>
      </c>
      <c r="G1096" s="496">
        <v>30</v>
      </c>
      <c r="H1096" s="486">
        <f t="shared" si="412"/>
        <v>1515</v>
      </c>
      <c r="I1096" s="486">
        <f>+H1096+$G$1096</f>
        <v>1545</v>
      </c>
      <c r="J1096" s="486">
        <f>+I1096+$G$1096</f>
        <v>1575</v>
      </c>
      <c r="K1096" s="486">
        <f t="shared" ref="K1096:Q1096" si="414">+J1096+$G$1096</f>
        <v>1605</v>
      </c>
      <c r="L1096" s="486">
        <f t="shared" si="414"/>
        <v>1635</v>
      </c>
      <c r="M1096" s="486">
        <f t="shared" si="414"/>
        <v>1665</v>
      </c>
      <c r="N1096" s="486">
        <f>+M1096+$G$1096</f>
        <v>1695</v>
      </c>
      <c r="O1096" s="486">
        <f>+N1096+$G$1096</f>
        <v>1725</v>
      </c>
      <c r="P1096" s="486">
        <f>+O1096+$G$1096</f>
        <v>1755</v>
      </c>
      <c r="Q1096" s="486">
        <f t="shared" si="414"/>
        <v>1785</v>
      </c>
      <c r="R1096" s="486">
        <f>+Q1096+$G$1096</f>
        <v>1815</v>
      </c>
      <c r="S1096" s="486">
        <f>F1096</f>
        <v>1800</v>
      </c>
      <c r="T1096" s="786"/>
      <c r="W1096" s="488"/>
      <c r="X1096" s="1003"/>
      <c r="Y1096" s="600"/>
    </row>
    <row r="1097" spans="1:45" s="484" customFormat="1">
      <c r="A1097" s="779" t="s">
        <v>1358</v>
      </c>
      <c r="B1097" s="657">
        <v>325000</v>
      </c>
      <c r="C1097" s="781">
        <v>1400</v>
      </c>
      <c r="D1097" s="600">
        <f t="shared" si="411"/>
        <v>1400</v>
      </c>
      <c r="E1097" s="486">
        <f t="shared" si="408"/>
        <v>455000000</v>
      </c>
      <c r="F1097" s="688"/>
      <c r="G1097" s="600">
        <f>D1097</f>
        <v>1400</v>
      </c>
      <c r="H1097" s="486">
        <f>G1097</f>
        <v>1400</v>
      </c>
      <c r="I1097" s="486">
        <f t="shared" ref="I1097:Q1098" si="415">H1097</f>
        <v>1400</v>
      </c>
      <c r="J1097" s="486">
        <f>I1097</f>
        <v>1400</v>
      </c>
      <c r="K1097" s="486">
        <f t="shared" si="415"/>
        <v>1400</v>
      </c>
      <c r="L1097" s="486">
        <f t="shared" si="415"/>
        <v>1400</v>
      </c>
      <c r="M1097" s="486">
        <f t="shared" si="415"/>
        <v>1400</v>
      </c>
      <c r="N1097" s="486">
        <f t="shared" ref="N1097:P1098" si="416">M1097</f>
        <v>1400</v>
      </c>
      <c r="O1097" s="486">
        <f t="shared" si="416"/>
        <v>1400</v>
      </c>
      <c r="P1097" s="486">
        <f t="shared" si="416"/>
        <v>1400</v>
      </c>
      <c r="Q1097" s="486">
        <f t="shared" si="415"/>
        <v>1400</v>
      </c>
      <c r="R1097" s="486">
        <f>Q1097</f>
        <v>1400</v>
      </c>
      <c r="S1097" s="486">
        <f>R1097</f>
        <v>1400</v>
      </c>
      <c r="T1097" s="786"/>
      <c r="V1097" s="782"/>
      <c r="W1097" s="488"/>
      <c r="X1097" s="1003"/>
      <c r="Y1097" s="600"/>
    </row>
    <row r="1098" spans="1:45" s="484" customFormat="1">
      <c r="A1098" s="779" t="s">
        <v>1359</v>
      </c>
      <c r="B1098" s="657">
        <v>4300000</v>
      </c>
      <c r="C1098" s="781">
        <v>71</v>
      </c>
      <c r="D1098" s="600">
        <f t="shared" si="411"/>
        <v>71</v>
      </c>
      <c r="E1098" s="486">
        <f t="shared" si="408"/>
        <v>305300000</v>
      </c>
      <c r="F1098" s="688"/>
      <c r="G1098" s="600">
        <f>D1098</f>
        <v>71</v>
      </c>
      <c r="H1098" s="486">
        <f>G1098</f>
        <v>71</v>
      </c>
      <c r="I1098" s="486">
        <f t="shared" si="415"/>
        <v>71</v>
      </c>
      <c r="J1098" s="486">
        <f>I1098</f>
        <v>71</v>
      </c>
      <c r="K1098" s="486">
        <f t="shared" si="415"/>
        <v>71</v>
      </c>
      <c r="L1098" s="486">
        <f t="shared" si="415"/>
        <v>71</v>
      </c>
      <c r="M1098" s="486">
        <f t="shared" si="415"/>
        <v>71</v>
      </c>
      <c r="N1098" s="486">
        <f t="shared" si="416"/>
        <v>71</v>
      </c>
      <c r="O1098" s="486">
        <f t="shared" si="416"/>
        <v>71</v>
      </c>
      <c r="P1098" s="486">
        <f t="shared" si="416"/>
        <v>71</v>
      </c>
      <c r="Q1098" s="486">
        <f t="shared" si="415"/>
        <v>71</v>
      </c>
      <c r="R1098" s="486">
        <f>Q1098</f>
        <v>71</v>
      </c>
      <c r="S1098" s="486">
        <f>R1098</f>
        <v>71</v>
      </c>
      <c r="T1098" s="786"/>
      <c r="W1098" s="488"/>
      <c r="X1098" s="1003"/>
    </row>
    <row r="1099" spans="1:45" s="484" customFormat="1">
      <c r="A1099" s="556"/>
      <c r="F1099" s="688"/>
      <c r="H1099" s="486"/>
      <c r="T1099" s="799"/>
      <c r="W1099" s="488"/>
      <c r="X1099" s="1003"/>
    </row>
    <row r="1100" spans="1:45" s="484" customFormat="1">
      <c r="A1100" s="556" t="s">
        <v>1360</v>
      </c>
      <c r="E1100" s="486">
        <v>4339238037</v>
      </c>
      <c r="F1100" s="688"/>
      <c r="G1100" s="600"/>
      <c r="H1100" s="486"/>
      <c r="T1100" s="799"/>
      <c r="W1100" s="488"/>
      <c r="X1100" s="1003"/>
    </row>
    <row r="1101" spans="1:45" s="484" customFormat="1">
      <c r="A1101" s="556" t="s">
        <v>1361</v>
      </c>
      <c r="E1101" s="486">
        <v>4418070747</v>
      </c>
      <c r="F1101" s="688"/>
      <c r="G1101" s="600"/>
      <c r="H1101" s="486"/>
      <c r="I1101" s="600"/>
      <c r="J1101" s="600"/>
      <c r="K1101" s="600"/>
      <c r="L1101" s="600"/>
      <c r="M1101" s="600"/>
      <c r="N1101" s="600"/>
      <c r="O1101" s="600"/>
      <c r="P1101" s="600"/>
      <c r="Q1101" s="600"/>
      <c r="R1101" s="600"/>
      <c r="S1101" s="600"/>
      <c r="T1101" s="807"/>
      <c r="W1101" s="488"/>
      <c r="X1101" s="1003"/>
    </row>
    <row r="1102" spans="1:45" s="484" customFormat="1">
      <c r="A1102" s="556"/>
      <c r="E1102" s="783">
        <f>SUM(E1092:E1101)</f>
        <v>23815331915</v>
      </c>
      <c r="F1102" s="688"/>
      <c r="G1102" s="639"/>
      <c r="H1102" s="600"/>
      <c r="I1102" s="600"/>
      <c r="J1102" s="600"/>
      <c r="K1102" s="600"/>
      <c r="L1102" s="600"/>
      <c r="M1102" s="600"/>
      <c r="N1102" s="600"/>
      <c r="O1102" s="600"/>
      <c r="P1102" s="600"/>
      <c r="Q1102" s="600"/>
      <c r="R1102" s="600"/>
      <c r="S1102" s="600"/>
      <c r="T1102" s="807"/>
      <c r="W1102" s="488"/>
      <c r="X1102" s="1003"/>
    </row>
    <row r="1103" spans="1:45" s="484" customFormat="1">
      <c r="A1103" s="556"/>
      <c r="E1103" s="600">
        <f>E1102-G90</f>
        <v>2076859096</v>
      </c>
      <c r="F1103" s="688"/>
      <c r="H1103" s="600"/>
      <c r="I1103" s="600"/>
      <c r="J1103" s="600"/>
      <c r="K1103" s="600"/>
      <c r="L1103" s="600"/>
      <c r="M1103" s="600"/>
      <c r="N1103" s="600"/>
      <c r="O1103" s="600"/>
      <c r="P1103" s="600"/>
      <c r="Q1103" s="600"/>
      <c r="R1103" s="600"/>
      <c r="S1103" s="600"/>
      <c r="T1103" s="807"/>
      <c r="W1103" s="488"/>
      <c r="X1103" s="1003"/>
    </row>
    <row r="1104" spans="1:45" s="484" customFormat="1">
      <c r="A1104" s="556"/>
      <c r="B1104" s="556"/>
      <c r="F1104" s="688"/>
      <c r="G1104" s="600"/>
      <c r="H1104" s="600"/>
      <c r="I1104" s="600"/>
      <c r="J1104" s="600"/>
      <c r="K1104" s="600"/>
      <c r="L1104" s="600"/>
      <c r="M1104" s="600"/>
      <c r="N1104" s="600"/>
      <c r="O1104" s="600"/>
      <c r="P1104" s="600"/>
      <c r="Q1104" s="600"/>
      <c r="R1104" s="600"/>
      <c r="S1104" s="600"/>
      <c r="T1104" s="807"/>
      <c r="W1104" s="488"/>
      <c r="X1104" s="1003"/>
    </row>
    <row r="1105" spans="1:24" s="484" customFormat="1">
      <c r="A1105" s="779" t="s">
        <v>1353</v>
      </c>
      <c r="B1105" s="657">
        <v>8530500</v>
      </c>
      <c r="F1105" s="688"/>
      <c r="G1105" s="600"/>
      <c r="H1105" s="600">
        <f>$B$1105*H1092</f>
        <v>11772090000</v>
      </c>
      <c r="I1105" s="600">
        <f t="shared" ref="I1105:Q1105" si="417">$B$1105*I1092</f>
        <v>12028005000</v>
      </c>
      <c r="J1105" s="600">
        <f t="shared" si="417"/>
        <v>12283920000</v>
      </c>
      <c r="K1105" s="600">
        <f t="shared" si="417"/>
        <v>12539835000</v>
      </c>
      <c r="L1105" s="600">
        <f t="shared" si="417"/>
        <v>12795750000</v>
      </c>
      <c r="M1105" s="600">
        <f t="shared" si="417"/>
        <v>13051665000</v>
      </c>
      <c r="N1105" s="600">
        <f t="shared" si="417"/>
        <v>13307580000</v>
      </c>
      <c r="O1105" s="600">
        <f t="shared" si="417"/>
        <v>13563495000</v>
      </c>
      <c r="P1105" s="600">
        <f t="shared" si="417"/>
        <v>13819410000</v>
      </c>
      <c r="Q1105" s="600">
        <f t="shared" si="417"/>
        <v>14075325000</v>
      </c>
      <c r="R1105" s="600">
        <f>$B$1105*R1092</f>
        <v>14331240000</v>
      </c>
      <c r="S1105" s="600">
        <f>$B$1105*S1092</f>
        <v>14501850000</v>
      </c>
      <c r="T1105" s="807"/>
      <c r="V1105" s="600">
        <f t="shared" ref="V1105:V1114" si="418">S1105</f>
        <v>14501850000</v>
      </c>
      <c r="W1105" s="488"/>
      <c r="X1105" s="1003"/>
    </row>
    <row r="1106" spans="1:24" s="484" customFormat="1">
      <c r="A1106" s="779" t="s">
        <v>1354</v>
      </c>
      <c r="B1106" s="484">
        <v>81</v>
      </c>
      <c r="F1106" s="688"/>
      <c r="G1106" s="600"/>
      <c r="H1106" s="600">
        <f>$B$1106*H1093</f>
        <v>4131</v>
      </c>
      <c r="I1106" s="600">
        <f t="shared" ref="I1106:Q1106" si="419">$B$1106*I1093</f>
        <v>4131</v>
      </c>
      <c r="J1106" s="600">
        <f t="shared" si="419"/>
        <v>4131</v>
      </c>
      <c r="K1106" s="600">
        <f t="shared" si="419"/>
        <v>4131</v>
      </c>
      <c r="L1106" s="600">
        <f t="shared" si="419"/>
        <v>4131</v>
      </c>
      <c r="M1106" s="600">
        <f t="shared" si="419"/>
        <v>4131</v>
      </c>
      <c r="N1106" s="600">
        <f t="shared" si="419"/>
        <v>4131</v>
      </c>
      <c r="O1106" s="600">
        <f t="shared" si="419"/>
        <v>4131</v>
      </c>
      <c r="P1106" s="600">
        <f t="shared" si="419"/>
        <v>4131</v>
      </c>
      <c r="Q1106" s="600">
        <f t="shared" si="419"/>
        <v>4131</v>
      </c>
      <c r="R1106" s="600">
        <f>$B$1106*R1093</f>
        <v>4131</v>
      </c>
      <c r="S1106" s="600">
        <f>$B$1106*S1093</f>
        <v>4131</v>
      </c>
      <c r="T1106" s="807"/>
      <c r="V1106" s="600">
        <f t="shared" si="418"/>
        <v>4131</v>
      </c>
      <c r="W1106" s="488"/>
      <c r="X1106" s="1003"/>
    </row>
    <row r="1107" spans="1:24" s="484" customFormat="1">
      <c r="A1107" s="779" t="s">
        <v>1355</v>
      </c>
      <c r="B1107" s="657">
        <v>3122990</v>
      </c>
      <c r="F1107" s="688"/>
      <c r="G1107" s="600"/>
      <c r="H1107" s="600">
        <f>$B$1107*H1094</f>
        <v>156149500</v>
      </c>
      <c r="I1107" s="600">
        <f t="shared" ref="I1107:Q1107" si="420">$B$1107*I1094</f>
        <v>156149500</v>
      </c>
      <c r="J1107" s="600">
        <f t="shared" si="420"/>
        <v>156149500</v>
      </c>
      <c r="K1107" s="600">
        <f t="shared" si="420"/>
        <v>156149500</v>
      </c>
      <c r="L1107" s="600">
        <f t="shared" si="420"/>
        <v>156149500</v>
      </c>
      <c r="M1107" s="600">
        <f t="shared" si="420"/>
        <v>156149500</v>
      </c>
      <c r="N1107" s="600">
        <f t="shared" si="420"/>
        <v>156149500</v>
      </c>
      <c r="O1107" s="600">
        <f t="shared" si="420"/>
        <v>156149500</v>
      </c>
      <c r="P1107" s="600">
        <f t="shared" si="420"/>
        <v>156149500</v>
      </c>
      <c r="Q1107" s="600">
        <f t="shared" si="420"/>
        <v>156149500</v>
      </c>
      <c r="R1107" s="600">
        <f>$B$1107*R1094</f>
        <v>156149500</v>
      </c>
      <c r="S1107" s="600">
        <f>$B$1107*S1094</f>
        <v>156149500</v>
      </c>
      <c r="T1107" s="807"/>
      <c r="V1107" s="600">
        <f t="shared" si="418"/>
        <v>156149500</v>
      </c>
      <c r="W1107" s="488"/>
      <c r="X1107" s="1003"/>
    </row>
    <row r="1108" spans="1:24" s="484" customFormat="1">
      <c r="A1108" s="779" t="s">
        <v>1356</v>
      </c>
      <c r="B1108" s="657">
        <v>1003500</v>
      </c>
      <c r="F1108" s="688"/>
      <c r="G1108" s="784"/>
      <c r="H1108" s="600">
        <f>$B$1108*H1095</f>
        <v>1721002500</v>
      </c>
      <c r="I1108" s="600">
        <f t="shared" ref="I1108:Q1108" si="421">$B$1108*I1095</f>
        <v>1796265000</v>
      </c>
      <c r="J1108" s="600">
        <f t="shared" si="421"/>
        <v>1871527500</v>
      </c>
      <c r="K1108" s="600">
        <f t="shared" si="421"/>
        <v>1946790000</v>
      </c>
      <c r="L1108" s="600">
        <f t="shared" si="421"/>
        <v>2022052500</v>
      </c>
      <c r="M1108" s="600">
        <f t="shared" si="421"/>
        <v>2097315000</v>
      </c>
      <c r="N1108" s="600">
        <f t="shared" si="421"/>
        <v>2172577500</v>
      </c>
      <c r="O1108" s="600">
        <f t="shared" si="421"/>
        <v>2247840000</v>
      </c>
      <c r="P1108" s="600">
        <f t="shared" si="421"/>
        <v>2323102500</v>
      </c>
      <c r="Q1108" s="600">
        <f t="shared" si="421"/>
        <v>2398365000</v>
      </c>
      <c r="R1108" s="600">
        <f>$B$1108*R1095</f>
        <v>2473627500</v>
      </c>
      <c r="S1108" s="600">
        <f>$B$1108*S1095</f>
        <v>2508750000</v>
      </c>
      <c r="T1108" s="807"/>
      <c r="V1108" s="600">
        <f t="shared" si="418"/>
        <v>2508750000</v>
      </c>
      <c r="W1108" s="488"/>
      <c r="X1108" s="1003"/>
    </row>
    <row r="1109" spans="1:24" s="484" customFormat="1">
      <c r="A1109" s="779" t="s">
        <v>1357</v>
      </c>
      <c r="B1109" s="657">
        <v>659700</v>
      </c>
      <c r="F1109" s="688"/>
      <c r="G1109" s="600"/>
      <c r="H1109" s="600">
        <f>$B$1109*H1096</f>
        <v>999445500</v>
      </c>
      <c r="I1109" s="600">
        <f t="shared" ref="I1109:Q1109" si="422">$B$1109*I1096</f>
        <v>1019236500</v>
      </c>
      <c r="J1109" s="600">
        <f t="shared" si="422"/>
        <v>1039027500</v>
      </c>
      <c r="K1109" s="600">
        <f t="shared" si="422"/>
        <v>1058818500</v>
      </c>
      <c r="L1109" s="600">
        <f t="shared" si="422"/>
        <v>1078609500</v>
      </c>
      <c r="M1109" s="600">
        <f t="shared" si="422"/>
        <v>1098400500</v>
      </c>
      <c r="N1109" s="600">
        <f t="shared" si="422"/>
        <v>1118191500</v>
      </c>
      <c r="O1109" s="600">
        <f t="shared" si="422"/>
        <v>1137982500</v>
      </c>
      <c r="P1109" s="600">
        <f t="shared" si="422"/>
        <v>1157773500</v>
      </c>
      <c r="Q1109" s="600">
        <f t="shared" si="422"/>
        <v>1177564500</v>
      </c>
      <c r="R1109" s="600">
        <f>$B$1109*R1096</f>
        <v>1197355500</v>
      </c>
      <c r="S1109" s="600">
        <f>$B$1109*S1096</f>
        <v>1187460000</v>
      </c>
      <c r="T1109" s="807"/>
      <c r="V1109" s="600">
        <f t="shared" si="418"/>
        <v>1187460000</v>
      </c>
      <c r="W1109" s="488"/>
      <c r="X1109" s="1003"/>
    </row>
    <row r="1110" spans="1:24" s="484" customFormat="1">
      <c r="A1110" s="779" t="s">
        <v>1358</v>
      </c>
      <c r="B1110" s="657">
        <v>325000</v>
      </c>
      <c r="F1110" s="688"/>
      <c r="H1110" s="600">
        <f>$B$1110*H1097</f>
        <v>455000000</v>
      </c>
      <c r="I1110" s="600">
        <f t="shared" ref="I1110:Q1110" si="423">$B$1110*I1097</f>
        <v>455000000</v>
      </c>
      <c r="J1110" s="600">
        <f t="shared" si="423"/>
        <v>455000000</v>
      </c>
      <c r="K1110" s="600">
        <f t="shared" si="423"/>
        <v>455000000</v>
      </c>
      <c r="L1110" s="600">
        <f t="shared" si="423"/>
        <v>455000000</v>
      </c>
      <c r="M1110" s="600">
        <f t="shared" si="423"/>
        <v>455000000</v>
      </c>
      <c r="N1110" s="600">
        <f t="shared" si="423"/>
        <v>455000000</v>
      </c>
      <c r="O1110" s="600">
        <f t="shared" si="423"/>
        <v>455000000</v>
      </c>
      <c r="P1110" s="600">
        <f t="shared" si="423"/>
        <v>455000000</v>
      </c>
      <c r="Q1110" s="600">
        <f t="shared" si="423"/>
        <v>455000000</v>
      </c>
      <c r="R1110" s="600">
        <f>$B$1110*R1097</f>
        <v>455000000</v>
      </c>
      <c r="S1110" s="600">
        <f>$B$1110*S1097</f>
        <v>455000000</v>
      </c>
      <c r="T1110" s="807"/>
      <c r="V1110" s="600">
        <f t="shared" si="418"/>
        <v>455000000</v>
      </c>
      <c r="W1110" s="488"/>
      <c r="X1110" s="1003"/>
    </row>
    <row r="1111" spans="1:24" s="484" customFormat="1">
      <c r="A1111" s="779" t="s">
        <v>1359</v>
      </c>
      <c r="B1111" s="657">
        <v>4300000</v>
      </c>
      <c r="F1111" s="688"/>
      <c r="H1111" s="600">
        <f>$B$1111*H1098</f>
        <v>305300000</v>
      </c>
      <c r="I1111" s="600">
        <f t="shared" ref="I1111:Q1111" si="424">$B$1111*I1098</f>
        <v>305300000</v>
      </c>
      <c r="J1111" s="600">
        <f t="shared" si="424"/>
        <v>305300000</v>
      </c>
      <c r="K1111" s="600">
        <f t="shared" si="424"/>
        <v>305300000</v>
      </c>
      <c r="L1111" s="600">
        <f t="shared" si="424"/>
        <v>305300000</v>
      </c>
      <c r="M1111" s="600">
        <f t="shared" si="424"/>
        <v>305300000</v>
      </c>
      <c r="N1111" s="600">
        <f t="shared" si="424"/>
        <v>305300000</v>
      </c>
      <c r="O1111" s="600">
        <f t="shared" si="424"/>
        <v>305300000</v>
      </c>
      <c r="P1111" s="600">
        <f t="shared" si="424"/>
        <v>305300000</v>
      </c>
      <c r="Q1111" s="600">
        <f t="shared" si="424"/>
        <v>305300000</v>
      </c>
      <c r="R1111" s="600">
        <f>$B$1111*R1098</f>
        <v>305300000</v>
      </c>
      <c r="S1111" s="600">
        <f>$B$1111*S1098</f>
        <v>305300000</v>
      </c>
      <c r="T1111" s="807"/>
      <c r="V1111" s="600">
        <f t="shared" si="418"/>
        <v>305300000</v>
      </c>
      <c r="W1111" s="488"/>
      <c r="X1111" s="1003"/>
    </row>
    <row r="1112" spans="1:24" s="484" customFormat="1">
      <c r="A1112" s="556"/>
      <c r="F1112" s="688"/>
      <c r="T1112" s="799"/>
      <c r="V1112" s="600">
        <f t="shared" si="418"/>
        <v>0</v>
      </c>
      <c r="W1112" s="488"/>
      <c r="X1112" s="1003"/>
    </row>
    <row r="1113" spans="1:24" s="484" customFormat="1">
      <c r="A1113" s="556" t="s">
        <v>1360</v>
      </c>
      <c r="F1113" s="688"/>
      <c r="H1113" s="600">
        <f>E1100</f>
        <v>4339238037</v>
      </c>
      <c r="I1113" s="600">
        <f>H1113</f>
        <v>4339238037</v>
      </c>
      <c r="J1113" s="600">
        <f>I1113</f>
        <v>4339238037</v>
      </c>
      <c r="K1113" s="600">
        <f t="shared" ref="K1113:Q1114" si="425">J1113</f>
        <v>4339238037</v>
      </c>
      <c r="L1113" s="600">
        <f t="shared" si="425"/>
        <v>4339238037</v>
      </c>
      <c r="M1113" s="600">
        <f t="shared" si="425"/>
        <v>4339238037</v>
      </c>
      <c r="N1113" s="600">
        <f t="shared" ref="N1113:P1114" si="426">M1113</f>
        <v>4339238037</v>
      </c>
      <c r="O1113" s="600">
        <f t="shared" si="426"/>
        <v>4339238037</v>
      </c>
      <c r="P1113" s="600">
        <f t="shared" si="426"/>
        <v>4339238037</v>
      </c>
      <c r="Q1113" s="600">
        <f t="shared" si="425"/>
        <v>4339238037</v>
      </c>
      <c r="R1113" s="600">
        <f>Q1113</f>
        <v>4339238037</v>
      </c>
      <c r="S1113" s="600">
        <f>R1113</f>
        <v>4339238037</v>
      </c>
      <c r="T1113" s="807"/>
      <c r="V1113" s="600">
        <f t="shared" si="418"/>
        <v>4339238037</v>
      </c>
      <c r="W1113" s="488"/>
      <c r="X1113" s="1003"/>
    </row>
    <row r="1114" spans="1:24" s="484" customFormat="1">
      <c r="A1114" s="556" t="s">
        <v>1361</v>
      </c>
      <c r="F1114" s="688"/>
      <c r="H1114" s="600">
        <f>E1101</f>
        <v>4418070747</v>
      </c>
      <c r="I1114" s="600">
        <f>H1114</f>
        <v>4418070747</v>
      </c>
      <c r="J1114" s="600">
        <f>I1114</f>
        <v>4418070747</v>
      </c>
      <c r="K1114" s="600">
        <f t="shared" si="425"/>
        <v>4418070747</v>
      </c>
      <c r="L1114" s="600">
        <f t="shared" si="425"/>
        <v>4418070747</v>
      </c>
      <c r="M1114" s="600">
        <f t="shared" si="425"/>
        <v>4418070747</v>
      </c>
      <c r="N1114" s="600">
        <f t="shared" si="426"/>
        <v>4418070747</v>
      </c>
      <c r="O1114" s="600">
        <f t="shared" si="426"/>
        <v>4418070747</v>
      </c>
      <c r="P1114" s="600">
        <f t="shared" si="426"/>
        <v>4418070747</v>
      </c>
      <c r="Q1114" s="600">
        <f t="shared" si="425"/>
        <v>4418070747</v>
      </c>
      <c r="R1114" s="600">
        <f>Q1114</f>
        <v>4418070747</v>
      </c>
      <c r="S1114" s="600">
        <f>R1114</f>
        <v>4418070747</v>
      </c>
      <c r="T1114" s="807"/>
      <c r="V1114" s="600">
        <f t="shared" si="418"/>
        <v>4418070747</v>
      </c>
      <c r="W1114" s="488"/>
      <c r="X1114" s="1003"/>
    </row>
    <row r="1115" spans="1:24" s="484" customFormat="1">
      <c r="A1115" s="556" t="s">
        <v>1362</v>
      </c>
      <c r="F1115" s="688"/>
      <c r="H1115" s="785">
        <f>SUM(H1105:H1114)</f>
        <v>24166300415</v>
      </c>
      <c r="I1115" s="785">
        <f t="shared" ref="I1115:V1115" si="427">SUM(I1105:I1114)</f>
        <v>24517268915</v>
      </c>
      <c r="J1115" s="785">
        <f t="shared" si="427"/>
        <v>24868237415</v>
      </c>
      <c r="K1115" s="785">
        <f t="shared" si="427"/>
        <v>25219205915</v>
      </c>
      <c r="L1115" s="785">
        <f t="shared" si="427"/>
        <v>25570174415</v>
      </c>
      <c r="M1115" s="785">
        <f t="shared" si="427"/>
        <v>25921142915</v>
      </c>
      <c r="N1115" s="785">
        <f t="shared" si="427"/>
        <v>26272111415</v>
      </c>
      <c r="O1115" s="785">
        <f t="shared" si="427"/>
        <v>26623079915</v>
      </c>
      <c r="P1115" s="838">
        <f t="shared" si="427"/>
        <v>26974048415</v>
      </c>
      <c r="Q1115" s="785">
        <f t="shared" si="427"/>
        <v>27325016915</v>
      </c>
      <c r="R1115" s="785">
        <f>SUM(R1105:R1114)</f>
        <v>27675985415</v>
      </c>
      <c r="S1115" s="785">
        <f>SUM(S1105:S1114)</f>
        <v>27871822415</v>
      </c>
      <c r="T1115" s="834"/>
      <c r="V1115" s="785">
        <f t="shared" si="427"/>
        <v>27871822415</v>
      </c>
      <c r="W1115" s="488"/>
      <c r="X1115" s="1003"/>
    </row>
    <row r="1116" spans="1:24" s="484" customFormat="1">
      <c r="A1116" s="556"/>
      <c r="F1116" s="688"/>
      <c r="T1116" s="799"/>
      <c r="W1116" s="488"/>
      <c r="X1116" s="1003"/>
    </row>
    <row r="1117" spans="1:24" s="484" customFormat="1">
      <c r="A1117" s="556" t="s">
        <v>1363</v>
      </c>
      <c r="B1117" s="556"/>
      <c r="F1117" s="688"/>
      <c r="H1117" s="600">
        <f>H1115-E1102</f>
        <v>350968500</v>
      </c>
      <c r="I1117" s="600">
        <f>I1115-H1115</f>
        <v>350968500</v>
      </c>
      <c r="J1117" s="600">
        <f>J1115-I1115</f>
        <v>350968500</v>
      </c>
      <c r="K1117" s="600">
        <f t="shared" ref="K1117:Q1117" si="428">K1115-J1115</f>
        <v>350968500</v>
      </c>
      <c r="L1117" s="600">
        <f t="shared" si="428"/>
        <v>350968500</v>
      </c>
      <c r="M1117" s="600">
        <f t="shared" si="428"/>
        <v>350968500</v>
      </c>
      <c r="N1117" s="600">
        <f>N1115-M1115</f>
        <v>350968500</v>
      </c>
      <c r="O1117" s="600">
        <f>O1115-N1115</f>
        <v>350968500</v>
      </c>
      <c r="P1117" s="600">
        <f>P1115-O1115</f>
        <v>350968500</v>
      </c>
      <c r="Q1117" s="600">
        <f t="shared" si="428"/>
        <v>350968500</v>
      </c>
      <c r="R1117" s="600">
        <f>R1115-Q1115</f>
        <v>350968500</v>
      </c>
      <c r="S1117" s="600">
        <f>S1115-R1115</f>
        <v>195837000</v>
      </c>
      <c r="T1117" s="807"/>
      <c r="V1117" s="600">
        <f>V1115-E1102</f>
        <v>4056490500</v>
      </c>
      <c r="W1117" s="488"/>
      <c r="X1117" s="1003"/>
    </row>
    <row r="1118" spans="1:24" s="484" customFormat="1">
      <c r="A1118" s="556"/>
      <c r="B1118" s="556"/>
      <c r="F1118" s="688"/>
      <c r="T1118" s="799"/>
      <c r="W1118" s="488"/>
      <c r="X1118" s="1003"/>
    </row>
    <row r="1119" spans="1:24" s="484" customFormat="1">
      <c r="A1119" s="556"/>
      <c r="B1119" s="556"/>
      <c r="F1119" s="688"/>
      <c r="T1119" s="799"/>
      <c r="W1119" s="488"/>
      <c r="X1119" s="1003"/>
    </row>
    <row r="1120" spans="1:24" s="484" customFormat="1">
      <c r="A1120" s="556"/>
      <c r="B1120" s="556"/>
      <c r="F1120" s="688"/>
      <c r="T1120" s="799"/>
      <c r="W1120" s="488"/>
      <c r="X1120" s="1003"/>
    </row>
    <row r="1121" spans="1:37" s="484" customFormat="1">
      <c r="A1121" s="556"/>
      <c r="B1121" s="556"/>
      <c r="F1121" s="688"/>
      <c r="T1121" s="799"/>
      <c r="W1121" s="488"/>
      <c r="X1121" s="1003"/>
    </row>
    <row r="1122" spans="1:37" s="484" customFormat="1">
      <c r="A1122" s="556"/>
      <c r="B1122" s="556"/>
      <c r="F1122" s="688"/>
      <c r="T1122" s="799"/>
      <c r="W1122" s="488"/>
      <c r="X1122" s="1003"/>
    </row>
    <row r="1123" spans="1:37" s="484" customFormat="1">
      <c r="A1123" s="556"/>
      <c r="B1123" s="556"/>
      <c r="F1123" s="688"/>
      <c r="T1123" s="799"/>
      <c r="W1123" s="488"/>
      <c r="X1123" s="1003"/>
    </row>
    <row r="1124" spans="1:37" s="484" customFormat="1">
      <c r="A1124" s="556"/>
      <c r="B1124" s="556"/>
      <c r="F1124" s="688"/>
      <c r="T1124" s="799"/>
      <c r="W1124" s="488"/>
      <c r="X1124" s="1003"/>
    </row>
    <row r="1125" spans="1:37" s="484" customFormat="1">
      <c r="A1125" s="556"/>
      <c r="B1125" s="556"/>
      <c r="F1125" s="688"/>
      <c r="T1125" s="799"/>
      <c r="W1125" s="488"/>
      <c r="X1125" s="1003"/>
    </row>
    <row r="1126" spans="1:37" s="484" customFormat="1">
      <c r="A1126" s="556"/>
      <c r="B1126" s="556"/>
      <c r="F1126" s="688"/>
      <c r="T1126" s="799"/>
      <c r="W1126" s="488"/>
      <c r="X1126" s="1003"/>
    </row>
    <row r="1127" spans="1:37" s="484" customFormat="1">
      <c r="A1127" s="556"/>
      <c r="B1127" s="556"/>
      <c r="F1127" s="688"/>
      <c r="T1127" s="799"/>
      <c r="W1127" s="488"/>
      <c r="X1127" s="1003"/>
    </row>
    <row r="1128" spans="1:37" s="484" customFormat="1">
      <c r="A1128" s="556"/>
      <c r="B1128" s="556"/>
      <c r="F1128" s="688"/>
      <c r="T1128" s="799"/>
      <c r="W1128" s="488"/>
      <c r="X1128" s="1003"/>
    </row>
    <row r="1129" spans="1:37" s="484" customFormat="1">
      <c r="A1129" s="556"/>
      <c r="B1129" s="556"/>
      <c r="F1129" s="688"/>
      <c r="T1129" s="799"/>
      <c r="W1129" s="488"/>
      <c r="X1129" s="1003"/>
    </row>
    <row r="1130" spans="1:37" s="484" customFormat="1">
      <c r="A1130" s="556"/>
      <c r="B1130" s="556"/>
      <c r="F1130" s="688"/>
      <c r="T1130" s="799"/>
      <c r="W1130" s="488"/>
      <c r="X1130" s="1003"/>
    </row>
    <row r="1131" spans="1:37">
      <c r="AE1131" s="489"/>
      <c r="AG1131" s="489"/>
      <c r="AH1131" s="489"/>
      <c r="AI1131" s="489"/>
      <c r="AJ1131" s="489"/>
      <c r="AK1131" s="489"/>
    </row>
    <row r="1132" spans="1:37">
      <c r="AE1132" s="489"/>
      <c r="AG1132" s="489"/>
      <c r="AH1132" s="489"/>
      <c r="AI1132" s="489"/>
      <c r="AJ1132" s="489"/>
      <c r="AK1132" s="489"/>
    </row>
    <row r="1133" spans="1:37">
      <c r="AE1133" s="489"/>
      <c r="AG1133" s="489"/>
      <c r="AH1133" s="489"/>
      <c r="AI1133" s="489"/>
      <c r="AJ1133" s="489"/>
      <c r="AK1133" s="489"/>
    </row>
    <row r="1134" spans="1:37">
      <c r="AE1134" s="489"/>
      <c r="AG1134" s="489"/>
      <c r="AH1134" s="489"/>
      <c r="AI1134" s="489"/>
      <c r="AJ1134" s="489"/>
      <c r="AK1134" s="489"/>
    </row>
  </sheetData>
  <autoFilter ref="A220:V647"/>
  <pageMargins left="0.17" right="0.17" top="0.56999999999999995" bottom="0.16" header="0.43" footer="0.31496062992126"/>
  <pageSetup paperSize="9" scale="62" fitToHeight="2" orientation="landscape" r:id="rId1"/>
  <headerFooter scaleWithDoc="0"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65"/>
  <sheetViews>
    <sheetView workbookViewId="0">
      <selection activeCell="F24" sqref="F24"/>
    </sheetView>
  </sheetViews>
  <sheetFormatPr defaultColWidth="9.1796875" defaultRowHeight="13"/>
  <cols>
    <col min="1" max="1" width="3.7265625" style="415" customWidth="1"/>
    <col min="2" max="2" width="3.7265625" style="413" customWidth="1"/>
    <col min="3" max="3" width="46.81640625" style="413" customWidth="1"/>
    <col min="4" max="4" width="17.453125" style="413" customWidth="1"/>
    <col min="5" max="5" width="15.7265625" style="413" customWidth="1"/>
    <col min="6" max="6" width="16.7265625" style="413" customWidth="1"/>
    <col min="7" max="7" width="17.54296875" style="413" bestFit="1" customWidth="1"/>
    <col min="8" max="8" width="17.54296875" style="413" customWidth="1"/>
    <col min="9" max="9" width="17.54296875" style="413" bestFit="1" customWidth="1"/>
    <col min="10" max="10" width="17" style="413" bestFit="1" customWidth="1"/>
    <col min="11" max="11" width="14.54296875" style="413" bestFit="1" customWidth="1"/>
    <col min="12" max="16384" width="9.1796875" style="413"/>
  </cols>
  <sheetData>
    <row r="1" spans="1:10">
      <c r="A1" s="1182" t="s">
        <v>0</v>
      </c>
      <c r="B1" s="1182"/>
      <c r="C1" s="1182"/>
      <c r="D1" s="1182"/>
      <c r="E1" s="1182"/>
      <c r="F1" s="1182"/>
      <c r="G1" s="1182"/>
      <c r="H1" s="1182"/>
      <c r="I1" s="1182"/>
      <c r="J1" s="1182"/>
    </row>
    <row r="2" spans="1:10">
      <c r="A2" s="1182" t="s">
        <v>1106</v>
      </c>
      <c r="B2" s="1182"/>
      <c r="C2" s="1182"/>
      <c r="D2" s="1182"/>
      <c r="E2" s="1182"/>
      <c r="F2" s="1182"/>
      <c r="G2" s="1182"/>
      <c r="H2" s="1182"/>
      <c r="I2" s="1182"/>
      <c r="J2" s="1182"/>
    </row>
    <row r="3" spans="1:10" ht="13.5" thickBot="1">
      <c r="A3" s="1184" t="s">
        <v>1107</v>
      </c>
      <c r="B3" s="1184"/>
      <c r="C3" s="1184"/>
      <c r="D3" s="1184"/>
      <c r="E3" s="1184"/>
      <c r="F3" s="1184"/>
      <c r="G3" s="1184"/>
      <c r="H3" s="1184"/>
      <c r="I3" s="1184"/>
      <c r="J3" s="1184"/>
    </row>
    <row r="4" spans="1:10">
      <c r="A4" s="414"/>
      <c r="B4" s="1042"/>
      <c r="C4" s="1042"/>
      <c r="D4" s="1042"/>
      <c r="E4" s="1042"/>
      <c r="F4" s="1042"/>
      <c r="G4" s="1042"/>
      <c r="H4" s="1042"/>
      <c r="I4" s="1042"/>
    </row>
    <row r="5" spans="1:10">
      <c r="D5" s="416">
        <v>42551</v>
      </c>
      <c r="E5" s="416">
        <v>42582</v>
      </c>
      <c r="F5" s="416">
        <v>42613</v>
      </c>
      <c r="G5" s="416">
        <v>42643</v>
      </c>
      <c r="H5" s="416">
        <v>42674</v>
      </c>
      <c r="I5" s="416">
        <v>42704</v>
      </c>
      <c r="J5" s="416">
        <v>42735</v>
      </c>
    </row>
    <row r="7" spans="1:10">
      <c r="A7" s="417" t="s">
        <v>745</v>
      </c>
    </row>
    <row r="8" spans="1:10">
      <c r="B8" s="413" t="s">
        <v>784</v>
      </c>
      <c r="D8" s="418">
        <v>11109400</v>
      </c>
      <c r="E8" s="418">
        <v>11109400</v>
      </c>
      <c r="F8" s="418">
        <v>13109400</v>
      </c>
      <c r="G8" s="418">
        <v>13109400</v>
      </c>
      <c r="H8" s="418">
        <v>13109400</v>
      </c>
      <c r="I8" s="418">
        <v>13109400</v>
      </c>
      <c r="J8" s="418">
        <v>11109400</v>
      </c>
    </row>
    <row r="9" spans="1:10">
      <c r="B9" s="307" t="s">
        <v>118</v>
      </c>
      <c r="C9" s="307"/>
      <c r="D9" s="418"/>
      <c r="E9" s="418"/>
      <c r="F9" s="418"/>
      <c r="G9" s="418"/>
      <c r="H9" s="418"/>
      <c r="I9" s="418"/>
      <c r="J9" s="418"/>
    </row>
    <row r="10" spans="1:10">
      <c r="B10" s="421"/>
      <c r="C10" s="413" t="s">
        <v>783</v>
      </c>
      <c r="D10" s="418"/>
      <c r="E10" s="418"/>
      <c r="F10" s="418"/>
      <c r="G10" s="418"/>
      <c r="H10" s="418"/>
      <c r="I10" s="418"/>
      <c r="J10" s="418"/>
    </row>
    <row r="11" spans="1:10">
      <c r="B11" s="421"/>
      <c r="C11" s="309" t="s">
        <v>602</v>
      </c>
      <c r="D11" s="418">
        <v>420767347.13999999</v>
      </c>
      <c r="E11" s="418">
        <v>135625260.13999999</v>
      </c>
      <c r="F11" s="418">
        <v>147064108.13999999</v>
      </c>
      <c r="G11" s="418">
        <v>227202225.13999999</v>
      </c>
      <c r="H11" s="418">
        <v>225566841.13999999</v>
      </c>
      <c r="I11" s="418">
        <v>127223195.41</v>
      </c>
      <c r="J11" s="418">
        <v>251759152.41</v>
      </c>
    </row>
    <row r="12" spans="1:10">
      <c r="B12" s="421"/>
      <c r="C12" s="309" t="s">
        <v>605</v>
      </c>
      <c r="D12" s="418">
        <v>5706807.8600000003</v>
      </c>
      <c r="E12" s="418">
        <v>27302981.859999999</v>
      </c>
      <c r="F12" s="418">
        <v>12601062.859999999</v>
      </c>
      <c r="G12" s="418">
        <v>23211499.859999999</v>
      </c>
      <c r="H12" s="418">
        <v>15588809.859999999</v>
      </c>
      <c r="I12" s="418">
        <v>69575506.859999999</v>
      </c>
      <c r="J12" s="418">
        <v>34538002.859999999</v>
      </c>
    </row>
    <row r="13" spans="1:10">
      <c r="B13" s="421"/>
      <c r="C13" s="309" t="s">
        <v>607</v>
      </c>
      <c r="D13" s="418">
        <v>24246167.960000001</v>
      </c>
      <c r="E13" s="418">
        <v>71768450.959999993</v>
      </c>
      <c r="F13" s="418">
        <v>74954437.959999993</v>
      </c>
      <c r="G13" s="418">
        <v>68681142.959999993</v>
      </c>
      <c r="H13" s="418">
        <v>54501086.960000001</v>
      </c>
      <c r="I13" s="418">
        <v>39085043.960000001</v>
      </c>
      <c r="J13" s="418">
        <v>29887563.960000001</v>
      </c>
    </row>
    <row r="14" spans="1:10">
      <c r="B14" s="421"/>
      <c r="C14" s="309" t="s">
        <v>609</v>
      </c>
      <c r="D14" s="418">
        <v>13707896.060000001</v>
      </c>
      <c r="E14" s="418">
        <v>13165676.060000001</v>
      </c>
      <c r="F14" s="418">
        <v>49354120.060000002</v>
      </c>
      <c r="G14" s="418">
        <v>100378608.06</v>
      </c>
      <c r="H14" s="418">
        <v>53562736.060000002</v>
      </c>
      <c r="I14" s="418">
        <v>1873828.06</v>
      </c>
      <c r="J14" s="418">
        <v>9577649.0600000005</v>
      </c>
    </row>
    <row r="15" spans="1:10">
      <c r="B15" s="421"/>
      <c r="C15" s="309" t="s">
        <v>611</v>
      </c>
      <c r="D15" s="422">
        <v>231042976.41999999</v>
      </c>
      <c r="E15" s="418">
        <v>81174290.420000002</v>
      </c>
      <c r="F15" s="418">
        <v>246093807.41999999</v>
      </c>
      <c r="G15" s="418">
        <v>411270922.41000003</v>
      </c>
      <c r="H15" s="418">
        <v>200123645.41</v>
      </c>
      <c r="I15" s="418">
        <v>221136416.84</v>
      </c>
      <c r="J15" s="418">
        <v>1255925080.8399999</v>
      </c>
    </row>
    <row r="16" spans="1:10">
      <c r="B16" s="421"/>
      <c r="C16" s="342" t="s">
        <v>937</v>
      </c>
      <c r="D16" s="418">
        <f>SUM(D11:D15)</f>
        <v>695471195.43999994</v>
      </c>
      <c r="E16" s="837">
        <f t="shared" ref="E16:J16" si="0">SUM(E11:E15)</f>
        <v>329036659.44</v>
      </c>
      <c r="F16" s="837">
        <f t="shared" si="0"/>
        <v>530067536.43999994</v>
      </c>
      <c r="G16" s="837">
        <v>830744398.43000007</v>
      </c>
      <c r="H16" s="837">
        <v>549343119.42999995</v>
      </c>
      <c r="I16" s="837">
        <f t="shared" si="0"/>
        <v>458893991.13</v>
      </c>
      <c r="J16" s="837">
        <f t="shared" si="0"/>
        <v>1581687449.1299999</v>
      </c>
    </row>
    <row r="17" spans="1:10">
      <c r="C17" s="413" t="s">
        <v>785</v>
      </c>
      <c r="D17" s="418"/>
      <c r="E17" s="419"/>
      <c r="F17" s="418"/>
      <c r="G17" s="418"/>
      <c r="H17" s="418"/>
      <c r="I17" s="418"/>
      <c r="J17" s="418"/>
    </row>
    <row r="18" spans="1:10">
      <c r="C18" s="309" t="s">
        <v>617</v>
      </c>
      <c r="D18" s="418">
        <v>530471276</v>
      </c>
      <c r="E18" s="418">
        <v>597635039</v>
      </c>
      <c r="F18" s="418">
        <v>19031236</v>
      </c>
      <c r="G18" s="418">
        <v>98322071</v>
      </c>
      <c r="H18" s="418">
        <v>171993256</v>
      </c>
      <c r="I18" s="418">
        <v>257644376</v>
      </c>
      <c r="J18" s="418">
        <v>22149649</v>
      </c>
    </row>
    <row r="19" spans="1:10">
      <c r="C19" s="309" t="s">
        <v>619</v>
      </c>
      <c r="D19" s="422">
        <v>51807285</v>
      </c>
      <c r="E19" s="422">
        <v>52657390</v>
      </c>
      <c r="F19" s="422">
        <v>52417295</v>
      </c>
      <c r="G19" s="422">
        <v>50019813.799999997</v>
      </c>
      <c r="H19" s="422">
        <v>52081842.799999997</v>
      </c>
      <c r="I19" s="422">
        <v>56120846.799999997</v>
      </c>
      <c r="J19" s="422">
        <v>234873103.80000001</v>
      </c>
    </row>
    <row r="20" spans="1:10">
      <c r="C20" s="343" t="s">
        <v>938</v>
      </c>
      <c r="D20" s="418">
        <f>SUM(D18:D19)</f>
        <v>582278561</v>
      </c>
      <c r="E20" s="418">
        <f>SUM(E18:E19)</f>
        <v>650292429</v>
      </c>
      <c r="F20" s="418">
        <f>SUM(F18:F19)</f>
        <v>71448531</v>
      </c>
      <c r="G20" s="418">
        <v>148341884.80000001</v>
      </c>
      <c r="H20" s="418">
        <v>224075098.80000001</v>
      </c>
      <c r="I20" s="418">
        <f t="shared" ref="I20:J20" si="1">SUM(I18:I19)</f>
        <v>313765222.80000001</v>
      </c>
      <c r="J20" s="418">
        <f t="shared" si="1"/>
        <v>257022752.80000001</v>
      </c>
    </row>
    <row r="21" spans="1:10">
      <c r="B21" s="413" t="s">
        <v>122</v>
      </c>
      <c r="D21" s="418"/>
      <c r="E21" s="419"/>
      <c r="F21" s="418"/>
      <c r="G21" s="418"/>
      <c r="H21" s="418"/>
      <c r="J21" s="418"/>
    </row>
    <row r="22" spans="1:10">
      <c r="C22" s="309" t="s">
        <v>786</v>
      </c>
      <c r="D22" s="418">
        <v>1054400000</v>
      </c>
      <c r="E22" s="418">
        <v>1047520000</v>
      </c>
      <c r="F22" s="418">
        <v>1662500000</v>
      </c>
      <c r="G22" s="418">
        <v>1624750000</v>
      </c>
      <c r="H22" s="418">
        <v>1631375000</v>
      </c>
      <c r="I22" s="418">
        <v>1695375000</v>
      </c>
      <c r="J22" s="418">
        <v>1679500000</v>
      </c>
    </row>
    <row r="23" spans="1:10">
      <c r="C23" s="309" t="s">
        <v>787</v>
      </c>
      <c r="D23" s="422">
        <v>2500000000</v>
      </c>
      <c r="E23" s="422">
        <v>2500000000</v>
      </c>
      <c r="F23" s="422">
        <v>2500000000</v>
      </c>
      <c r="G23" s="422">
        <v>1000000000</v>
      </c>
      <c r="H23" s="422">
        <v>1000000000</v>
      </c>
      <c r="I23" s="422">
        <v>1000000000</v>
      </c>
      <c r="J23" s="422">
        <v>1000000000</v>
      </c>
    </row>
    <row r="24" spans="1:10">
      <c r="A24" s="417"/>
      <c r="C24" s="341" t="s">
        <v>939</v>
      </c>
      <c r="D24" s="418">
        <f>D22+D23+D20+D16+D8</f>
        <v>4843259156.4399996</v>
      </c>
      <c r="E24" s="418">
        <f>E22+E23+E20+E16+E8</f>
        <v>4537958488.4399996</v>
      </c>
      <c r="F24" s="418">
        <f>F22+F23+F20+F16+F8</f>
        <v>4777125467.4399996</v>
      </c>
      <c r="G24" s="418">
        <v>3616945683.2300005</v>
      </c>
      <c r="H24" s="418">
        <v>3417902618.23</v>
      </c>
      <c r="I24" s="418">
        <f t="shared" ref="I24:J24" si="2">I22+I23+I20+I16+I8</f>
        <v>3481143613.9300003</v>
      </c>
      <c r="J24" s="418">
        <f t="shared" si="2"/>
        <v>4529319601.9300003</v>
      </c>
    </row>
    <row r="25" spans="1:10">
      <c r="A25" s="415" t="s">
        <v>746</v>
      </c>
      <c r="E25" s="420"/>
      <c r="F25" s="418"/>
      <c r="G25" s="418"/>
      <c r="H25" s="418"/>
      <c r="I25" s="418"/>
      <c r="J25" s="418"/>
    </row>
    <row r="26" spans="1:10">
      <c r="A26" s="415" t="s">
        <v>747</v>
      </c>
      <c r="D26" s="418"/>
      <c r="E26" s="420"/>
      <c r="F26" s="418"/>
      <c r="G26" s="418"/>
      <c r="H26" s="418"/>
      <c r="I26" s="418"/>
      <c r="J26" s="418"/>
    </row>
    <row r="27" spans="1:10">
      <c r="C27" s="413" t="s">
        <v>783</v>
      </c>
      <c r="D27" s="418">
        <v>1914440525.0900002</v>
      </c>
      <c r="E27" s="420">
        <v>1982020012.0900002</v>
      </c>
      <c r="F27" s="418">
        <v>1986239753.0900002</v>
      </c>
      <c r="G27" s="418">
        <v>1933120426.0900002</v>
      </c>
      <c r="H27" s="418">
        <v>2166113998.0900002</v>
      </c>
      <c r="I27" s="418">
        <v>2097000179.0900002</v>
      </c>
      <c r="J27" s="418">
        <v>2268288352.0900002</v>
      </c>
    </row>
    <row r="28" spans="1:10">
      <c r="C28" s="413" t="s">
        <v>1108</v>
      </c>
      <c r="D28" s="418"/>
      <c r="E28" s="420"/>
      <c r="F28" s="418">
        <v>81637479</v>
      </c>
      <c r="G28" s="418">
        <v>73026035</v>
      </c>
      <c r="H28" s="418">
        <v>75986860</v>
      </c>
      <c r="I28" s="418">
        <v>76747861</v>
      </c>
      <c r="J28" s="418">
        <v>76214233</v>
      </c>
    </row>
    <row r="29" spans="1:10">
      <c r="C29" s="423" t="s">
        <v>1109</v>
      </c>
      <c r="D29" s="418"/>
      <c r="E29" s="420"/>
      <c r="F29" s="418"/>
      <c r="G29" s="418"/>
      <c r="H29" s="418"/>
      <c r="I29" s="418"/>
      <c r="J29" s="418"/>
    </row>
    <row r="30" spans="1:10">
      <c r="A30" s="415" t="s">
        <v>757</v>
      </c>
      <c r="D30" s="418">
        <v>1507361086</v>
      </c>
      <c r="E30" s="420">
        <v>1467101189</v>
      </c>
      <c r="F30" s="418">
        <v>1148460002</v>
      </c>
      <c r="G30" s="418">
        <v>1148460002</v>
      </c>
      <c r="H30" s="418">
        <v>1054520242</v>
      </c>
      <c r="I30" s="418">
        <v>1007550362</v>
      </c>
      <c r="J30" s="418">
        <v>0</v>
      </c>
    </row>
    <row r="31" spans="1:10">
      <c r="D31" s="849"/>
      <c r="E31" s="1000"/>
      <c r="F31" s="1000"/>
      <c r="G31" s="1000"/>
      <c r="H31" s="1000"/>
      <c r="I31" s="1000"/>
      <c r="J31" s="418"/>
    </row>
    <row r="32" spans="1:10">
      <c r="A32" s="415" t="s">
        <v>797</v>
      </c>
      <c r="D32" s="418"/>
      <c r="E32" s="424"/>
      <c r="F32" s="430"/>
      <c r="G32" s="430"/>
      <c r="H32" s="430"/>
      <c r="I32" s="430"/>
      <c r="J32" s="418"/>
    </row>
    <row r="33" spans="1:10">
      <c r="B33" s="425" t="s">
        <v>788</v>
      </c>
      <c r="D33" s="418"/>
      <c r="E33" s="426"/>
      <c r="F33" s="430"/>
      <c r="G33" s="430"/>
      <c r="H33" s="430"/>
      <c r="I33" s="430"/>
      <c r="J33" s="418"/>
    </row>
    <row r="34" spans="1:10">
      <c r="C34" s="427" t="s">
        <v>789</v>
      </c>
      <c r="E34" s="430"/>
      <c r="F34" s="418">
        <v>7592145000</v>
      </c>
      <c r="G34" s="418">
        <v>7592145000</v>
      </c>
      <c r="H34" s="418">
        <v>7250925000</v>
      </c>
      <c r="I34" s="430">
        <v>5032995000</v>
      </c>
      <c r="J34" s="418">
        <v>5246257500</v>
      </c>
    </row>
    <row r="35" spans="1:10">
      <c r="C35" s="427" t="s">
        <v>790</v>
      </c>
      <c r="E35" s="430"/>
      <c r="F35" s="418">
        <v>1901632500</v>
      </c>
      <c r="G35" s="418">
        <v>2027070000</v>
      </c>
      <c r="H35" s="418">
        <v>2107350000</v>
      </c>
      <c r="I35" s="430">
        <v>1741072500</v>
      </c>
      <c r="J35" s="418">
        <v>1761142500</v>
      </c>
    </row>
    <row r="36" spans="1:10">
      <c r="B36" s="428" t="s">
        <v>791</v>
      </c>
      <c r="E36" s="426"/>
      <c r="F36" s="418"/>
      <c r="G36" s="418"/>
      <c r="H36" s="418"/>
      <c r="I36" s="430"/>
      <c r="J36" s="418"/>
    </row>
    <row r="37" spans="1:10">
      <c r="C37" s="429" t="s">
        <v>792</v>
      </c>
      <c r="E37" s="426"/>
      <c r="F37" s="418">
        <v>5184</v>
      </c>
      <c r="G37" s="418">
        <v>4779</v>
      </c>
      <c r="H37" s="418">
        <v>4698</v>
      </c>
      <c r="I37" s="430">
        <v>4617</v>
      </c>
      <c r="J37" s="418">
        <v>4293</v>
      </c>
    </row>
    <row r="38" spans="1:10">
      <c r="C38" s="429" t="s">
        <v>793</v>
      </c>
      <c r="E38" s="426"/>
      <c r="F38" s="418">
        <v>165518470</v>
      </c>
      <c r="G38" s="418">
        <v>156149500</v>
      </c>
      <c r="H38" s="418">
        <v>156149500</v>
      </c>
      <c r="I38" s="430">
        <v>156149500</v>
      </c>
      <c r="J38" s="418">
        <v>12656149500</v>
      </c>
    </row>
    <row r="39" spans="1:10">
      <c r="C39" s="429" t="s">
        <v>794</v>
      </c>
      <c r="E39" s="426"/>
      <c r="F39" s="418">
        <v>550849500</v>
      </c>
      <c r="G39" s="418">
        <v>325891800</v>
      </c>
      <c r="H39" s="418">
        <v>649804500</v>
      </c>
      <c r="I39" s="430">
        <v>679491000</v>
      </c>
      <c r="J39" s="418">
        <v>689386500</v>
      </c>
    </row>
    <row r="40" spans="1:10">
      <c r="C40" s="429" t="s">
        <v>795</v>
      </c>
      <c r="E40" s="426"/>
      <c r="F40" s="418">
        <v>481000000</v>
      </c>
      <c r="G40" s="418">
        <v>503750000</v>
      </c>
      <c r="H40" s="418">
        <v>464750000</v>
      </c>
      <c r="I40" s="430">
        <v>357500000</v>
      </c>
      <c r="J40" s="418">
        <v>507000000</v>
      </c>
    </row>
    <row r="41" spans="1:10">
      <c r="C41" s="429" t="s">
        <v>796</v>
      </c>
      <c r="D41" s="850"/>
      <c r="E41" s="851"/>
      <c r="F41" s="422">
        <v>326800000</v>
      </c>
      <c r="G41" s="422">
        <v>322500000</v>
      </c>
      <c r="H41" s="422">
        <v>283800000</v>
      </c>
      <c r="I41" s="422">
        <v>296700000</v>
      </c>
      <c r="J41" s="422">
        <v>296700000</v>
      </c>
    </row>
    <row r="42" spans="1:10">
      <c r="C42" s="431" t="s">
        <v>944</v>
      </c>
      <c r="D42" s="418">
        <f>SUM(D34:D41)</f>
        <v>0</v>
      </c>
      <c r="E42" s="418">
        <f t="shared" ref="E42:J42" si="3">SUM(E34:E41)</f>
        <v>0</v>
      </c>
      <c r="F42" s="418">
        <f t="shared" si="3"/>
        <v>11017950654</v>
      </c>
      <c r="G42" s="418">
        <v>10927511079</v>
      </c>
      <c r="H42" s="418">
        <v>10912783698</v>
      </c>
      <c r="I42" s="418">
        <f t="shared" si="3"/>
        <v>8263912617</v>
      </c>
      <c r="J42" s="418">
        <f t="shared" si="3"/>
        <v>21156640293</v>
      </c>
    </row>
    <row r="43" spans="1:10">
      <c r="A43" s="415" t="s">
        <v>921</v>
      </c>
      <c r="D43" s="418"/>
      <c r="E43" s="426"/>
      <c r="F43" s="430"/>
      <c r="G43" s="430"/>
      <c r="H43" s="430"/>
      <c r="I43" s="418"/>
      <c r="J43" s="418"/>
    </row>
    <row r="44" spans="1:10">
      <c r="B44" s="309" t="s">
        <v>157</v>
      </c>
      <c r="D44" s="418">
        <v>9226093529</v>
      </c>
      <c r="E44" s="426"/>
      <c r="F44" s="418">
        <f>D44</f>
        <v>9226093529</v>
      </c>
      <c r="G44" s="418">
        <v>10265853292</v>
      </c>
      <c r="H44" s="418">
        <v>10112257075</v>
      </c>
      <c r="I44" s="418">
        <v>10179814268</v>
      </c>
      <c r="J44" s="418">
        <v>1705766794</v>
      </c>
    </row>
    <row r="45" spans="1:10">
      <c r="B45" s="309" t="s">
        <v>159</v>
      </c>
      <c r="D45" s="418"/>
      <c r="E45" s="426"/>
      <c r="F45" s="418"/>
      <c r="G45" s="418"/>
      <c r="H45" s="418"/>
      <c r="I45" s="418"/>
      <c r="J45" s="418">
        <v>2500725944</v>
      </c>
    </row>
    <row r="46" spans="1:10">
      <c r="B46" s="309" t="s">
        <v>160</v>
      </c>
      <c r="D46" s="418"/>
      <c r="E46" s="426"/>
      <c r="F46" s="418"/>
      <c r="G46" s="418"/>
      <c r="H46" s="418"/>
      <c r="I46" s="418"/>
      <c r="J46" s="418"/>
    </row>
    <row r="47" spans="1:10">
      <c r="B47" s="309" t="s">
        <v>161</v>
      </c>
      <c r="D47" s="418"/>
      <c r="E47" s="426"/>
      <c r="F47" s="418"/>
      <c r="G47" s="418"/>
      <c r="H47" s="418"/>
      <c r="I47" s="418"/>
      <c r="J47" s="418"/>
    </row>
    <row r="48" spans="1:10">
      <c r="B48" s="309" t="s">
        <v>163</v>
      </c>
      <c r="D48" s="418">
        <v>279684278</v>
      </c>
      <c r="E48" s="432"/>
      <c r="F48" s="418">
        <f>D48</f>
        <v>279684278</v>
      </c>
      <c r="G48" s="418">
        <v>285584059</v>
      </c>
      <c r="H48" s="418">
        <v>286211253</v>
      </c>
      <c r="I48" s="420">
        <v>286571374</v>
      </c>
      <c r="J48" s="420">
        <v>284214746</v>
      </c>
    </row>
    <row r="49" spans="1:10">
      <c r="B49" s="309" t="s">
        <v>165</v>
      </c>
      <c r="D49" s="418">
        <v>258926991</v>
      </c>
      <c r="E49" s="432"/>
      <c r="F49" s="418">
        <f>D49</f>
        <v>258926991</v>
      </c>
      <c r="G49" s="418">
        <v>259524389</v>
      </c>
      <c r="H49" s="418">
        <v>263727493</v>
      </c>
      <c r="I49" s="420">
        <v>291834486</v>
      </c>
      <c r="J49" s="420">
        <v>285555994</v>
      </c>
    </row>
    <row r="50" spans="1:10">
      <c r="B50" s="309" t="s">
        <v>166</v>
      </c>
      <c r="D50" s="418"/>
      <c r="E50" s="432"/>
      <c r="F50" s="420"/>
      <c r="G50" s="420"/>
      <c r="H50" s="420"/>
      <c r="I50" s="420"/>
      <c r="J50" s="420">
        <v>5000000000</v>
      </c>
    </row>
    <row r="51" spans="1:10">
      <c r="B51" s="309" t="s">
        <v>169</v>
      </c>
      <c r="D51" s="418"/>
      <c r="E51" s="432"/>
      <c r="F51" s="420"/>
      <c r="G51" s="420"/>
      <c r="H51" s="420"/>
      <c r="I51" s="420"/>
      <c r="J51" s="420"/>
    </row>
    <row r="52" spans="1:10">
      <c r="B52" s="309" t="s">
        <v>168</v>
      </c>
      <c r="D52" s="422"/>
      <c r="E52" s="446"/>
      <c r="F52" s="442"/>
      <c r="G52" s="442"/>
      <c r="H52" s="442"/>
      <c r="I52" s="442"/>
      <c r="J52" s="442"/>
    </row>
    <row r="53" spans="1:10">
      <c r="B53" s="309"/>
      <c r="C53" s="433" t="s">
        <v>945</v>
      </c>
      <c r="D53" s="418">
        <f>SUM(D44:D52)</f>
        <v>9764704798</v>
      </c>
      <c r="E53" s="418">
        <f t="shared" ref="E53:J53" si="4">SUM(E44:E52)</f>
        <v>0</v>
      </c>
      <c r="F53" s="418">
        <f t="shared" si="4"/>
        <v>9764704798</v>
      </c>
      <c r="G53" s="418">
        <v>10810961740</v>
      </c>
      <c r="H53" s="418">
        <v>10662195821</v>
      </c>
      <c r="I53" s="418">
        <f t="shared" si="4"/>
        <v>10758220128</v>
      </c>
      <c r="J53" s="418">
        <f t="shared" si="4"/>
        <v>9776263478</v>
      </c>
    </row>
    <row r="54" spans="1:10">
      <c r="A54" s="415" t="s">
        <v>750</v>
      </c>
      <c r="D54" s="418"/>
      <c r="E54" s="432"/>
      <c r="F54" s="420"/>
      <c r="G54" s="420"/>
      <c r="H54" s="420"/>
      <c r="I54" s="420"/>
      <c r="J54" s="420"/>
    </row>
    <row r="55" spans="1:10">
      <c r="B55" s="413" t="s">
        <v>798</v>
      </c>
      <c r="D55" s="418">
        <v>222867375.44</v>
      </c>
      <c r="E55" s="432">
        <v>259829666.44</v>
      </c>
      <c r="F55" s="420">
        <v>299533691.44</v>
      </c>
      <c r="G55" s="420">
        <v>336684551.44</v>
      </c>
      <c r="H55" s="420">
        <v>378732354.44</v>
      </c>
      <c r="I55" s="420">
        <v>419510259.44</v>
      </c>
      <c r="J55" s="420">
        <v>462926911.44</v>
      </c>
    </row>
    <row r="56" spans="1:10">
      <c r="B56" s="413" t="s">
        <v>799</v>
      </c>
      <c r="D56" s="418">
        <v>633807825</v>
      </c>
      <c r="E56" s="432">
        <v>633807825</v>
      </c>
      <c r="F56" s="420">
        <v>633807825</v>
      </c>
      <c r="G56" s="420">
        <v>633807825</v>
      </c>
      <c r="H56" s="420">
        <v>633807825</v>
      </c>
      <c r="I56" s="420">
        <v>633807825</v>
      </c>
      <c r="J56" s="420">
        <v>633807825</v>
      </c>
    </row>
    <row r="57" spans="1:10">
      <c r="B57" s="413" t="s">
        <v>176</v>
      </c>
      <c r="D57" s="422"/>
      <c r="E57" s="446"/>
      <c r="F57" s="442"/>
      <c r="G57" s="442"/>
      <c r="H57" s="442"/>
      <c r="I57" s="442"/>
      <c r="J57" s="442"/>
    </row>
    <row r="58" spans="1:10">
      <c r="C58" s="431" t="s">
        <v>946</v>
      </c>
      <c r="D58" s="430">
        <f>SUM(D55:D57)</f>
        <v>856675200.44000006</v>
      </c>
      <c r="E58" s="432">
        <f>SUM(E55:E57)</f>
        <v>893637491.44000006</v>
      </c>
      <c r="F58" s="841">
        <f>SUM(F55:F57)</f>
        <v>933341516.44000006</v>
      </c>
      <c r="G58" s="841">
        <v>970492376.44000006</v>
      </c>
      <c r="H58" s="841">
        <v>1012540179.4400001</v>
      </c>
      <c r="I58" s="841">
        <f t="shared" ref="I58:J58" si="5">SUM(I55:I57)</f>
        <v>1053318084.4400001</v>
      </c>
      <c r="J58" s="841">
        <f t="shared" si="5"/>
        <v>1096734736.4400001</v>
      </c>
    </row>
    <row r="59" spans="1:10">
      <c r="A59" s="415" t="s">
        <v>751</v>
      </c>
      <c r="D59" s="430"/>
      <c r="E59" s="432"/>
      <c r="F59" s="420"/>
      <c r="G59" s="420"/>
      <c r="H59" s="420"/>
      <c r="I59" s="420"/>
      <c r="J59" s="420"/>
    </row>
    <row r="60" spans="1:10">
      <c r="B60" s="413" t="s">
        <v>922</v>
      </c>
      <c r="D60" s="418">
        <v>19018400</v>
      </c>
      <c r="E60" s="432">
        <v>16641100</v>
      </c>
      <c r="F60" s="420">
        <v>14263800</v>
      </c>
      <c r="G60" s="420">
        <v>34516009</v>
      </c>
      <c r="H60" s="420">
        <v>20823954</v>
      </c>
      <c r="I60" s="1040">
        <v>7131900</v>
      </c>
      <c r="J60" s="420">
        <v>7131900</v>
      </c>
    </row>
    <row r="61" spans="1:10">
      <c r="B61" s="413" t="s">
        <v>923</v>
      </c>
      <c r="D61" s="418">
        <v>23911373.960000001</v>
      </c>
      <c r="E61" s="432">
        <v>50849567.960000001</v>
      </c>
      <c r="F61" s="420">
        <v>46304103</v>
      </c>
      <c r="G61" s="420">
        <v>45720575</v>
      </c>
      <c r="H61" s="420">
        <v>45137047</v>
      </c>
      <c r="I61" s="1040">
        <v>44553519</v>
      </c>
      <c r="J61" s="420">
        <v>67977220.960000008</v>
      </c>
    </row>
    <row r="62" spans="1:10">
      <c r="B62" s="413" t="s">
        <v>924</v>
      </c>
      <c r="D62" s="418">
        <v>0</v>
      </c>
      <c r="E62" s="432"/>
      <c r="F62" s="420"/>
      <c r="G62" s="420"/>
      <c r="H62" s="420"/>
      <c r="I62" s="420"/>
      <c r="J62" s="420">
        <v>9068000</v>
      </c>
    </row>
    <row r="63" spans="1:10">
      <c r="B63" s="413" t="s">
        <v>800</v>
      </c>
      <c r="D63" s="418">
        <v>2901281797</v>
      </c>
      <c r="E63" s="432">
        <v>2844393919</v>
      </c>
      <c r="F63" s="420">
        <v>2787506041</v>
      </c>
      <c r="G63" s="420">
        <v>4872506041</v>
      </c>
      <c r="H63" s="420">
        <v>2673730285</v>
      </c>
      <c r="I63" s="1040">
        <v>2616842407</v>
      </c>
      <c r="J63" s="420">
        <v>2616842407</v>
      </c>
    </row>
    <row r="64" spans="1:10">
      <c r="B64" s="413" t="s">
        <v>1110</v>
      </c>
      <c r="D64" s="418">
        <v>37098899</v>
      </c>
      <c r="E64" s="432">
        <v>91016575</v>
      </c>
      <c r="F64" s="420">
        <v>68822251</v>
      </c>
      <c r="G64" s="420">
        <v>33941775</v>
      </c>
      <c r="H64" s="420">
        <v>18553451</v>
      </c>
      <c r="I64" s="420">
        <v>97233892</v>
      </c>
      <c r="J64" s="420">
        <v>94519543</v>
      </c>
    </row>
    <row r="65" spans="1:10">
      <c r="B65" s="413" t="s">
        <v>1062</v>
      </c>
      <c r="D65" s="418">
        <v>2032688555</v>
      </c>
      <c r="E65" s="432">
        <v>1880246131</v>
      </c>
      <c r="F65" s="420">
        <v>1804953957</v>
      </c>
      <c r="G65" s="420">
        <v>1192046760</v>
      </c>
      <c r="H65" s="420">
        <v>1192046760</v>
      </c>
      <c r="I65" s="1040">
        <v>1192046760</v>
      </c>
      <c r="J65" s="420">
        <v>1192046760</v>
      </c>
    </row>
    <row r="66" spans="1:10">
      <c r="B66" s="413" t="s">
        <v>801</v>
      </c>
      <c r="D66" s="418"/>
      <c r="E66" s="432"/>
      <c r="F66" s="420"/>
      <c r="G66" s="420">
        <v>521012947</v>
      </c>
      <c r="H66" s="420">
        <v>247737349</v>
      </c>
      <c r="I66" s="420">
        <v>126010675</v>
      </c>
      <c r="J66" s="420">
        <v>29376280</v>
      </c>
    </row>
    <row r="67" spans="1:10">
      <c r="B67" s="413" t="s">
        <v>802</v>
      </c>
      <c r="D67" s="422">
        <v>606114649</v>
      </c>
      <c r="E67" s="422">
        <v>605534554</v>
      </c>
      <c r="F67" s="442">
        <v>521519115</v>
      </c>
      <c r="G67" s="442">
        <v>1246195067</v>
      </c>
      <c r="H67" s="442">
        <v>267272097</v>
      </c>
      <c r="I67" s="442">
        <v>193758588</v>
      </c>
      <c r="J67" s="442">
        <v>123682579</v>
      </c>
    </row>
    <row r="68" spans="1:10">
      <c r="C68" s="434" t="s">
        <v>947</v>
      </c>
      <c r="D68" s="418">
        <f>SUM(D60:D67)</f>
        <v>5620113673.96</v>
      </c>
      <c r="E68" s="432">
        <f>SUM(E60:E67)</f>
        <v>5488681846.96</v>
      </c>
      <c r="F68" s="841">
        <f>SUM(F60:F67)</f>
        <v>5243369267</v>
      </c>
      <c r="G68" s="841">
        <v>7945939174</v>
      </c>
      <c r="H68" s="841">
        <v>4465300943</v>
      </c>
      <c r="I68" s="841">
        <f t="shared" ref="I68:J68" si="6">SUM(I60:I67)</f>
        <v>4277577741</v>
      </c>
      <c r="J68" s="841">
        <f t="shared" si="6"/>
        <v>4140644689.96</v>
      </c>
    </row>
    <row r="69" spans="1:10">
      <c r="A69" s="415" t="s">
        <v>752</v>
      </c>
      <c r="D69" s="418">
        <v>1283006617</v>
      </c>
      <c r="E69" s="418">
        <v>1283006617</v>
      </c>
      <c r="F69" s="842">
        <v>1283006617</v>
      </c>
      <c r="G69" s="842">
        <v>1283006617</v>
      </c>
      <c r="H69" s="842">
        <v>1283006617</v>
      </c>
      <c r="I69" s="420">
        <v>1283006617</v>
      </c>
      <c r="J69" s="420">
        <v>0</v>
      </c>
    </row>
    <row r="70" spans="1:10">
      <c r="A70" s="415" t="s">
        <v>753</v>
      </c>
      <c r="D70" s="418">
        <v>1503333480.5029106</v>
      </c>
      <c r="E70" s="418">
        <v>1539597002.5029106</v>
      </c>
      <c r="F70" s="420">
        <v>1501871002.5029106</v>
      </c>
      <c r="G70" s="420">
        <v>591671604.75291061</v>
      </c>
      <c r="H70" s="420">
        <v>1614905104.7529106</v>
      </c>
      <c r="I70" s="420">
        <v>1627986650.5029106</v>
      </c>
      <c r="J70" s="420">
        <v>1595015775.0329108</v>
      </c>
    </row>
    <row r="71" spans="1:10">
      <c r="A71" s="415" t="s">
        <v>756</v>
      </c>
      <c r="D71" s="418"/>
      <c r="E71" s="418"/>
      <c r="F71" s="420"/>
      <c r="G71" s="420"/>
      <c r="H71" s="420"/>
      <c r="I71" s="420"/>
      <c r="J71" s="420"/>
    </row>
    <row r="72" spans="1:10">
      <c r="B72" s="435" t="s">
        <v>805</v>
      </c>
      <c r="D72" s="418"/>
      <c r="E72" s="432"/>
      <c r="F72" s="420"/>
      <c r="G72" s="420"/>
      <c r="H72" s="420"/>
      <c r="I72" s="420"/>
      <c r="J72" s="420"/>
    </row>
    <row r="73" spans="1:10">
      <c r="B73" s="436"/>
      <c r="C73" s="413" t="s">
        <v>807</v>
      </c>
      <c r="D73" s="418">
        <v>316913500</v>
      </c>
      <c r="E73" s="418">
        <v>316913500</v>
      </c>
      <c r="F73" s="424">
        <v>316913500</v>
      </c>
      <c r="G73" s="424">
        <v>316913500</v>
      </c>
      <c r="H73" s="424">
        <v>316913500</v>
      </c>
      <c r="I73" s="420">
        <v>316913500</v>
      </c>
      <c r="J73" s="420">
        <v>316913500</v>
      </c>
    </row>
    <row r="74" spans="1:10">
      <c r="C74" s="435" t="s">
        <v>808</v>
      </c>
      <c r="D74" s="418">
        <v>297535273</v>
      </c>
      <c r="E74" s="418">
        <v>297535273</v>
      </c>
      <c r="F74" s="424">
        <v>1797035273</v>
      </c>
      <c r="G74" s="424">
        <v>1797035273</v>
      </c>
      <c r="H74" s="424">
        <v>1797035273</v>
      </c>
      <c r="I74" s="420">
        <v>1797035273</v>
      </c>
      <c r="J74" s="420">
        <v>1238335273</v>
      </c>
    </row>
    <row r="75" spans="1:10">
      <c r="C75" s="435" t="s">
        <v>809</v>
      </c>
      <c r="D75" s="418">
        <v>85860000</v>
      </c>
      <c r="E75" s="418">
        <v>85860000</v>
      </c>
      <c r="J75" s="420"/>
    </row>
    <row r="76" spans="1:10">
      <c r="C76" s="435" t="s">
        <v>806</v>
      </c>
      <c r="D76" s="418">
        <v>1992600000</v>
      </c>
      <c r="E76" s="418">
        <v>1992600000</v>
      </c>
      <c r="F76" s="424">
        <v>0</v>
      </c>
      <c r="G76" s="424"/>
      <c r="H76" s="424"/>
      <c r="I76" s="420"/>
      <c r="J76" s="420"/>
    </row>
    <row r="77" spans="1:10">
      <c r="C77" s="435" t="s">
        <v>810</v>
      </c>
      <c r="D77" s="422"/>
      <c r="E77" s="446"/>
      <c r="F77" s="839">
        <v>85860000</v>
      </c>
      <c r="G77" s="839">
        <v>85860000</v>
      </c>
      <c r="H77" s="839">
        <v>85860000</v>
      </c>
      <c r="I77" s="442">
        <v>85860000</v>
      </c>
      <c r="J77" s="442">
        <v>85860000</v>
      </c>
    </row>
    <row r="78" spans="1:10">
      <c r="C78" s="437" t="s">
        <v>948</v>
      </c>
      <c r="D78" s="418">
        <f>SUM(D73:D77)</f>
        <v>2692908773</v>
      </c>
      <c r="E78" s="418">
        <f>SUM(E73:E77)</f>
        <v>2692908773</v>
      </c>
      <c r="F78" s="840">
        <f>SUM(F73:F77)</f>
        <v>2199808773</v>
      </c>
      <c r="G78" s="840">
        <v>2199808773</v>
      </c>
      <c r="H78" s="840">
        <v>2199808773</v>
      </c>
      <c r="I78" s="840">
        <f t="shared" ref="I78:J78" si="7">SUM(I73:I77)</f>
        <v>2199808773</v>
      </c>
      <c r="J78" s="840">
        <f t="shared" si="7"/>
        <v>1641108773</v>
      </c>
    </row>
    <row r="79" spans="1:10">
      <c r="C79" s="435"/>
      <c r="D79" s="418"/>
      <c r="E79" s="432"/>
      <c r="F79" s="424"/>
      <c r="G79" s="424"/>
      <c r="H79" s="424"/>
      <c r="I79" s="420"/>
      <c r="J79" s="420"/>
    </row>
    <row r="80" spans="1:10">
      <c r="A80" s="438" t="s">
        <v>754</v>
      </c>
      <c r="B80" s="439"/>
      <c r="C80" s="439"/>
      <c r="D80" s="430"/>
      <c r="E80" s="430"/>
      <c r="F80" s="440"/>
      <c r="G80" s="440"/>
      <c r="H80" s="440"/>
      <c r="I80" s="440"/>
      <c r="J80" s="420"/>
    </row>
    <row r="81" spans="1:11">
      <c r="A81" s="438"/>
      <c r="B81" s="439" t="s">
        <v>803</v>
      </c>
      <c r="C81" s="439"/>
      <c r="D81" s="430">
        <v>6342752256.1999998</v>
      </c>
      <c r="E81" s="430">
        <v>6342752256.1999998</v>
      </c>
      <c r="F81" s="440">
        <v>6342752256.1999998</v>
      </c>
      <c r="G81" s="440">
        <v>6342752256.1999998</v>
      </c>
      <c r="H81" s="440">
        <v>6342752256.1999998</v>
      </c>
      <c r="I81" s="440">
        <v>6342752256.1999998</v>
      </c>
      <c r="J81" s="420">
        <v>6342752256.1999998</v>
      </c>
      <c r="K81" s="418">
        <v>6342752256.1999998</v>
      </c>
    </row>
    <row r="82" spans="1:11">
      <c r="A82" s="438"/>
      <c r="B82" s="441" t="s">
        <v>689</v>
      </c>
      <c r="C82" s="439"/>
      <c r="D82" s="430">
        <v>3107100000</v>
      </c>
      <c r="E82" s="430">
        <v>3107100000</v>
      </c>
      <c r="F82" s="440">
        <v>3107100000</v>
      </c>
      <c r="G82" s="440">
        <v>3107100000</v>
      </c>
      <c r="H82" s="440">
        <v>3107100000</v>
      </c>
      <c r="I82" s="440">
        <v>3107100000</v>
      </c>
      <c r="J82" s="420">
        <v>3107100000</v>
      </c>
      <c r="K82" s="418">
        <v>3107100000</v>
      </c>
    </row>
    <row r="83" spans="1:11">
      <c r="A83" s="438"/>
      <c r="B83" s="441" t="s">
        <v>933</v>
      </c>
      <c r="C83" s="439"/>
      <c r="D83" s="430">
        <v>2147300824.8</v>
      </c>
      <c r="E83" s="430">
        <v>2659877546.8000002</v>
      </c>
      <c r="F83" s="440">
        <v>2667870610.8000002</v>
      </c>
      <c r="G83" s="440">
        <v>2676620610.8000002</v>
      </c>
      <c r="H83" s="440">
        <v>2676620610.8000002</v>
      </c>
      <c r="I83" s="440">
        <v>2736142110.8000002</v>
      </c>
      <c r="J83" s="420">
        <v>2747988612.8000002</v>
      </c>
      <c r="K83" s="418">
        <v>2747988612.8000002</v>
      </c>
    </row>
    <row r="84" spans="1:11">
      <c r="A84" s="438"/>
      <c r="B84" s="441" t="s">
        <v>934</v>
      </c>
      <c r="C84" s="439"/>
      <c r="D84" s="430">
        <v>875256572.00000024</v>
      </c>
      <c r="E84" s="430">
        <v>362679850</v>
      </c>
      <c r="F84" s="440">
        <v>362679850</v>
      </c>
      <c r="G84" s="440">
        <v>362679850</v>
      </c>
      <c r="H84" s="440">
        <v>362679850</v>
      </c>
      <c r="I84" s="440">
        <v>362679850</v>
      </c>
      <c r="J84" s="420">
        <v>362679850</v>
      </c>
      <c r="K84" s="418">
        <v>362679850</v>
      </c>
    </row>
    <row r="85" spans="1:11">
      <c r="A85" s="438"/>
      <c r="B85" s="441" t="s">
        <v>804</v>
      </c>
      <c r="C85" s="439"/>
      <c r="D85" s="422">
        <v>600000000</v>
      </c>
      <c r="E85" s="422">
        <v>1516900000</v>
      </c>
      <c r="F85" s="442">
        <v>1516900000</v>
      </c>
      <c r="G85" s="442">
        <v>1516900000</v>
      </c>
      <c r="H85" s="442">
        <v>1516900000</v>
      </c>
      <c r="I85" s="442">
        <v>1516900000</v>
      </c>
      <c r="J85" s="442">
        <v>1516900000</v>
      </c>
      <c r="K85" s="418">
        <v>1516900000</v>
      </c>
    </row>
    <row r="86" spans="1:11">
      <c r="A86" s="443"/>
      <c r="B86" s="441"/>
      <c r="C86" s="444" t="s">
        <v>943</v>
      </c>
      <c r="D86" s="430">
        <f>SUM(D81:D85)</f>
        <v>13072409653</v>
      </c>
      <c r="E86" s="430">
        <f t="shared" ref="E86:F86" si="8">SUM(E81:E85)</f>
        <v>13989309653</v>
      </c>
      <c r="F86" s="440">
        <f t="shared" si="8"/>
        <v>13997302717</v>
      </c>
      <c r="G86" s="440">
        <v>14006052717</v>
      </c>
      <c r="H86" s="440">
        <v>14006052717</v>
      </c>
      <c r="I86" s="440">
        <f>SUM(I81:I85)</f>
        <v>14065574217</v>
      </c>
      <c r="J86" s="420">
        <f>SUM(J81:J85)</f>
        <v>14077420719</v>
      </c>
      <c r="K86" s="418">
        <f>SUM(K81:K85)</f>
        <v>14077420719</v>
      </c>
    </row>
    <row r="87" spans="1:11">
      <c r="A87" s="443"/>
      <c r="B87" s="439" t="s">
        <v>811</v>
      </c>
      <c r="C87" s="439"/>
      <c r="D87" s="430">
        <v>2874237258.4499998</v>
      </c>
      <c r="E87" s="445">
        <v>2965568918.4499998</v>
      </c>
      <c r="F87" s="440">
        <v>3056900578.4499998</v>
      </c>
      <c r="G87" s="440">
        <v>3148232238.4499998</v>
      </c>
      <c r="H87" s="440">
        <v>3237662665.4499998</v>
      </c>
      <c r="I87" s="440">
        <v>3327093092.4499998</v>
      </c>
      <c r="J87" s="420">
        <v>3416523519.4499998</v>
      </c>
      <c r="K87" s="418">
        <v>3416523519.4499998</v>
      </c>
    </row>
    <row r="88" spans="1:11">
      <c r="A88" s="443"/>
      <c r="B88" s="441" t="s">
        <v>812</v>
      </c>
      <c r="C88" s="439"/>
      <c r="D88" s="430">
        <v>2170034164.9299998</v>
      </c>
      <c r="E88" s="445">
        <v>2210426664.9299998</v>
      </c>
      <c r="F88" s="440">
        <v>2250819164.9299998</v>
      </c>
      <c r="G88" s="440">
        <v>2291211664.9299998</v>
      </c>
      <c r="H88" s="440">
        <v>2331604164.9299998</v>
      </c>
      <c r="I88" s="440">
        <v>2371996664.9299998</v>
      </c>
      <c r="J88" s="420">
        <v>2412156664.9299998</v>
      </c>
      <c r="K88" s="418">
        <v>2412156664.9299998</v>
      </c>
    </row>
    <row r="89" spans="1:11">
      <c r="A89" s="443"/>
      <c r="B89" s="441" t="s">
        <v>940</v>
      </c>
      <c r="C89" s="439"/>
      <c r="D89" s="430">
        <v>1555668189.6800001</v>
      </c>
      <c r="E89" s="445">
        <v>1940682687.1800003</v>
      </c>
      <c r="F89" s="440">
        <v>1969575385.1800003</v>
      </c>
      <c r="G89" s="440">
        <v>1998613916.1800003</v>
      </c>
      <c r="H89" s="440">
        <v>2027212614.1800003</v>
      </c>
      <c r="I89" s="440">
        <v>2056803337.1800001</v>
      </c>
      <c r="J89" s="420">
        <v>2086319893.0600002</v>
      </c>
      <c r="K89" s="418">
        <v>2086319893.0600002</v>
      </c>
    </row>
    <row r="90" spans="1:11">
      <c r="A90" s="443"/>
      <c r="B90" s="441" t="s">
        <v>941</v>
      </c>
      <c r="C90" s="439"/>
      <c r="D90" s="430">
        <v>705615831.50999999</v>
      </c>
      <c r="E90" s="445">
        <v>350182418.00999975</v>
      </c>
      <c r="F90" s="440">
        <v>350995772.00999975</v>
      </c>
      <c r="G90" s="440">
        <v>351809126.00999975</v>
      </c>
      <c r="H90" s="440">
        <v>352622480.00999975</v>
      </c>
      <c r="I90" s="440">
        <v>353435834.00999999</v>
      </c>
      <c r="J90" s="420">
        <v>354249188.00999999</v>
      </c>
      <c r="K90" s="418">
        <v>354249188.00999999</v>
      </c>
    </row>
    <row r="91" spans="1:11">
      <c r="A91" s="443"/>
      <c r="B91" s="441" t="s">
        <v>813</v>
      </c>
      <c r="C91" s="439"/>
      <c r="D91" s="422">
        <v>70000000</v>
      </c>
      <c r="E91" s="446">
        <v>95281667</v>
      </c>
      <c r="F91" s="442">
        <v>120563334</v>
      </c>
      <c r="G91" s="442">
        <v>145845001</v>
      </c>
      <c r="H91" s="442">
        <v>171126668</v>
      </c>
      <c r="I91" s="442">
        <v>196408335</v>
      </c>
      <c r="J91" s="442">
        <v>221690002</v>
      </c>
      <c r="K91" s="418">
        <v>221690002</v>
      </c>
    </row>
    <row r="92" spans="1:11">
      <c r="A92" s="443"/>
      <c r="B92" s="441"/>
      <c r="C92" s="444" t="s">
        <v>942</v>
      </c>
      <c r="D92" s="430">
        <f>SUM(D87:D91)</f>
        <v>7375555444.5699997</v>
      </c>
      <c r="E92" s="430">
        <f t="shared" ref="E92:F92" si="9">SUM(E87:E91)</f>
        <v>7562142355.5699997</v>
      </c>
      <c r="F92" s="430">
        <f t="shared" si="9"/>
        <v>7748854234.5699997</v>
      </c>
      <c r="G92" s="430">
        <v>7935711946.5699997</v>
      </c>
      <c r="H92" s="430">
        <v>8120228592.5699997</v>
      </c>
      <c r="I92" s="430">
        <f>SUM(I87:I91)</f>
        <v>8305737263.5699997</v>
      </c>
      <c r="J92" s="420">
        <f>SUM(J87:J91)</f>
        <v>8490939267.4499998</v>
      </c>
      <c r="K92" s="418">
        <f>SUM(K87:K91)</f>
        <v>8490939267.4499998</v>
      </c>
    </row>
    <row r="93" spans="1:11" ht="13.5" thickBot="1">
      <c r="A93" s="443"/>
      <c r="B93" s="441"/>
      <c r="C93" s="447" t="s">
        <v>814</v>
      </c>
      <c r="D93" s="448">
        <f>D86-D92</f>
        <v>5696854208.4300003</v>
      </c>
      <c r="E93" s="448">
        <f>E86-E92</f>
        <v>6427167297.4300003</v>
      </c>
      <c r="F93" s="448">
        <f>F86-F92</f>
        <v>6248448482.4300003</v>
      </c>
      <c r="G93" s="448">
        <v>6070340770.4300003</v>
      </c>
      <c r="H93" s="448">
        <v>5885824124.4300003</v>
      </c>
      <c r="I93" s="448">
        <f>I86-I92</f>
        <v>5759836953.4300003</v>
      </c>
      <c r="J93" s="449">
        <f>J86-J92</f>
        <v>5586481451.5500002</v>
      </c>
      <c r="K93" s="418">
        <f>K86-K92</f>
        <v>5586481451.5500002</v>
      </c>
    </row>
    <row r="94" spans="1:11">
      <c r="A94" s="443"/>
      <c r="B94" s="441"/>
      <c r="C94" s="439"/>
      <c r="D94" s="430"/>
      <c r="E94" s="445"/>
      <c r="F94" s="440"/>
      <c r="G94" s="440"/>
      <c r="H94" s="440"/>
      <c r="I94" s="440"/>
      <c r="J94" s="420"/>
      <c r="K94" s="418"/>
    </row>
    <row r="95" spans="1:11">
      <c r="A95" s="443" t="s">
        <v>755</v>
      </c>
      <c r="B95" s="439"/>
      <c r="C95" s="439"/>
      <c r="D95" s="430"/>
      <c r="E95" s="445"/>
      <c r="F95" s="440"/>
      <c r="G95" s="440"/>
      <c r="H95" s="440"/>
      <c r="I95" s="440"/>
      <c r="J95" s="420"/>
      <c r="K95" s="418"/>
    </row>
    <row r="96" spans="1:11">
      <c r="A96" s="443"/>
      <c r="B96" s="439" t="s">
        <v>253</v>
      </c>
      <c r="C96" s="439"/>
      <c r="D96" s="430">
        <v>909338500</v>
      </c>
      <c r="E96" s="430">
        <v>909338500</v>
      </c>
      <c r="F96" s="440">
        <v>909338500</v>
      </c>
      <c r="G96" s="440">
        <v>909338500</v>
      </c>
      <c r="H96" s="440">
        <v>909338500</v>
      </c>
      <c r="I96" s="440">
        <v>909338500</v>
      </c>
      <c r="J96" s="440">
        <v>909338500</v>
      </c>
      <c r="K96" s="418">
        <v>909338500</v>
      </c>
    </row>
    <row r="97" spans="1:11">
      <c r="A97" s="443"/>
      <c r="B97" s="439" t="s">
        <v>430</v>
      </c>
      <c r="C97" s="439"/>
      <c r="D97" s="422">
        <v>390247318</v>
      </c>
      <c r="E97" s="446">
        <v>405402960</v>
      </c>
      <c r="F97" s="442">
        <v>420558602</v>
      </c>
      <c r="G97" s="442">
        <v>435714244</v>
      </c>
      <c r="H97" s="442">
        <v>450869886</v>
      </c>
      <c r="I97" s="442">
        <v>466025528</v>
      </c>
      <c r="J97" s="442">
        <v>481181169.66999996</v>
      </c>
      <c r="K97" s="418">
        <v>481181169.66999996</v>
      </c>
    </row>
    <row r="98" spans="1:11">
      <c r="A98" s="443"/>
      <c r="B98" s="439"/>
      <c r="C98" s="444" t="s">
        <v>815</v>
      </c>
      <c r="D98" s="430">
        <f>D96-D97</f>
        <v>519091182</v>
      </c>
      <c r="E98" s="430">
        <f>E96-E97</f>
        <v>503935540</v>
      </c>
      <c r="F98" s="430">
        <f t="shared" ref="F98:K98" si="10">F96-F97</f>
        <v>488779898</v>
      </c>
      <c r="G98" s="430">
        <v>473624256</v>
      </c>
      <c r="H98" s="430">
        <v>458468614</v>
      </c>
      <c r="I98" s="430">
        <f t="shared" si="10"/>
        <v>443312972</v>
      </c>
      <c r="J98" s="430">
        <f t="shared" si="10"/>
        <v>428157330.33000004</v>
      </c>
      <c r="K98" s="418">
        <f t="shared" si="10"/>
        <v>428157330.33000004</v>
      </c>
    </row>
    <row r="99" spans="1:11">
      <c r="A99" s="443"/>
      <c r="B99" s="439"/>
      <c r="C99" s="439"/>
      <c r="D99" s="430"/>
      <c r="E99" s="430"/>
      <c r="F99" s="430"/>
      <c r="G99" s="430"/>
      <c r="H99" s="430"/>
      <c r="I99" s="430"/>
      <c r="J99" s="418"/>
      <c r="K99" s="418"/>
    </row>
    <row r="100" spans="1:11" ht="13.5" thickBot="1">
      <c r="A100" s="450" t="s">
        <v>1111</v>
      </c>
      <c r="B100" s="451"/>
      <c r="C100" s="451"/>
      <c r="D100" s="448">
        <f>D24+D27+D30+D42+D53+D58+D68+D69+D70+D78+D93+D98</f>
        <v>36201748700.862907</v>
      </c>
      <c r="E100" s="448">
        <f>E24+E27+E30+D42+D53+E58+E68+E69+E70+E78+E93+E98</f>
        <v>36580719055.862907</v>
      </c>
      <c r="F100" s="448">
        <f>F24+F27+F28+F30+D42+D53+F58+F68+F69+F70+F78+F93+F98</f>
        <v>35656793055.902908</v>
      </c>
      <c r="G100" s="448">
        <v>48044908536.942909</v>
      </c>
      <c r="H100" s="448">
        <v>45209357592.942909</v>
      </c>
      <c r="I100" s="448">
        <f>I24+I27+I28+I30+I42+I53+I58+I68+I69+I70+I78+I93+I98</f>
        <v>42329422552.392906</v>
      </c>
      <c r="J100" s="448">
        <f>J24+J27+J28+J30+J42+J53+J58+J68+J69+J70+J78+J93+J98</f>
        <v>52294868714.332924</v>
      </c>
      <c r="K100" s="418">
        <f>K24+K27+K28+K30+K42+K53+K58+K68+K69+K70+K78+K93+K98</f>
        <v>6014638781.8800001</v>
      </c>
    </row>
    <row r="101" spans="1:11">
      <c r="D101" s="452"/>
      <c r="E101" s="418">
        <v>0</v>
      </c>
      <c r="F101" s="418">
        <v>0</v>
      </c>
      <c r="G101" s="418"/>
      <c r="H101" s="418"/>
      <c r="I101" s="418"/>
      <c r="J101" s="418"/>
    </row>
    <row r="102" spans="1:11">
      <c r="A102" s="415" t="s">
        <v>758</v>
      </c>
      <c r="D102" s="418"/>
      <c r="E102" s="418"/>
      <c r="F102" s="418"/>
      <c r="G102" s="418"/>
      <c r="H102" s="418"/>
      <c r="I102" s="418"/>
      <c r="J102" s="418"/>
    </row>
    <row r="103" spans="1:11">
      <c r="B103" s="413" t="s">
        <v>818</v>
      </c>
      <c r="D103" s="418"/>
      <c r="E103" s="418"/>
      <c r="F103" s="432"/>
      <c r="G103" s="432"/>
      <c r="H103" s="432"/>
      <c r="I103" s="420"/>
      <c r="J103" s="418"/>
    </row>
    <row r="104" spans="1:11">
      <c r="B104" s="435" t="s">
        <v>819</v>
      </c>
      <c r="D104" s="418">
        <v>1035829205</v>
      </c>
      <c r="E104" s="418">
        <v>799898809</v>
      </c>
      <c r="F104" s="432">
        <v>875470782</v>
      </c>
      <c r="G104" s="432">
        <v>155105879</v>
      </c>
      <c r="H104" s="432">
        <v>807822675</v>
      </c>
      <c r="I104" s="420">
        <v>887356581</v>
      </c>
      <c r="J104" s="418">
        <v>604575785</v>
      </c>
    </row>
    <row r="105" spans="1:11">
      <c r="B105" s="435" t="s">
        <v>298</v>
      </c>
      <c r="D105" s="418">
        <v>940919412</v>
      </c>
      <c r="E105" s="418">
        <v>940919412</v>
      </c>
      <c r="F105" s="432">
        <v>680811316</v>
      </c>
      <c r="G105" s="432">
        <v>680811316</v>
      </c>
      <c r="H105" s="432">
        <v>680811316</v>
      </c>
      <c r="I105" s="420">
        <v>680811316</v>
      </c>
      <c r="J105" s="420">
        <v>680811316</v>
      </c>
    </row>
    <row r="106" spans="1:11">
      <c r="B106" s="413" t="s">
        <v>820</v>
      </c>
      <c r="D106" s="418">
        <v>2635000</v>
      </c>
      <c r="E106" s="418">
        <v>2635000</v>
      </c>
      <c r="F106" s="432">
        <v>2635000</v>
      </c>
      <c r="G106" s="432">
        <v>2635000</v>
      </c>
      <c r="H106" s="432">
        <v>2635000</v>
      </c>
      <c r="I106" s="420">
        <v>2635000</v>
      </c>
      <c r="J106" s="418">
        <v>5002635000</v>
      </c>
    </row>
    <row r="107" spans="1:11">
      <c r="B107" s="413" t="s">
        <v>925</v>
      </c>
      <c r="D107" s="422">
        <v>442000599</v>
      </c>
      <c r="E107" s="422">
        <v>442000599</v>
      </c>
      <c r="F107" s="446">
        <v>442000599</v>
      </c>
      <c r="G107" s="446">
        <v>442000599</v>
      </c>
      <c r="H107" s="446">
        <v>442000599</v>
      </c>
      <c r="I107" s="442">
        <v>442000599</v>
      </c>
      <c r="J107" s="422">
        <v>442000599</v>
      </c>
    </row>
    <row r="108" spans="1:11">
      <c r="C108" s="434" t="s">
        <v>949</v>
      </c>
      <c r="D108" s="418">
        <f>SUM(D103:D107)</f>
        <v>2421384216</v>
      </c>
      <c r="E108" s="418">
        <f t="shared" ref="E108:J108" si="11">SUM(E103:E107)</f>
        <v>2185453820</v>
      </c>
      <c r="F108" s="418">
        <f t="shared" si="11"/>
        <v>2000917697</v>
      </c>
      <c r="G108" s="418">
        <v>1280552794</v>
      </c>
      <c r="H108" s="418">
        <v>1933269590</v>
      </c>
      <c r="I108" s="418">
        <f t="shared" si="11"/>
        <v>2012803496</v>
      </c>
      <c r="J108" s="418">
        <f t="shared" si="11"/>
        <v>6730022700</v>
      </c>
    </row>
    <row r="109" spans="1:11">
      <c r="A109" s="415" t="s">
        <v>759</v>
      </c>
      <c r="D109" s="418"/>
      <c r="E109" s="418"/>
      <c r="F109" s="432"/>
      <c r="G109" s="432"/>
      <c r="H109" s="432"/>
      <c r="I109" s="420"/>
      <c r="J109" s="418"/>
    </row>
    <row r="110" spans="1:11">
      <c r="B110" s="413" t="s">
        <v>822</v>
      </c>
      <c r="D110" s="418">
        <v>228397599</v>
      </c>
      <c r="E110" s="432">
        <v>125334071</v>
      </c>
      <c r="F110" s="420">
        <v>124448183</v>
      </c>
      <c r="G110" s="420">
        <v>120754074</v>
      </c>
      <c r="H110" s="420">
        <v>140308471</v>
      </c>
      <c r="I110" s="420">
        <v>120552261</v>
      </c>
      <c r="J110" s="418">
        <v>182446168</v>
      </c>
    </row>
    <row r="111" spans="1:11">
      <c r="B111" s="413" t="s">
        <v>824</v>
      </c>
      <c r="D111" s="418">
        <v>3865985.98</v>
      </c>
      <c r="E111" s="432">
        <v>1392318.98</v>
      </c>
      <c r="F111" s="420">
        <v>1764733.98</v>
      </c>
      <c r="G111" s="420">
        <v>5010820.9800000004</v>
      </c>
      <c r="H111" s="420">
        <v>1635625.98</v>
      </c>
      <c r="I111" s="420">
        <v>4825458.9800000004</v>
      </c>
      <c r="J111" s="418">
        <v>1458293.98</v>
      </c>
    </row>
    <row r="112" spans="1:11">
      <c r="B112" s="413" t="s">
        <v>825</v>
      </c>
      <c r="D112" s="418">
        <v>64526943</v>
      </c>
      <c r="E112" s="432"/>
      <c r="F112" s="432">
        <v>6897975</v>
      </c>
      <c r="G112" s="432"/>
      <c r="H112" s="432"/>
      <c r="I112" s="420"/>
      <c r="J112" s="418">
        <v>7420284</v>
      </c>
    </row>
    <row r="113" spans="1:10">
      <c r="B113" s="413" t="s">
        <v>926</v>
      </c>
      <c r="D113" s="418">
        <v>36954718</v>
      </c>
      <c r="E113" s="432">
        <v>68376350</v>
      </c>
      <c r="F113" s="432">
        <v>27089500</v>
      </c>
      <c r="G113" s="432">
        <v>31389884</v>
      </c>
      <c r="H113" s="432">
        <v>27089500</v>
      </c>
      <c r="I113" s="420">
        <v>37960397</v>
      </c>
      <c r="J113" s="418">
        <v>31389884</v>
      </c>
    </row>
    <row r="114" spans="1:10">
      <c r="B114" s="413" t="s">
        <v>927</v>
      </c>
      <c r="E114" s="432"/>
      <c r="F114" s="432"/>
      <c r="G114" s="432"/>
      <c r="H114" s="432"/>
      <c r="I114" s="420"/>
      <c r="J114" s="418"/>
    </row>
    <row r="115" spans="1:10">
      <c r="B115" s="413" t="s">
        <v>928</v>
      </c>
      <c r="D115" s="418"/>
      <c r="E115" s="432"/>
      <c r="F115" s="432"/>
      <c r="G115" s="432"/>
      <c r="H115" s="432"/>
      <c r="I115" s="420"/>
      <c r="J115" s="418"/>
    </row>
    <row r="116" spans="1:10">
      <c r="B116" s="413" t="s">
        <v>823</v>
      </c>
      <c r="D116" s="422">
        <v>113400736.2</v>
      </c>
      <c r="E116" s="446">
        <v>116121677.2</v>
      </c>
      <c r="F116" s="446">
        <v>165795193.19999999</v>
      </c>
      <c r="G116" s="446">
        <v>123571469.2</v>
      </c>
      <c r="H116" s="446">
        <v>176013132.19999999</v>
      </c>
      <c r="I116" s="442">
        <v>142736289.19999999</v>
      </c>
      <c r="J116" s="422">
        <v>177299958.19999999</v>
      </c>
    </row>
    <row r="117" spans="1:10">
      <c r="C117" s="434" t="s">
        <v>950</v>
      </c>
      <c r="D117" s="418">
        <f t="shared" ref="D117:J117" si="12">SUM(D110:D116)</f>
        <v>447145982.18000001</v>
      </c>
      <c r="E117" s="418">
        <f t="shared" si="12"/>
        <v>311224417.18000001</v>
      </c>
      <c r="F117" s="418">
        <f t="shared" si="12"/>
        <v>325995585.18000001</v>
      </c>
      <c r="G117" s="418">
        <v>280726248.18000001</v>
      </c>
      <c r="H117" s="418">
        <v>345046729.17999995</v>
      </c>
      <c r="I117" s="418">
        <f t="shared" si="12"/>
        <v>306074406.18000001</v>
      </c>
      <c r="J117" s="418">
        <f t="shared" si="12"/>
        <v>400014588.17999995</v>
      </c>
    </row>
    <row r="118" spans="1:10">
      <c r="A118" s="415" t="s">
        <v>821</v>
      </c>
      <c r="D118" s="418"/>
      <c r="E118" s="432"/>
      <c r="F118" s="432"/>
      <c r="G118" s="432"/>
      <c r="H118" s="432"/>
      <c r="I118" s="420"/>
      <c r="J118" s="418"/>
    </row>
    <row r="119" spans="1:10">
      <c r="B119" s="307" t="s">
        <v>929</v>
      </c>
      <c r="D119" s="418">
        <v>348253069</v>
      </c>
      <c r="E119" s="432">
        <v>338271471</v>
      </c>
      <c r="F119" s="432">
        <v>328161313</v>
      </c>
      <c r="G119" s="432">
        <v>317920939</v>
      </c>
      <c r="H119" s="432">
        <v>307548672</v>
      </c>
      <c r="I119" s="420">
        <v>297042813</v>
      </c>
      <c r="J119" s="418">
        <v>286401641</v>
      </c>
    </row>
    <row r="120" spans="1:10">
      <c r="B120" s="307" t="s">
        <v>930</v>
      </c>
      <c r="D120" s="418"/>
      <c r="E120" s="432">
        <v>543124000</v>
      </c>
      <c r="F120" s="432">
        <v>530744257</v>
      </c>
      <c r="G120" s="432">
        <v>518205044</v>
      </c>
      <c r="H120" s="432">
        <v>505504307</v>
      </c>
      <c r="I120" s="420">
        <v>492639966</v>
      </c>
      <c r="J120" s="418">
        <v>479609913</v>
      </c>
    </row>
    <row r="121" spans="1:10">
      <c r="B121" s="307" t="s">
        <v>931</v>
      </c>
      <c r="D121" s="422"/>
      <c r="E121" s="446"/>
      <c r="F121" s="446"/>
      <c r="G121" s="446"/>
      <c r="H121" s="446"/>
      <c r="I121" s="442"/>
      <c r="J121" s="422"/>
    </row>
    <row r="122" spans="1:10">
      <c r="B122" s="307"/>
      <c r="C122" s="434" t="s">
        <v>951</v>
      </c>
      <c r="D122" s="418">
        <f>SUM(D119:D121)</f>
        <v>348253069</v>
      </c>
      <c r="E122" s="418">
        <f t="shared" ref="E122:J122" si="13">SUM(E119:E121)</f>
        <v>881395471</v>
      </c>
      <c r="F122" s="418">
        <f t="shared" si="13"/>
        <v>858905570</v>
      </c>
      <c r="G122" s="418">
        <v>836125983</v>
      </c>
      <c r="H122" s="418">
        <v>813052979</v>
      </c>
      <c r="I122" s="418">
        <f t="shared" si="13"/>
        <v>789682779</v>
      </c>
      <c r="J122" s="418">
        <f t="shared" si="13"/>
        <v>766011554</v>
      </c>
    </row>
    <row r="123" spans="1:10">
      <c r="A123" s="415" t="s">
        <v>760</v>
      </c>
      <c r="D123" s="418"/>
      <c r="E123" s="432"/>
      <c r="F123" s="432"/>
      <c r="G123" s="432"/>
      <c r="H123" s="432"/>
      <c r="I123" s="420"/>
      <c r="J123" s="418"/>
    </row>
    <row r="124" spans="1:10" ht="13.5" thickBot="1">
      <c r="A124" s="415" t="s">
        <v>103</v>
      </c>
      <c r="D124" s="418"/>
      <c r="E124" s="432"/>
      <c r="F124" s="420"/>
      <c r="G124" s="420"/>
      <c r="H124" s="420"/>
      <c r="I124" s="420"/>
      <c r="J124" s="418"/>
    </row>
    <row r="125" spans="1:10" ht="13.5" customHeight="1">
      <c r="A125" s="1195" t="s">
        <v>340</v>
      </c>
      <c r="B125" s="1196"/>
      <c r="C125" s="1196"/>
      <c r="D125" s="453" t="s">
        <v>341</v>
      </c>
      <c r="E125" s="453" t="s">
        <v>342</v>
      </c>
      <c r="F125" s="454" t="s">
        <v>174</v>
      </c>
      <c r="G125" s="960"/>
      <c r="H125" s="960"/>
      <c r="I125" s="420"/>
      <c r="J125" s="418"/>
    </row>
    <row r="126" spans="1:10" ht="14.25" customHeight="1" thickBot="1">
      <c r="A126" s="1197"/>
      <c r="B126" s="1198"/>
      <c r="C126" s="1198"/>
      <c r="D126" s="455" t="s">
        <v>343</v>
      </c>
      <c r="E126" s="455" t="s">
        <v>344</v>
      </c>
      <c r="F126" s="456" t="s">
        <v>345</v>
      </c>
      <c r="G126" s="960"/>
      <c r="H126" s="960"/>
      <c r="I126" s="420"/>
      <c r="J126" s="418"/>
    </row>
    <row r="127" spans="1:10">
      <c r="A127" s="457" t="s">
        <v>346</v>
      </c>
      <c r="B127" s="458"/>
      <c r="C127" s="459"/>
      <c r="D127" s="460">
        <f>+E127/E129</f>
        <v>0.99990479817212485</v>
      </c>
      <c r="E127" s="460">
        <f>F127/1000</f>
        <v>26257500</v>
      </c>
      <c r="F127" s="461">
        <v>26257500000</v>
      </c>
      <c r="G127" s="440">
        <v>26257500000</v>
      </c>
      <c r="H127" s="440">
        <v>26257500000</v>
      </c>
      <c r="I127" s="418">
        <v>26257500000</v>
      </c>
      <c r="J127" s="418">
        <v>26257500000</v>
      </c>
    </row>
    <row r="128" spans="1:10" ht="13.5" thickBot="1">
      <c r="A128" s="462" t="s">
        <v>347</v>
      </c>
      <c r="B128" s="463"/>
      <c r="C128" s="464"/>
      <c r="D128" s="465">
        <f>+E128/E129</f>
        <v>9.5201827875095204E-5</v>
      </c>
      <c r="E128" s="465">
        <v>2500</v>
      </c>
      <c r="F128" s="466">
        <v>2500000</v>
      </c>
      <c r="G128" s="440">
        <v>2500000</v>
      </c>
      <c r="H128" s="440">
        <v>2500000</v>
      </c>
      <c r="I128" s="418">
        <v>2500000</v>
      </c>
      <c r="J128" s="418">
        <v>2500000</v>
      </c>
    </row>
    <row r="129" spans="1:10" ht="13.5" thickBot="1">
      <c r="A129" s="467" t="s">
        <v>130</v>
      </c>
      <c r="B129" s="468"/>
      <c r="C129" s="468"/>
      <c r="D129" s="469">
        <f>SUM(D127:D128)</f>
        <v>1</v>
      </c>
      <c r="E129" s="469">
        <f>SUM(E127:E128)</f>
        <v>26260000</v>
      </c>
      <c r="F129" s="470">
        <f>SUM(F127:F128)</f>
        <v>26260000000</v>
      </c>
      <c r="G129" s="472">
        <v>26260000000</v>
      </c>
      <c r="H129" s="472">
        <v>26260000000</v>
      </c>
      <c r="I129" s="418">
        <f>I127+I128</f>
        <v>26260000000</v>
      </c>
      <c r="J129" s="418">
        <f>J127+J128</f>
        <v>26260000000</v>
      </c>
    </row>
    <row r="130" spans="1:10">
      <c r="A130" s="471"/>
      <c r="B130" s="439"/>
      <c r="C130" s="439"/>
      <c r="D130" s="472"/>
      <c r="E130" s="472"/>
      <c r="F130" s="472"/>
      <c r="G130" s="472"/>
      <c r="H130" s="472"/>
      <c r="I130" s="418"/>
      <c r="J130" s="418"/>
    </row>
    <row r="131" spans="1:10">
      <c r="A131" s="471" t="s">
        <v>1382</v>
      </c>
      <c r="B131" s="439"/>
      <c r="C131" s="439"/>
      <c r="D131" s="440">
        <f>18450753228+-511387939.122089</f>
        <v>17939365288.877911</v>
      </c>
      <c r="E131" s="440">
        <f>18450753228-889194222.872089</f>
        <v>17561559005.127911</v>
      </c>
      <c r="F131" s="440">
        <v>16294791964.127909</v>
      </c>
      <c r="G131" s="440">
        <v>18450753228</v>
      </c>
      <c r="H131" s="440">
        <v>18450753228</v>
      </c>
      <c r="I131" s="418">
        <v>18450753228</v>
      </c>
      <c r="J131" s="418">
        <v>18450753228</v>
      </c>
    </row>
    <row r="132" spans="1:10">
      <c r="A132" s="471" t="s">
        <v>1383</v>
      </c>
      <c r="B132" s="439"/>
      <c r="C132" s="439"/>
      <c r="D132" s="440"/>
      <c r="E132" s="440"/>
      <c r="F132" s="440"/>
      <c r="G132" s="440">
        <v>2617390.1679086685</v>
      </c>
      <c r="H132" s="440">
        <v>-3526897826.8320894</v>
      </c>
      <c r="I132" s="418">
        <v>-6424024250.6520891</v>
      </c>
      <c r="J132" s="418">
        <v>3360358750.3279133</v>
      </c>
    </row>
    <row r="133" spans="1:10">
      <c r="A133" s="471" t="s">
        <v>1112</v>
      </c>
      <c r="B133" s="439"/>
      <c r="C133" s="439"/>
      <c r="D133" s="440">
        <v>934132894</v>
      </c>
      <c r="E133" s="440">
        <v>934132894</v>
      </c>
      <c r="F133" s="440">
        <v>934132894</v>
      </c>
      <c r="G133" s="440">
        <v>934132894</v>
      </c>
      <c r="H133" s="440">
        <v>934132894</v>
      </c>
      <c r="I133" s="418">
        <v>934132894</v>
      </c>
      <c r="J133" s="418">
        <v>934132894</v>
      </c>
    </row>
    <row r="134" spans="1:10">
      <c r="A134" s="471" t="s">
        <v>1113</v>
      </c>
      <c r="B134" s="439"/>
      <c r="C134" s="439"/>
      <c r="D134" s="472"/>
      <c r="E134" s="472"/>
      <c r="F134" s="472"/>
      <c r="G134" s="472"/>
      <c r="H134" s="472"/>
      <c r="I134" s="418"/>
      <c r="J134" s="418">
        <v>-4606425000</v>
      </c>
    </row>
    <row r="135" spans="1:10">
      <c r="D135" s="418"/>
      <c r="E135" s="418"/>
      <c r="F135" s="418"/>
      <c r="G135" s="418"/>
      <c r="H135" s="418"/>
      <c r="I135" s="418"/>
      <c r="J135" s="418"/>
    </row>
    <row r="136" spans="1:10" ht="13.5" thickBot="1">
      <c r="A136" s="450" t="s">
        <v>1114</v>
      </c>
      <c r="B136" s="473"/>
      <c r="C136" s="473"/>
      <c r="D136" s="474">
        <f>D108+D117+D122+D123+F129+D131+D135+D133</f>
        <v>48350281450.057907</v>
      </c>
      <c r="E136" s="474">
        <f>E108+E117+E122+E123+F129+E131+E135+E133</f>
        <v>48133765607.307907</v>
      </c>
      <c r="F136" s="474">
        <f>F108+F117+F122+F123+F129+F131+F135+F133</f>
        <v>46674743710.307907</v>
      </c>
      <c r="G136" s="474">
        <v>48044908537.347908</v>
      </c>
      <c r="H136" s="474">
        <v>45209357593.347908</v>
      </c>
      <c r="I136" s="474">
        <f>I108+I117+I122+I123+I129+I131+I135+I133+I132</f>
        <v>42329422552.527908</v>
      </c>
      <c r="J136" s="474">
        <f>J108+J117+J122+J123+J129+J131+J135+J133+J132+J134</f>
        <v>52294868714.507912</v>
      </c>
    </row>
    <row r="137" spans="1:10">
      <c r="A137" s="475"/>
      <c r="B137" s="476"/>
      <c r="C137" s="476"/>
      <c r="D137" s="477">
        <f>D136-D100</f>
        <v>12148532749.195</v>
      </c>
      <c r="E137" s="477">
        <f>E136-E100</f>
        <v>11553046551.445</v>
      </c>
      <c r="F137" s="477">
        <f>F136-F100</f>
        <v>11017950654.404999</v>
      </c>
      <c r="G137" s="477">
        <v>0.404998779296875</v>
      </c>
      <c r="H137" s="477">
        <v>0.404998779296875</v>
      </c>
      <c r="I137" s="477">
        <f>I136-I100</f>
        <v>0.13500213623046875</v>
      </c>
      <c r="J137" s="477">
        <f t="shared" ref="J137" si="14">J136-J100</f>
        <v>0.17498779296875</v>
      </c>
    </row>
    <row r="138" spans="1:10">
      <c r="A138" s="475"/>
      <c r="B138" s="476"/>
      <c r="C138" s="476"/>
      <c r="D138" s="477"/>
      <c r="E138" s="477"/>
      <c r="F138" s="477"/>
      <c r="G138" s="477"/>
      <c r="H138" s="477"/>
      <c r="I138" s="477"/>
      <c r="J138" s="477"/>
    </row>
    <row r="139" spans="1:10">
      <c r="A139" s="307" t="s">
        <v>58</v>
      </c>
      <c r="B139" s="476"/>
      <c r="C139" s="476"/>
      <c r="D139" s="430">
        <v>10062651768</v>
      </c>
      <c r="E139" s="430">
        <v>11911587869</v>
      </c>
      <c r="F139" s="477">
        <v>13905094051</v>
      </c>
      <c r="G139" s="477">
        <v>15765294604</v>
      </c>
      <c r="H139" s="477">
        <v>17743954198</v>
      </c>
      <c r="I139" s="477">
        <v>19782849432</v>
      </c>
      <c r="J139" s="477">
        <v>21985650614</v>
      </c>
    </row>
    <row r="140" spans="1:10">
      <c r="D140" s="418"/>
      <c r="E140" s="420"/>
      <c r="F140" s="420"/>
      <c r="G140" s="420"/>
      <c r="H140" s="420"/>
      <c r="I140" s="418"/>
      <c r="J140" s="418"/>
    </row>
    <row r="141" spans="1:10">
      <c r="A141" s="415" t="s">
        <v>827</v>
      </c>
      <c r="D141" s="418">
        <v>5914986119</v>
      </c>
      <c r="E141" s="420">
        <v>6911196952</v>
      </c>
      <c r="F141" s="420">
        <v>7911313159</v>
      </c>
      <c r="G141" s="420">
        <v>8915273206</v>
      </c>
      <c r="H141" s="420">
        <v>9950623192</v>
      </c>
      <c r="I141" s="420">
        <v>11024314491</v>
      </c>
      <c r="J141" s="418">
        <v>12112110378</v>
      </c>
    </row>
    <row r="142" spans="1:10">
      <c r="A142" s="415" t="s">
        <v>1115</v>
      </c>
      <c r="D142" s="418">
        <f>820946972+393145000</f>
        <v>1214091972</v>
      </c>
      <c r="E142" s="420">
        <f>820946972+393145000</f>
        <v>1214091972</v>
      </c>
      <c r="F142" s="420">
        <v>1214091972</v>
      </c>
      <c r="G142" s="420">
        <v>693766841</v>
      </c>
      <c r="H142" s="420">
        <v>1214091972</v>
      </c>
      <c r="I142" s="420">
        <v>1214091972</v>
      </c>
      <c r="J142" s="418">
        <v>1214091972</v>
      </c>
    </row>
    <row r="143" spans="1:10">
      <c r="A143" s="415" t="s">
        <v>829</v>
      </c>
      <c r="D143" s="418">
        <v>983943365</v>
      </c>
      <c r="E143" s="309">
        <v>1097214971</v>
      </c>
      <c r="F143" s="420">
        <v>1213124380</v>
      </c>
      <c r="G143" s="420">
        <v>1331203046</v>
      </c>
      <c r="H143" s="420">
        <v>1449914745</v>
      </c>
      <c r="I143" s="420">
        <v>1567379140</v>
      </c>
      <c r="J143" s="418">
        <v>1742950960</v>
      </c>
    </row>
    <row r="144" spans="1:10">
      <c r="A144" s="415" t="s">
        <v>830</v>
      </c>
      <c r="D144" s="418">
        <v>209777223</v>
      </c>
      <c r="E144" s="420">
        <v>209777223</v>
      </c>
      <c r="F144" s="420">
        <v>241868044</v>
      </c>
      <c r="G144" s="420">
        <v>273134109</v>
      </c>
      <c r="H144" s="420">
        <v>311304173</v>
      </c>
      <c r="I144" s="420">
        <v>350603374</v>
      </c>
      <c r="J144" s="418">
        <v>391454975</v>
      </c>
    </row>
    <row r="145" spans="1:10">
      <c r="A145" s="415" t="s">
        <v>1116</v>
      </c>
      <c r="D145" s="418">
        <v>113307331</v>
      </c>
      <c r="E145" s="309">
        <v>129928170</v>
      </c>
      <c r="F145" s="420">
        <v>183269229</v>
      </c>
      <c r="G145" s="420">
        <v>213339065</v>
      </c>
      <c r="H145" s="420">
        <v>279679601</v>
      </c>
      <c r="I145" s="420">
        <v>296088690</v>
      </c>
      <c r="J145" s="418">
        <v>366526505</v>
      </c>
    </row>
    <row r="146" spans="1:10">
      <c r="A146" s="415" t="s">
        <v>374</v>
      </c>
      <c r="D146" s="418">
        <v>206607953</v>
      </c>
      <c r="E146" s="309">
        <v>250211010</v>
      </c>
      <c r="F146" s="420">
        <v>292734247</v>
      </c>
      <c r="G146" s="420">
        <v>329577312</v>
      </c>
      <c r="H146" s="420">
        <v>366433109</v>
      </c>
      <c r="I146" s="420">
        <v>403793321</v>
      </c>
      <c r="J146" s="418">
        <v>442234777</v>
      </c>
    </row>
    <row r="147" spans="1:10">
      <c r="A147" s="415" t="s">
        <v>831</v>
      </c>
      <c r="D147" s="418">
        <v>24463169</v>
      </c>
      <c r="E147" s="420">
        <v>26840469</v>
      </c>
      <c r="F147" s="420">
        <v>29217769</v>
      </c>
      <c r="G147" s="420">
        <v>31595069</v>
      </c>
      <c r="H147" s="420">
        <v>36190232</v>
      </c>
      <c r="I147" s="420">
        <v>38567532</v>
      </c>
      <c r="J147" s="418">
        <v>38567532</v>
      </c>
    </row>
    <row r="148" spans="1:10">
      <c r="A148" s="415" t="s">
        <v>832</v>
      </c>
      <c r="D148" s="418">
        <v>106715000</v>
      </c>
      <c r="E148" s="420">
        <v>107571431</v>
      </c>
      <c r="F148" s="420">
        <v>111921431</v>
      </c>
      <c r="G148" s="420">
        <v>117171431</v>
      </c>
      <c r="H148" s="420">
        <v>117171431</v>
      </c>
      <c r="I148" s="420">
        <v>119742931</v>
      </c>
      <c r="J148" s="418">
        <v>131188671</v>
      </c>
    </row>
    <row r="149" spans="1:10">
      <c r="A149" s="415" t="s">
        <v>379</v>
      </c>
      <c r="D149" s="418">
        <v>139895901.33000001</v>
      </c>
      <c r="E149" s="420">
        <v>198455976.33000001</v>
      </c>
      <c r="F149" s="420">
        <v>209787365.33000001</v>
      </c>
      <c r="G149" s="420">
        <v>232669758.34</v>
      </c>
      <c r="H149" s="420">
        <v>257281243.34</v>
      </c>
      <c r="I149" s="420">
        <v>280566592.45999998</v>
      </c>
      <c r="J149" s="418">
        <v>291762982.45999998</v>
      </c>
    </row>
    <row r="150" spans="1:10">
      <c r="A150" s="415" t="s">
        <v>828</v>
      </c>
      <c r="D150" s="422">
        <v>25512000</v>
      </c>
      <c r="E150" s="422">
        <v>26262000</v>
      </c>
      <c r="F150" s="422">
        <v>28137000</v>
      </c>
      <c r="G150" s="422">
        <v>28637000</v>
      </c>
      <c r="H150" s="422">
        <v>28637000</v>
      </c>
      <c r="I150" s="442">
        <v>36637000</v>
      </c>
      <c r="J150" s="422">
        <v>37137000</v>
      </c>
    </row>
    <row r="151" spans="1:10">
      <c r="A151" s="478" t="s">
        <v>857</v>
      </c>
      <c r="D151" s="418">
        <f>SUM(D141:D150)</f>
        <v>8939300033.3299999</v>
      </c>
      <c r="E151" s="418">
        <f t="shared" ref="E151:J151" si="15">SUM(E141:E150)</f>
        <v>10171550174.33</v>
      </c>
      <c r="F151" s="418">
        <f t="shared" si="15"/>
        <v>11435464596.33</v>
      </c>
      <c r="G151" s="418">
        <v>12166366837.34</v>
      </c>
      <c r="H151" s="418">
        <v>14011326698.34</v>
      </c>
      <c r="I151" s="418">
        <f t="shared" si="15"/>
        <v>15331785043.459999</v>
      </c>
      <c r="J151" s="418">
        <f t="shared" si="15"/>
        <v>16768025752.459999</v>
      </c>
    </row>
    <row r="152" spans="1:10">
      <c r="A152" s="478"/>
      <c r="D152" s="418"/>
      <c r="E152" s="418"/>
      <c r="F152" s="418"/>
      <c r="G152" s="418"/>
      <c r="H152" s="418"/>
      <c r="I152" s="418"/>
      <c r="J152" s="418"/>
    </row>
    <row r="153" spans="1:10">
      <c r="A153" s="415" t="s">
        <v>833</v>
      </c>
      <c r="D153" s="418">
        <v>163838000</v>
      </c>
      <c r="E153" s="418">
        <v>198197000</v>
      </c>
      <c r="F153" s="418">
        <v>246928375</v>
      </c>
      <c r="G153" s="418">
        <v>246928375</v>
      </c>
      <c r="H153" s="418">
        <v>401226928</v>
      </c>
      <c r="I153" s="418">
        <v>402666928</v>
      </c>
      <c r="J153" s="418">
        <v>402666928</v>
      </c>
    </row>
    <row r="154" spans="1:10">
      <c r="A154" s="415" t="s">
        <v>834</v>
      </c>
      <c r="D154" s="422">
        <v>90662737</v>
      </c>
      <c r="E154" s="422">
        <v>175193146</v>
      </c>
      <c r="F154" s="422">
        <v>219993146</v>
      </c>
      <c r="G154" s="422">
        <v>253002126</v>
      </c>
      <c r="H154" s="422">
        <v>432547959</v>
      </c>
      <c r="I154" s="422">
        <v>502012959</v>
      </c>
      <c r="J154" s="422">
        <v>531012959</v>
      </c>
    </row>
    <row r="155" spans="1:10">
      <c r="A155" s="417" t="s">
        <v>858</v>
      </c>
      <c r="D155" s="418">
        <f>SUM(D153:D154)</f>
        <v>254500737</v>
      </c>
      <c r="E155" s="418">
        <f t="shared" ref="E155:J155" si="16">SUM(E153:E154)</f>
        <v>373390146</v>
      </c>
      <c r="F155" s="418">
        <f t="shared" si="16"/>
        <v>466921521</v>
      </c>
      <c r="G155" s="418">
        <v>499930501</v>
      </c>
      <c r="H155" s="418">
        <v>833774887</v>
      </c>
      <c r="I155" s="418">
        <f t="shared" si="16"/>
        <v>904679887</v>
      </c>
      <c r="J155" s="418">
        <f t="shared" si="16"/>
        <v>933679887</v>
      </c>
    </row>
    <row r="156" spans="1:10">
      <c r="A156" s="417"/>
      <c r="D156" s="418"/>
      <c r="E156" s="418"/>
      <c r="F156" s="418"/>
      <c r="G156" s="418"/>
      <c r="H156" s="418"/>
      <c r="I156" s="418"/>
      <c r="J156" s="418"/>
    </row>
    <row r="157" spans="1:10">
      <c r="A157" s="415" t="s">
        <v>848</v>
      </c>
      <c r="D157" s="418">
        <v>2272741375</v>
      </c>
      <c r="E157" s="418">
        <v>2600524251</v>
      </c>
      <c r="F157" s="418">
        <v>2928307127</v>
      </c>
      <c r="G157" s="418">
        <v>843307127</v>
      </c>
      <c r="H157" s="418">
        <v>3583872878</v>
      </c>
      <c r="I157" s="418">
        <v>3911655754</v>
      </c>
      <c r="J157" s="418">
        <v>3911655754</v>
      </c>
    </row>
    <row r="158" spans="1:10">
      <c r="A158" s="415" t="s">
        <v>932</v>
      </c>
      <c r="D158" s="418">
        <v>162615995</v>
      </c>
      <c r="E158" s="418">
        <v>210064446</v>
      </c>
      <c r="F158" s="418">
        <v>232258770</v>
      </c>
      <c r="G158" s="418">
        <v>250768094</v>
      </c>
      <c r="H158" s="418">
        <v>266156418</v>
      </c>
      <c r="I158" s="418">
        <v>296184949</v>
      </c>
      <c r="J158" s="418">
        <v>341903146</v>
      </c>
    </row>
    <row r="159" spans="1:10">
      <c r="A159" s="415" t="s">
        <v>67</v>
      </c>
      <c r="D159" s="422"/>
      <c r="E159" s="422"/>
      <c r="F159" s="422"/>
      <c r="G159" s="422"/>
      <c r="H159" s="422"/>
      <c r="I159" s="422"/>
      <c r="J159" s="422"/>
    </row>
    <row r="160" spans="1:10">
      <c r="A160" s="417" t="s">
        <v>866</v>
      </c>
      <c r="D160" s="418">
        <f>SUM(D157:D159)</f>
        <v>2435357370</v>
      </c>
      <c r="E160" s="418">
        <f t="shared" ref="E160:J160" si="17">SUM(E157:E159)</f>
        <v>2810588697</v>
      </c>
      <c r="F160" s="418">
        <f t="shared" si="17"/>
        <v>3160565897</v>
      </c>
      <c r="G160" s="418">
        <v>1094075221</v>
      </c>
      <c r="H160" s="418">
        <v>3850029296</v>
      </c>
      <c r="I160" s="418">
        <f t="shared" si="17"/>
        <v>4207840703</v>
      </c>
      <c r="J160" s="418">
        <f t="shared" si="17"/>
        <v>4253558900</v>
      </c>
    </row>
    <row r="161" spans="1:10">
      <c r="A161" s="417"/>
      <c r="D161" s="418"/>
      <c r="E161" s="418"/>
      <c r="F161" s="418"/>
      <c r="G161" s="418"/>
      <c r="H161" s="418"/>
      <c r="I161" s="418"/>
      <c r="J161" s="418"/>
    </row>
    <row r="162" spans="1:10">
      <c r="A162" s="415" t="s">
        <v>409</v>
      </c>
      <c r="D162" s="418">
        <v>556566767</v>
      </c>
      <c r="E162" s="418">
        <v>647898427</v>
      </c>
      <c r="F162" s="418">
        <v>739230087</v>
      </c>
      <c r="G162" s="418">
        <v>830561747</v>
      </c>
      <c r="H162" s="418">
        <v>919992174</v>
      </c>
      <c r="I162" s="418">
        <v>1009422601</v>
      </c>
      <c r="J162" s="418">
        <v>1098853028</v>
      </c>
    </row>
    <row r="163" spans="1:10">
      <c r="A163" s="415" t="s">
        <v>1117</v>
      </c>
      <c r="D163" s="445">
        <v>321166668</v>
      </c>
      <c r="E163" s="418">
        <v>386840835</v>
      </c>
      <c r="F163" s="418">
        <v>452515002</v>
      </c>
      <c r="G163" s="418">
        <v>518189169</v>
      </c>
      <c r="H163" s="418">
        <v>583863336</v>
      </c>
      <c r="I163" s="418">
        <v>649537503</v>
      </c>
      <c r="J163" s="418">
        <v>714979170</v>
      </c>
    </row>
    <row r="164" spans="1:10">
      <c r="A164" s="479" t="s">
        <v>952</v>
      </c>
      <c r="D164" s="418">
        <v>167240404</v>
      </c>
      <c r="E164" s="418">
        <v>199508132</v>
      </c>
      <c r="F164" s="418">
        <v>228400830</v>
      </c>
      <c r="G164" s="418">
        <v>257439361</v>
      </c>
      <c r="H164" s="418">
        <v>286038059</v>
      </c>
      <c r="I164" s="418">
        <v>315628782</v>
      </c>
      <c r="J164" s="418">
        <v>345145337.88000011</v>
      </c>
    </row>
    <row r="165" spans="1:10">
      <c r="A165" s="479" t="s">
        <v>953</v>
      </c>
      <c r="D165" s="422">
        <v>8380122</v>
      </c>
      <c r="E165" s="422">
        <v>5693478</v>
      </c>
      <c r="F165" s="422">
        <v>6506832</v>
      </c>
      <c r="G165" s="422">
        <v>7320186</v>
      </c>
      <c r="H165" s="422">
        <v>8133540</v>
      </c>
      <c r="I165" s="422">
        <v>8946894</v>
      </c>
      <c r="J165" s="422">
        <v>9760248</v>
      </c>
    </row>
    <row r="166" spans="1:10">
      <c r="A166" s="417" t="s">
        <v>867</v>
      </c>
      <c r="D166" s="418">
        <f t="shared" ref="D166:J166" si="18">SUM(D162:D165)</f>
        <v>1053353961</v>
      </c>
      <c r="E166" s="418">
        <f t="shared" si="18"/>
        <v>1239940872</v>
      </c>
      <c r="F166" s="418">
        <f t="shared" si="18"/>
        <v>1426652751</v>
      </c>
      <c r="G166" s="418">
        <v>1613510463</v>
      </c>
      <c r="H166" s="418">
        <v>1798027109</v>
      </c>
      <c r="I166" s="418">
        <f t="shared" si="18"/>
        <v>1983535780</v>
      </c>
      <c r="J166" s="418">
        <f t="shared" si="18"/>
        <v>2168737783.8800001</v>
      </c>
    </row>
    <row r="167" spans="1:10">
      <c r="A167" s="417"/>
      <c r="D167" s="430"/>
      <c r="E167" s="430"/>
      <c r="F167" s="430"/>
      <c r="G167" s="430"/>
      <c r="H167" s="430"/>
      <c r="I167" s="430"/>
      <c r="J167" s="430"/>
    </row>
    <row r="168" spans="1:10">
      <c r="A168" s="415" t="s">
        <v>849</v>
      </c>
      <c r="D168" s="422">
        <v>55926477</v>
      </c>
      <c r="E168" s="422">
        <v>71082119</v>
      </c>
      <c r="F168" s="422">
        <v>86237761</v>
      </c>
      <c r="G168" s="422">
        <v>101393403</v>
      </c>
      <c r="H168" s="422">
        <v>116549045</v>
      </c>
      <c r="I168" s="422">
        <v>131704687</v>
      </c>
      <c r="J168" s="422">
        <v>146860328.66999999</v>
      </c>
    </row>
    <row r="169" spans="1:10">
      <c r="A169" s="417" t="s">
        <v>868</v>
      </c>
      <c r="D169" s="418">
        <f>D168</f>
        <v>55926477</v>
      </c>
      <c r="E169" s="418">
        <f t="shared" ref="E169:J169" si="19">E168</f>
        <v>71082119</v>
      </c>
      <c r="F169" s="418">
        <f t="shared" si="19"/>
        <v>86237761</v>
      </c>
      <c r="G169" s="418">
        <v>101393403</v>
      </c>
      <c r="H169" s="418">
        <v>116549045</v>
      </c>
      <c r="I169" s="418">
        <f t="shared" si="19"/>
        <v>131704687</v>
      </c>
      <c r="J169" s="418">
        <f t="shared" si="19"/>
        <v>146860328.66999999</v>
      </c>
    </row>
    <row r="170" spans="1:10">
      <c r="D170" s="418"/>
      <c r="E170" s="418"/>
      <c r="F170" s="418"/>
      <c r="G170" s="418"/>
      <c r="H170" s="418"/>
      <c r="I170" s="418"/>
      <c r="J170" s="418"/>
    </row>
    <row r="171" spans="1:10">
      <c r="A171" s="415" t="s">
        <v>843</v>
      </c>
      <c r="D171" s="418">
        <v>2697485</v>
      </c>
      <c r="E171" s="418">
        <v>3276985</v>
      </c>
      <c r="F171" s="418">
        <v>4293115</v>
      </c>
      <c r="G171" s="418">
        <v>6306947</v>
      </c>
      <c r="H171" s="418">
        <v>7968447</v>
      </c>
      <c r="I171" s="418">
        <v>8596582</v>
      </c>
      <c r="J171" s="418">
        <v>8816082</v>
      </c>
    </row>
    <row r="172" spans="1:10">
      <c r="A172" s="415" t="s">
        <v>844</v>
      </c>
      <c r="D172" s="418">
        <v>57399723</v>
      </c>
      <c r="E172" s="418">
        <v>63274612</v>
      </c>
      <c r="F172" s="418">
        <v>72348668</v>
      </c>
      <c r="G172" s="418">
        <v>82856740</v>
      </c>
      <c r="H172" s="418">
        <v>92482348</v>
      </c>
      <c r="I172" s="418">
        <v>96718833</v>
      </c>
      <c r="J172" s="418">
        <v>104166055</v>
      </c>
    </row>
    <row r="173" spans="1:10">
      <c r="A173" s="415" t="s">
        <v>845</v>
      </c>
      <c r="D173" s="418">
        <v>26934000</v>
      </c>
      <c r="E173" s="418">
        <v>36412548</v>
      </c>
      <c r="F173" s="418">
        <v>43955776</v>
      </c>
      <c r="G173" s="418">
        <v>47955776</v>
      </c>
      <c r="H173" s="418">
        <v>52005776</v>
      </c>
      <c r="I173" s="418">
        <v>56005776</v>
      </c>
      <c r="J173" s="418">
        <v>60005776</v>
      </c>
    </row>
    <row r="174" spans="1:10">
      <c r="A174" s="415" t="s">
        <v>846</v>
      </c>
      <c r="D174" s="418">
        <v>30226000</v>
      </c>
      <c r="E174" s="418">
        <v>35384950</v>
      </c>
      <c r="F174" s="418">
        <v>41068950</v>
      </c>
      <c r="G174" s="418">
        <v>46508950</v>
      </c>
      <c r="H174" s="418">
        <v>51508950</v>
      </c>
      <c r="I174" s="418">
        <v>56756200</v>
      </c>
      <c r="J174" s="418">
        <v>65482200</v>
      </c>
    </row>
    <row r="175" spans="1:10">
      <c r="A175" s="415" t="s">
        <v>847</v>
      </c>
      <c r="D175" s="418">
        <v>43926000</v>
      </c>
      <c r="E175" s="418">
        <v>51247000</v>
      </c>
      <c r="F175" s="418">
        <v>58568000</v>
      </c>
      <c r="G175" s="418">
        <v>65889000</v>
      </c>
      <c r="H175" s="418">
        <v>73210000</v>
      </c>
      <c r="I175" s="418">
        <v>80531000</v>
      </c>
      <c r="J175" s="418">
        <v>80531000</v>
      </c>
    </row>
    <row r="176" spans="1:10">
      <c r="A176" s="415" t="s">
        <v>449</v>
      </c>
      <c r="D176" s="418">
        <v>166610500</v>
      </c>
      <c r="E176" s="418">
        <v>190363250</v>
      </c>
      <c r="F176" s="418">
        <v>213580500</v>
      </c>
      <c r="G176" s="418">
        <v>236797750</v>
      </c>
      <c r="H176" s="418">
        <v>260015000</v>
      </c>
      <c r="I176" s="418">
        <v>260015000</v>
      </c>
      <c r="J176" s="418">
        <v>309483560</v>
      </c>
    </row>
    <row r="177" spans="1:10">
      <c r="A177" s="415" t="s">
        <v>453</v>
      </c>
      <c r="D177" s="422">
        <v>3485721</v>
      </c>
      <c r="E177" s="422">
        <v>3485721</v>
      </c>
      <c r="F177" s="422">
        <v>3485721</v>
      </c>
      <c r="G177" s="422">
        <v>3485721</v>
      </c>
      <c r="H177" s="422">
        <v>3485721</v>
      </c>
      <c r="I177" s="422">
        <v>3485721</v>
      </c>
      <c r="J177" s="422">
        <v>3485721</v>
      </c>
    </row>
    <row r="178" spans="1:10">
      <c r="A178" s="417" t="s">
        <v>865</v>
      </c>
      <c r="D178" s="418">
        <f>SUM(D171:D177)</f>
        <v>331279429</v>
      </c>
      <c r="E178" s="418">
        <f t="shared" ref="E178:J178" si="20">SUM(E171:E177)</f>
        <v>383445066</v>
      </c>
      <c r="F178" s="418">
        <f t="shared" si="20"/>
        <v>437300730</v>
      </c>
      <c r="G178" s="418">
        <v>489800884</v>
      </c>
      <c r="H178" s="418">
        <v>540676242</v>
      </c>
      <c r="I178" s="418">
        <f t="shared" si="20"/>
        <v>562109112</v>
      </c>
      <c r="J178" s="418">
        <f t="shared" si="20"/>
        <v>631970394</v>
      </c>
    </row>
    <row r="179" spans="1:10">
      <c r="A179" s="417"/>
      <c r="D179" s="418"/>
      <c r="E179" s="418"/>
      <c r="F179" s="418"/>
      <c r="G179" s="418"/>
      <c r="H179" s="418"/>
      <c r="I179" s="418"/>
      <c r="J179" s="418"/>
    </row>
    <row r="180" spans="1:10">
      <c r="A180" s="415" t="s">
        <v>838</v>
      </c>
      <c r="D180" s="422">
        <v>381153846</v>
      </c>
      <c r="E180" s="422">
        <v>426792362</v>
      </c>
      <c r="F180" s="422">
        <v>484265265</v>
      </c>
      <c r="G180" s="422">
        <v>484265265</v>
      </c>
      <c r="H180" s="422">
        <v>484265265</v>
      </c>
      <c r="I180" s="422">
        <v>677074543</v>
      </c>
      <c r="J180" s="422">
        <v>677074543</v>
      </c>
    </row>
    <row r="181" spans="1:10">
      <c r="A181" s="417" t="s">
        <v>861</v>
      </c>
      <c r="D181" s="418">
        <f>D180</f>
        <v>381153846</v>
      </c>
      <c r="E181" s="418">
        <f t="shared" ref="E181:J181" si="21">E180</f>
        <v>426792362</v>
      </c>
      <c r="F181" s="418">
        <f t="shared" si="21"/>
        <v>484265265</v>
      </c>
      <c r="G181" s="418">
        <v>484265265</v>
      </c>
      <c r="H181" s="418">
        <v>484265265</v>
      </c>
      <c r="I181" s="418">
        <f t="shared" si="21"/>
        <v>677074543</v>
      </c>
      <c r="J181" s="418">
        <f t="shared" si="21"/>
        <v>677074543</v>
      </c>
    </row>
    <row r="182" spans="1:10">
      <c r="A182" s="417"/>
      <c r="D182" s="418"/>
      <c r="E182" s="418"/>
      <c r="F182" s="418"/>
      <c r="G182" s="418"/>
      <c r="H182" s="418"/>
      <c r="I182" s="418"/>
      <c r="J182" s="418"/>
    </row>
    <row r="183" spans="1:10">
      <c r="A183" s="480" t="s">
        <v>455</v>
      </c>
      <c r="D183" s="418">
        <v>43271965</v>
      </c>
      <c r="E183" s="418">
        <v>55408565</v>
      </c>
      <c r="F183" s="418">
        <v>56288815</v>
      </c>
      <c r="G183" s="418">
        <v>60277405</v>
      </c>
      <c r="H183" s="418">
        <v>72180612</v>
      </c>
      <c r="I183" s="418">
        <v>84792622</v>
      </c>
      <c r="J183" s="418">
        <v>85844622</v>
      </c>
    </row>
    <row r="184" spans="1:10">
      <c r="A184" s="480" t="s">
        <v>459</v>
      </c>
      <c r="D184" s="418">
        <v>16016181</v>
      </c>
      <c r="E184" s="418">
        <v>18140240</v>
      </c>
      <c r="F184" s="418">
        <v>19688257</v>
      </c>
      <c r="G184" s="418">
        <v>23312228</v>
      </c>
      <c r="H184" s="418">
        <v>26402212</v>
      </c>
      <c r="I184" s="418">
        <v>29414209</v>
      </c>
      <c r="J184" s="418">
        <v>31004255</v>
      </c>
    </row>
    <row r="185" spans="1:10">
      <c r="A185" s="480" t="s">
        <v>460</v>
      </c>
      <c r="D185" s="418">
        <v>667483425</v>
      </c>
      <c r="E185" s="418">
        <v>713736680</v>
      </c>
      <c r="F185" s="418">
        <v>713736680</v>
      </c>
      <c r="G185" s="418">
        <v>713736680</v>
      </c>
      <c r="H185" s="418">
        <v>814313628</v>
      </c>
      <c r="I185" s="418">
        <v>814313628</v>
      </c>
      <c r="J185" s="418">
        <v>882244222</v>
      </c>
    </row>
    <row r="186" spans="1:10">
      <c r="A186" s="480" t="s">
        <v>835</v>
      </c>
      <c r="D186" s="418">
        <v>6964906</v>
      </c>
      <c r="E186" s="418">
        <v>8071906</v>
      </c>
      <c r="F186" s="418">
        <v>9003407</v>
      </c>
      <c r="G186" s="418">
        <v>10570208</v>
      </c>
      <c r="H186" s="418">
        <v>11830308</v>
      </c>
      <c r="I186" s="418">
        <v>13239508</v>
      </c>
      <c r="J186" s="418">
        <v>13532808</v>
      </c>
    </row>
    <row r="187" spans="1:10">
      <c r="A187" s="480" t="s">
        <v>466</v>
      </c>
      <c r="D187" s="418">
        <v>7758000</v>
      </c>
      <c r="E187" s="418">
        <v>7963000</v>
      </c>
      <c r="F187" s="418">
        <v>9257000</v>
      </c>
      <c r="G187" s="418">
        <v>11848000</v>
      </c>
      <c r="H187" s="418">
        <v>12133000</v>
      </c>
      <c r="I187" s="418">
        <v>16751000</v>
      </c>
      <c r="J187" s="418">
        <v>18157000</v>
      </c>
    </row>
    <row r="188" spans="1:10">
      <c r="A188" s="480" t="s">
        <v>469</v>
      </c>
      <c r="D188" s="418">
        <v>54677369</v>
      </c>
      <c r="E188" s="418">
        <v>56368969</v>
      </c>
      <c r="F188" s="418">
        <v>68126259</v>
      </c>
      <c r="G188" s="418">
        <v>76538859</v>
      </c>
      <c r="H188" s="418">
        <v>78341089</v>
      </c>
      <c r="I188" s="418">
        <v>90335690</v>
      </c>
      <c r="J188" s="418">
        <v>101912441</v>
      </c>
    </row>
    <row r="189" spans="1:10">
      <c r="A189" s="480" t="s">
        <v>472</v>
      </c>
      <c r="D189" s="418">
        <v>17384000</v>
      </c>
      <c r="E189" s="418">
        <v>20105000</v>
      </c>
      <c r="F189" s="418">
        <v>20105000</v>
      </c>
      <c r="G189" s="418">
        <v>20165000</v>
      </c>
      <c r="H189" s="418">
        <v>21580000</v>
      </c>
      <c r="I189" s="418">
        <v>21580000</v>
      </c>
      <c r="J189" s="418">
        <v>21580000</v>
      </c>
    </row>
    <row r="190" spans="1:10">
      <c r="A190" s="480" t="s">
        <v>836</v>
      </c>
      <c r="D190" s="422">
        <v>500000</v>
      </c>
      <c r="E190" s="422">
        <v>500000</v>
      </c>
      <c r="F190" s="422">
        <v>500000</v>
      </c>
      <c r="G190" s="422">
        <v>500000</v>
      </c>
      <c r="H190" s="422">
        <v>500000</v>
      </c>
      <c r="I190" s="422">
        <v>500000</v>
      </c>
      <c r="J190" s="422">
        <v>500000</v>
      </c>
    </row>
    <row r="191" spans="1:10">
      <c r="A191" s="478" t="s">
        <v>859</v>
      </c>
      <c r="D191" s="418">
        <f>SUM(D183:D190)</f>
        <v>814055846</v>
      </c>
      <c r="E191" s="418">
        <f t="shared" ref="E191:J191" si="22">SUM(E183:E190)</f>
        <v>880294360</v>
      </c>
      <c r="F191" s="418">
        <f t="shared" si="22"/>
        <v>896705418</v>
      </c>
      <c r="G191" s="418">
        <v>916948380</v>
      </c>
      <c r="H191" s="418">
        <v>1037280849</v>
      </c>
      <c r="I191" s="418">
        <f t="shared" si="22"/>
        <v>1070926657</v>
      </c>
      <c r="J191" s="418">
        <f t="shared" si="22"/>
        <v>1154775348</v>
      </c>
    </row>
    <row r="192" spans="1:10">
      <c r="D192" s="418"/>
      <c r="E192" s="418"/>
      <c r="F192" s="418"/>
      <c r="G192" s="418"/>
      <c r="H192" s="418"/>
      <c r="I192" s="418"/>
      <c r="J192" s="418"/>
    </row>
    <row r="193" spans="1:10">
      <c r="A193" s="415" t="s">
        <v>69</v>
      </c>
      <c r="D193" s="422">
        <v>444604946</v>
      </c>
      <c r="E193" s="422">
        <v>502060400</v>
      </c>
      <c r="F193" s="422">
        <v>557456087</v>
      </c>
      <c r="G193" s="422">
        <v>557456087</v>
      </c>
      <c r="H193" s="422">
        <v>611293286</v>
      </c>
      <c r="I193" s="422">
        <v>713694026</v>
      </c>
      <c r="J193" s="422">
        <v>765461570</v>
      </c>
    </row>
    <row r="194" spans="1:10">
      <c r="A194" s="417" t="s">
        <v>860</v>
      </c>
      <c r="D194" s="418">
        <f>D193</f>
        <v>444604946</v>
      </c>
      <c r="E194" s="418">
        <f t="shared" ref="E194:J194" si="23">E193</f>
        <v>502060400</v>
      </c>
      <c r="F194" s="418">
        <f t="shared" si="23"/>
        <v>557456087</v>
      </c>
      <c r="G194" s="418">
        <v>557456087</v>
      </c>
      <c r="H194" s="418">
        <v>611293286</v>
      </c>
      <c r="I194" s="418">
        <f t="shared" si="23"/>
        <v>713694026</v>
      </c>
      <c r="J194" s="418">
        <f t="shared" si="23"/>
        <v>765461570</v>
      </c>
    </row>
    <row r="195" spans="1:10">
      <c r="D195" s="418"/>
      <c r="E195" s="418"/>
      <c r="F195" s="418"/>
      <c r="G195" s="418"/>
      <c r="H195" s="418"/>
      <c r="I195" s="418"/>
      <c r="J195" s="418"/>
    </row>
    <row r="196" spans="1:10">
      <c r="A196" s="415" t="s">
        <v>501</v>
      </c>
      <c r="D196" s="418">
        <v>96827725</v>
      </c>
      <c r="E196" s="418">
        <v>105951133</v>
      </c>
      <c r="F196" s="418">
        <v>123013774</v>
      </c>
      <c r="G196" s="418">
        <v>131449399</v>
      </c>
      <c r="H196" s="418">
        <v>144454163</v>
      </c>
      <c r="I196" s="418">
        <v>173294746</v>
      </c>
      <c r="J196" s="418">
        <v>289062896</v>
      </c>
    </row>
    <row r="197" spans="1:10">
      <c r="A197" s="415" t="s">
        <v>505</v>
      </c>
      <c r="D197" s="422">
        <v>6000000</v>
      </c>
      <c r="E197" s="422">
        <v>16459000</v>
      </c>
      <c r="F197" s="422">
        <v>16459000</v>
      </c>
      <c r="G197" s="422">
        <v>24959000</v>
      </c>
      <c r="H197" s="422">
        <v>24959000</v>
      </c>
      <c r="I197" s="422">
        <v>29958800</v>
      </c>
      <c r="J197" s="422">
        <v>31958800</v>
      </c>
    </row>
    <row r="198" spans="1:10">
      <c r="A198" s="417" t="s">
        <v>862</v>
      </c>
      <c r="D198" s="418">
        <f t="shared" ref="D198:J198" si="24">SUM(D196:D197)</f>
        <v>102827725</v>
      </c>
      <c r="E198" s="418">
        <f t="shared" si="24"/>
        <v>122410133</v>
      </c>
      <c r="F198" s="418">
        <f t="shared" si="24"/>
        <v>139472774</v>
      </c>
      <c r="G198" s="418">
        <v>156408399</v>
      </c>
      <c r="H198" s="418">
        <v>169413163</v>
      </c>
      <c r="I198" s="418">
        <f t="shared" si="24"/>
        <v>203253546</v>
      </c>
      <c r="J198" s="418">
        <f t="shared" si="24"/>
        <v>321021696</v>
      </c>
    </row>
    <row r="199" spans="1:10">
      <c r="A199" s="417"/>
      <c r="D199" s="418"/>
      <c r="E199" s="418"/>
      <c r="F199" s="418"/>
      <c r="G199" s="418"/>
      <c r="H199" s="418"/>
      <c r="I199" s="418"/>
      <c r="J199" s="418"/>
    </row>
    <row r="200" spans="1:10">
      <c r="A200" s="415" t="s">
        <v>493</v>
      </c>
      <c r="D200" s="418">
        <v>41878166</v>
      </c>
      <c r="E200" s="418">
        <v>44122241</v>
      </c>
      <c r="F200" s="418">
        <v>50271691</v>
      </c>
      <c r="G200" s="418">
        <v>86451386</v>
      </c>
      <c r="H200" s="418">
        <v>102108356</v>
      </c>
      <c r="I200" s="418">
        <v>146949672</v>
      </c>
      <c r="J200" s="418">
        <v>153604582</v>
      </c>
    </row>
    <row r="201" spans="1:10">
      <c r="A201" s="415" t="s">
        <v>839</v>
      </c>
      <c r="D201" s="422">
        <v>88801342</v>
      </c>
      <c r="E201" s="422">
        <v>98097290</v>
      </c>
      <c r="F201" s="422">
        <v>110416402</v>
      </c>
      <c r="G201" s="422">
        <v>153320118</v>
      </c>
      <c r="H201" s="422">
        <v>173314850</v>
      </c>
      <c r="I201" s="422">
        <v>201715466</v>
      </c>
      <c r="J201" s="422">
        <v>211286125</v>
      </c>
    </row>
    <row r="202" spans="1:10">
      <c r="A202" s="417" t="s">
        <v>863</v>
      </c>
      <c r="D202" s="418">
        <f t="shared" ref="D202:J202" si="25">SUM(D200:D201)</f>
        <v>130679508</v>
      </c>
      <c r="E202" s="418">
        <f t="shared" si="25"/>
        <v>142219531</v>
      </c>
      <c r="F202" s="418">
        <f t="shared" si="25"/>
        <v>160688093</v>
      </c>
      <c r="G202" s="418">
        <v>239771504</v>
      </c>
      <c r="H202" s="418">
        <v>275423206</v>
      </c>
      <c r="I202" s="418">
        <f t="shared" si="25"/>
        <v>348665138</v>
      </c>
      <c r="J202" s="418">
        <f t="shared" si="25"/>
        <v>364890707</v>
      </c>
    </row>
    <row r="203" spans="1:10">
      <c r="A203" s="417"/>
      <c r="D203" s="418"/>
      <c r="E203" s="418"/>
      <c r="F203" s="418"/>
      <c r="G203" s="418"/>
      <c r="H203" s="418"/>
      <c r="I203" s="418"/>
      <c r="J203" s="418"/>
    </row>
    <row r="204" spans="1:10">
      <c r="A204" s="415" t="s">
        <v>842</v>
      </c>
      <c r="D204" s="422">
        <v>318973174</v>
      </c>
      <c r="E204" s="422">
        <v>542107905</v>
      </c>
      <c r="F204" s="422">
        <v>657237881</v>
      </c>
      <c r="G204" s="422">
        <v>719541270</v>
      </c>
      <c r="H204" s="422">
        <v>1126181283</v>
      </c>
      <c r="I204" s="422">
        <v>1268789652</v>
      </c>
      <c r="J204" s="422">
        <v>1054131212</v>
      </c>
    </row>
    <row r="205" spans="1:10">
      <c r="A205" s="417" t="s">
        <v>864</v>
      </c>
      <c r="D205" s="418">
        <f>D204</f>
        <v>318973174</v>
      </c>
      <c r="E205" s="418">
        <f t="shared" ref="E205:J205" si="26">E204</f>
        <v>542107905</v>
      </c>
      <c r="F205" s="418">
        <f t="shared" si="26"/>
        <v>657237881</v>
      </c>
      <c r="G205" s="418">
        <v>719541270</v>
      </c>
      <c r="H205" s="418">
        <v>1126181283</v>
      </c>
      <c r="I205" s="418">
        <f t="shared" si="26"/>
        <v>1268789652</v>
      </c>
      <c r="J205" s="418">
        <f t="shared" si="26"/>
        <v>1054131212</v>
      </c>
    </row>
    <row r="206" spans="1:10">
      <c r="A206" s="417"/>
      <c r="D206" s="418"/>
      <c r="E206" s="418"/>
      <c r="F206" s="418"/>
      <c r="G206" s="418"/>
      <c r="H206" s="418"/>
      <c r="I206" s="418"/>
      <c r="J206" s="418"/>
    </row>
    <row r="207" spans="1:10">
      <c r="A207" s="415" t="s">
        <v>513</v>
      </c>
      <c r="D207" s="418">
        <v>26339700</v>
      </c>
      <c r="E207" s="418">
        <v>26339700</v>
      </c>
      <c r="F207" s="418">
        <v>26339700</v>
      </c>
      <c r="G207" s="418">
        <v>43351100</v>
      </c>
      <c r="H207" s="418">
        <v>42252500</v>
      </c>
      <c r="I207" s="418">
        <v>42252500</v>
      </c>
      <c r="J207" s="418">
        <v>63895300</v>
      </c>
    </row>
    <row r="208" spans="1:10">
      <c r="A208" s="415" t="s">
        <v>936</v>
      </c>
      <c r="D208" s="422">
        <v>253552194</v>
      </c>
      <c r="E208" s="422">
        <v>422680765</v>
      </c>
      <c r="F208" s="422">
        <v>599301304</v>
      </c>
      <c r="G208" s="422">
        <v>603126852</v>
      </c>
      <c r="H208" s="422">
        <v>939803960</v>
      </c>
      <c r="I208" s="422">
        <v>1108142514</v>
      </c>
      <c r="J208" s="422">
        <v>305531676</v>
      </c>
    </row>
    <row r="209" spans="1:10">
      <c r="A209" s="417" t="s">
        <v>869</v>
      </c>
      <c r="D209" s="418">
        <f>SUM(D207:D208)</f>
        <v>279891894</v>
      </c>
      <c r="E209" s="418">
        <f t="shared" ref="E209:J209" si="27">SUM(E207:E208)</f>
        <v>449020465</v>
      </c>
      <c r="F209" s="418">
        <f t="shared" si="27"/>
        <v>625641004</v>
      </c>
      <c r="G209" s="418">
        <v>646477952</v>
      </c>
      <c r="H209" s="418">
        <v>982056460</v>
      </c>
      <c r="I209" s="418">
        <f t="shared" si="27"/>
        <v>1150395014</v>
      </c>
      <c r="J209" s="418">
        <f t="shared" si="27"/>
        <v>369426976</v>
      </c>
    </row>
    <row r="210" spans="1:10">
      <c r="A210" s="417"/>
      <c r="D210" s="418"/>
      <c r="E210" s="418"/>
      <c r="F210" s="418"/>
      <c r="G210" s="418"/>
      <c r="H210" s="418"/>
      <c r="I210" s="418"/>
      <c r="J210" s="418"/>
    </row>
    <row r="211" spans="1:10">
      <c r="A211" s="480" t="s">
        <v>531</v>
      </c>
      <c r="D211" s="418">
        <v>9501600</v>
      </c>
      <c r="E211" s="418">
        <v>10531600</v>
      </c>
      <c r="F211" s="418">
        <v>12587350</v>
      </c>
      <c r="G211" s="418">
        <v>18266350</v>
      </c>
      <c r="H211" s="418">
        <v>20558585</v>
      </c>
      <c r="I211" s="418">
        <v>26273947</v>
      </c>
      <c r="J211" s="418">
        <v>26318947</v>
      </c>
    </row>
    <row r="212" spans="1:10">
      <c r="A212" s="480" t="s">
        <v>520</v>
      </c>
      <c r="D212" s="418">
        <v>9225000</v>
      </c>
      <c r="E212" s="418">
        <v>10985000</v>
      </c>
      <c r="F212" s="418">
        <v>12145000</v>
      </c>
      <c r="G212" s="418">
        <v>13305000</v>
      </c>
      <c r="H212" s="418">
        <v>13771364</v>
      </c>
      <c r="I212" s="418">
        <v>16061364</v>
      </c>
      <c r="J212" s="418">
        <v>16061364</v>
      </c>
    </row>
    <row r="213" spans="1:10">
      <c r="A213" s="480" t="s">
        <v>954</v>
      </c>
      <c r="D213" s="418">
        <v>15020540</v>
      </c>
      <c r="E213" s="418">
        <v>17128540</v>
      </c>
      <c r="F213" s="418">
        <v>20688540</v>
      </c>
      <c r="G213" s="418">
        <v>23718540</v>
      </c>
      <c r="H213" s="418">
        <v>23712795</v>
      </c>
      <c r="I213" s="418">
        <v>24612795</v>
      </c>
      <c r="J213" s="418">
        <v>24612795</v>
      </c>
    </row>
    <row r="214" spans="1:10">
      <c r="A214" s="480" t="s">
        <v>955</v>
      </c>
      <c r="D214" s="418">
        <v>1200000</v>
      </c>
      <c r="E214" s="418">
        <v>1200000</v>
      </c>
      <c r="F214" s="418">
        <v>1200000</v>
      </c>
      <c r="G214" s="418">
        <v>1200000</v>
      </c>
      <c r="H214" s="418">
        <v>1200000</v>
      </c>
      <c r="I214" s="418">
        <v>1200000</v>
      </c>
      <c r="J214" s="418">
        <v>1200000</v>
      </c>
    </row>
    <row r="215" spans="1:10">
      <c r="A215" s="480" t="s">
        <v>522</v>
      </c>
      <c r="D215" s="418">
        <v>31579064</v>
      </c>
      <c r="E215" s="418">
        <v>35189725</v>
      </c>
      <c r="F215" s="418">
        <v>39735190</v>
      </c>
      <c r="G215" s="418">
        <v>44280651</v>
      </c>
      <c r="H215" s="418">
        <v>48826112</v>
      </c>
      <c r="I215" s="418">
        <v>53371573</v>
      </c>
      <c r="J215" s="418">
        <v>59729017</v>
      </c>
    </row>
    <row r="216" spans="1:10">
      <c r="A216" s="480" t="s">
        <v>956</v>
      </c>
      <c r="D216" s="422"/>
      <c r="E216" s="422"/>
      <c r="F216" s="422"/>
      <c r="G216" s="422"/>
      <c r="H216" s="422"/>
      <c r="I216" s="422"/>
      <c r="J216" s="422"/>
    </row>
    <row r="217" spans="1:10">
      <c r="A217" s="417" t="s">
        <v>870</v>
      </c>
      <c r="D217" s="418">
        <f>SUM(D211:D216)</f>
        <v>66526204</v>
      </c>
      <c r="E217" s="418">
        <f t="shared" ref="E217:J217" si="28">SUM(E211:E216)</f>
        <v>75034865</v>
      </c>
      <c r="F217" s="418">
        <f t="shared" si="28"/>
        <v>86356080</v>
      </c>
      <c r="G217" s="418">
        <v>100770541</v>
      </c>
      <c r="H217" s="418">
        <v>108068856</v>
      </c>
      <c r="I217" s="418">
        <f t="shared" si="28"/>
        <v>121519679</v>
      </c>
      <c r="J217" s="418">
        <f t="shared" si="28"/>
        <v>127922123</v>
      </c>
    </row>
    <row r="218" spans="1:10">
      <c r="D218" s="418"/>
      <c r="E218" s="418"/>
      <c r="F218" s="418"/>
      <c r="G218" s="418"/>
      <c r="H218" s="418"/>
      <c r="I218" s="418"/>
      <c r="J218" s="418"/>
    </row>
    <row r="219" spans="1:10">
      <c r="A219" s="415" t="s">
        <v>935</v>
      </c>
      <c r="D219" s="418">
        <v>44242270</v>
      </c>
      <c r="E219" s="418">
        <v>50427838</v>
      </c>
      <c r="F219" s="418">
        <v>56613406</v>
      </c>
      <c r="G219" s="418">
        <v>62798974</v>
      </c>
      <c r="H219" s="418">
        <v>68984542</v>
      </c>
      <c r="I219" s="418">
        <v>75170110</v>
      </c>
      <c r="J219" s="418">
        <v>81355678</v>
      </c>
    </row>
    <row r="220" spans="1:10">
      <c r="A220" s="415" t="s">
        <v>850</v>
      </c>
      <c r="D220" s="418"/>
      <c r="E220" s="418"/>
      <c r="F220" s="418"/>
      <c r="G220" s="418"/>
      <c r="H220" s="418"/>
      <c r="I220" s="418"/>
      <c r="J220" s="418">
        <v>20998072</v>
      </c>
    </row>
    <row r="221" spans="1:10">
      <c r="A221" s="415" t="s">
        <v>851</v>
      </c>
      <c r="D221" s="422">
        <v>453431838</v>
      </c>
      <c r="E221" s="422">
        <v>529003811</v>
      </c>
      <c r="F221" s="422">
        <v>611375784</v>
      </c>
      <c r="G221" s="422">
        <v>157943946</v>
      </c>
      <c r="H221" s="422">
        <v>724194194</v>
      </c>
      <c r="I221" s="422">
        <v>799766167</v>
      </c>
      <c r="J221" s="422">
        <v>1027309372</v>
      </c>
    </row>
    <row r="222" spans="1:10">
      <c r="A222" s="417" t="s">
        <v>920</v>
      </c>
      <c r="D222" s="418">
        <f>SUM(D219:D221)</f>
        <v>497674108</v>
      </c>
      <c r="E222" s="418">
        <f t="shared" ref="E222:J222" si="29">SUM(E219:E221)</f>
        <v>579431649</v>
      </c>
      <c r="F222" s="418">
        <f t="shared" si="29"/>
        <v>667989190</v>
      </c>
      <c r="G222" s="418">
        <v>220742920</v>
      </c>
      <c r="H222" s="418">
        <v>793178736</v>
      </c>
      <c r="I222" s="418">
        <f t="shared" si="29"/>
        <v>874936277</v>
      </c>
      <c r="J222" s="418">
        <f t="shared" si="29"/>
        <v>1129663122</v>
      </c>
    </row>
    <row r="223" spans="1:10">
      <c r="D223" s="418"/>
      <c r="E223" s="418"/>
      <c r="F223" s="418"/>
      <c r="G223" s="418"/>
      <c r="H223" s="418"/>
      <c r="I223" s="418"/>
      <c r="J223" s="418"/>
    </row>
    <row r="224" spans="1:10">
      <c r="A224" s="417" t="s">
        <v>871</v>
      </c>
      <c r="D224" s="418"/>
      <c r="E224" s="418"/>
      <c r="F224" s="418"/>
      <c r="G224" s="418"/>
      <c r="H224" s="418"/>
      <c r="I224" s="418"/>
      <c r="J224" s="418"/>
    </row>
    <row r="225" spans="1:10">
      <c r="A225" s="415" t="s">
        <v>852</v>
      </c>
      <c r="D225" s="418">
        <v>79824763</v>
      </c>
      <c r="E225" s="418">
        <v>95890765</v>
      </c>
      <c r="F225" s="418">
        <v>111197846</v>
      </c>
      <c r="G225" s="418">
        <v>127689402.8</v>
      </c>
      <c r="H225" s="418">
        <v>134783382.80000001</v>
      </c>
      <c r="I225" s="418">
        <v>142326023.80000001</v>
      </c>
      <c r="J225" s="418">
        <v>149824676.80000001</v>
      </c>
    </row>
    <row r="226" spans="1:10">
      <c r="A226" s="415" t="s">
        <v>853</v>
      </c>
      <c r="D226" s="422">
        <v>10307995</v>
      </c>
      <c r="E226" s="422">
        <v>11457731</v>
      </c>
      <c r="F226" s="422">
        <v>13552471</v>
      </c>
      <c r="G226" s="422">
        <v>14811649</v>
      </c>
      <c r="H226" s="422">
        <v>16046668</v>
      </c>
      <c r="I226" s="422">
        <v>17369871</v>
      </c>
      <c r="J226" s="422">
        <v>19481673</v>
      </c>
    </row>
    <row r="227" spans="1:10">
      <c r="A227" s="417" t="s">
        <v>872</v>
      </c>
      <c r="D227" s="418">
        <f>SUM(D225:D226)</f>
        <v>90132758</v>
      </c>
      <c r="E227" s="418">
        <f t="shared" ref="E227:J227" si="30">SUM(E225:E226)</f>
        <v>107348496</v>
      </c>
      <c r="F227" s="418">
        <f t="shared" si="30"/>
        <v>124750317</v>
      </c>
      <c r="G227" s="418">
        <v>142501051.80000001</v>
      </c>
      <c r="H227" s="418">
        <v>150830050.80000001</v>
      </c>
      <c r="I227" s="418">
        <f t="shared" si="30"/>
        <v>159695894.80000001</v>
      </c>
      <c r="J227" s="418">
        <f t="shared" si="30"/>
        <v>169306349.80000001</v>
      </c>
    </row>
    <row r="228" spans="1:10">
      <c r="A228" s="417"/>
      <c r="D228" s="418"/>
      <c r="E228" s="418"/>
      <c r="F228" s="418"/>
      <c r="G228" s="418"/>
      <c r="H228" s="418"/>
      <c r="I228" s="418"/>
      <c r="J228" s="418"/>
    </row>
    <row r="229" spans="1:10">
      <c r="A229" s="417" t="s">
        <v>769</v>
      </c>
      <c r="D229" s="418"/>
      <c r="E229" s="418"/>
      <c r="F229" s="418"/>
      <c r="G229" s="418"/>
      <c r="H229" s="418"/>
      <c r="I229" s="418"/>
      <c r="J229" s="418"/>
    </row>
    <row r="230" spans="1:10">
      <c r="A230" s="415" t="s">
        <v>854</v>
      </c>
      <c r="D230" s="418">
        <v>4868481</v>
      </c>
      <c r="E230" s="418">
        <v>6259319</v>
      </c>
      <c r="F230" s="418">
        <v>7585009</v>
      </c>
      <c r="G230" s="418">
        <v>8906358</v>
      </c>
      <c r="H230" s="418">
        <v>9821510</v>
      </c>
      <c r="I230" s="418">
        <v>10689290</v>
      </c>
      <c r="J230" s="418">
        <v>12064721</v>
      </c>
    </row>
    <row r="231" spans="1:10">
      <c r="A231" s="415" t="s">
        <v>855</v>
      </c>
      <c r="D231" s="422">
        <v>29522069</v>
      </c>
      <c r="E231" s="422">
        <v>38819971</v>
      </c>
      <c r="F231" s="422">
        <v>50173070</v>
      </c>
      <c r="G231" s="422">
        <v>61236483</v>
      </c>
      <c r="H231" s="422">
        <v>72006479</v>
      </c>
      <c r="I231" s="422">
        <v>82479279</v>
      </c>
      <c r="J231" s="422">
        <v>92651054</v>
      </c>
    </row>
    <row r="232" spans="1:10">
      <c r="A232" s="417" t="s">
        <v>873</v>
      </c>
      <c r="D232" s="418">
        <f>SUM(D230:D231)</f>
        <v>34390550</v>
      </c>
      <c r="E232" s="418">
        <f t="shared" ref="E232:J232" si="31">SUM(E230:E231)</f>
        <v>45079290</v>
      </c>
      <c r="F232" s="418">
        <f t="shared" si="31"/>
        <v>57758079</v>
      </c>
      <c r="G232" s="418">
        <v>70142841</v>
      </c>
      <c r="H232" s="418">
        <v>81827989</v>
      </c>
      <c r="I232" s="418">
        <f t="shared" si="31"/>
        <v>93168569</v>
      </c>
      <c r="J232" s="418">
        <f t="shared" si="31"/>
        <v>104715775</v>
      </c>
    </row>
    <row r="233" spans="1:10">
      <c r="A233" s="417"/>
      <c r="D233" s="418"/>
      <c r="E233" s="418"/>
      <c r="F233" s="418"/>
      <c r="G233" s="418"/>
      <c r="H233" s="418"/>
      <c r="I233" s="418"/>
      <c r="J233" s="418"/>
    </row>
    <row r="234" spans="1:10">
      <c r="A234" s="413" t="s">
        <v>771</v>
      </c>
      <c r="D234" s="418">
        <v>90132758</v>
      </c>
      <c r="E234" s="418">
        <v>107348496</v>
      </c>
      <c r="F234" s="843">
        <f>F227</f>
        <v>124750317</v>
      </c>
      <c r="G234" s="843">
        <v>142501051.80000001</v>
      </c>
      <c r="H234" s="843">
        <v>150830050.80000001</v>
      </c>
      <c r="I234" s="843">
        <f>I227</f>
        <v>159695894.80000001</v>
      </c>
      <c r="J234" s="843">
        <f>J227</f>
        <v>169306349.80000001</v>
      </c>
    </row>
    <row r="235" spans="1:10">
      <c r="A235" s="413" t="s">
        <v>769</v>
      </c>
      <c r="D235" s="418">
        <v>-34390550</v>
      </c>
      <c r="E235" s="418">
        <v>-45079290</v>
      </c>
      <c r="F235" s="843">
        <f>-F232</f>
        <v>-57758079</v>
      </c>
      <c r="G235" s="843">
        <v>-70142841</v>
      </c>
      <c r="H235" s="843">
        <v>-81827989</v>
      </c>
      <c r="I235" s="843">
        <f>-I232</f>
        <v>-93168569</v>
      </c>
      <c r="J235" s="843">
        <f>-J232</f>
        <v>-104715775</v>
      </c>
    </row>
    <row r="236" spans="1:10">
      <c r="A236" s="413"/>
    </row>
    <row r="237" spans="1:10">
      <c r="A237" s="415" t="s">
        <v>1118</v>
      </c>
      <c r="D237" s="418">
        <v>-794421455</v>
      </c>
      <c r="E237" s="418">
        <v>-447845070</v>
      </c>
      <c r="F237" s="418">
        <v>-2019700591</v>
      </c>
      <c r="G237" s="418">
        <v>-2108742239</v>
      </c>
      <c r="H237" s="418">
        <v>-2123469620</v>
      </c>
      <c r="I237" s="418">
        <v>-4769101954</v>
      </c>
      <c r="J237" s="418">
        <v>7678015222</v>
      </c>
    </row>
    <row r="238" spans="1:10">
      <c r="A238" s="415" t="s">
        <v>1119</v>
      </c>
      <c r="D238" s="418">
        <v>4026834658</v>
      </c>
      <c r="E238" s="418">
        <v>4026834658</v>
      </c>
      <c r="F238" s="418">
        <v>4500001784</v>
      </c>
      <c r="G238" s="418">
        <v>4500001784</v>
      </c>
      <c r="H238" s="418">
        <v>4500001784</v>
      </c>
      <c r="I238" s="418">
        <v>4839002616.5500002</v>
      </c>
      <c r="J238" s="418">
        <v>4839002616.5500002</v>
      </c>
    </row>
    <row r="239" spans="1:10">
      <c r="A239" s="415" t="s">
        <v>877</v>
      </c>
      <c r="D239" s="418">
        <v>281177345</v>
      </c>
      <c r="E239" s="418">
        <v>339114762</v>
      </c>
      <c r="F239" s="418">
        <v>375874386</v>
      </c>
      <c r="G239" s="418">
        <v>420798401</v>
      </c>
      <c r="H239" s="418">
        <v>472032482</v>
      </c>
      <c r="I239" s="418">
        <v>564818042</v>
      </c>
      <c r="J239" s="418">
        <v>582861392</v>
      </c>
    </row>
    <row r="240" spans="1:10">
      <c r="A240" s="415" t="s">
        <v>878</v>
      </c>
      <c r="D240" s="418">
        <v>344228259</v>
      </c>
      <c r="E240" s="418">
        <v>344228259</v>
      </c>
      <c r="F240" s="418">
        <v>344228259</v>
      </c>
      <c r="G240" s="418">
        <v>344228259</v>
      </c>
      <c r="H240" s="418">
        <v>344228259</v>
      </c>
      <c r="I240" s="418">
        <v>344228259</v>
      </c>
      <c r="J240" s="418">
        <v>344228259</v>
      </c>
    </row>
    <row r="241" spans="1:10">
      <c r="A241" s="415" t="s">
        <v>879</v>
      </c>
      <c r="D241" s="422">
        <v>-71004379</v>
      </c>
      <c r="E241" s="422">
        <v>-81787600</v>
      </c>
      <c r="F241" s="422">
        <v>-54915002</v>
      </c>
      <c r="G241" s="422">
        <v>-96081264</v>
      </c>
      <c r="H241" s="422">
        <v>-88547914</v>
      </c>
      <c r="I241" s="422">
        <v>-12776928</v>
      </c>
      <c r="J241" s="422">
        <v>-32058555</v>
      </c>
    </row>
    <row r="242" spans="1:10">
      <c r="A242" s="417" t="s">
        <v>876</v>
      </c>
      <c r="D242" s="418">
        <f>SUM(D237:D241)</f>
        <v>3786814428</v>
      </c>
      <c r="E242" s="418">
        <f t="shared" ref="E242:J242" si="32">SUM(E237:E241)</f>
        <v>4180545009</v>
      </c>
      <c r="F242" s="418">
        <f t="shared" si="32"/>
        <v>3145488836</v>
      </c>
      <c r="G242" s="418">
        <v>3060204941</v>
      </c>
      <c r="H242" s="418">
        <v>3104244991</v>
      </c>
      <c r="I242" s="418">
        <f t="shared" si="32"/>
        <v>966170035.55000019</v>
      </c>
      <c r="J242" s="418">
        <f t="shared" si="32"/>
        <v>13412048934.549999</v>
      </c>
    </row>
    <row r="243" spans="1:10">
      <c r="A243" s="417"/>
      <c r="D243" s="418"/>
      <c r="E243" s="418"/>
      <c r="F243" s="418"/>
      <c r="G243" s="418"/>
      <c r="H243" s="418"/>
      <c r="I243" s="418"/>
      <c r="J243" s="418"/>
    </row>
    <row r="244" spans="1:10">
      <c r="A244" s="415" t="s">
        <v>874</v>
      </c>
      <c r="D244" s="418">
        <v>86452000</v>
      </c>
      <c r="E244" s="418">
        <v>86452000</v>
      </c>
      <c r="F244" s="418">
        <f>86452000+327372222</f>
        <v>413824222</v>
      </c>
      <c r="G244" s="418">
        <v>420824222</v>
      </c>
      <c r="H244" s="418">
        <v>443740889</v>
      </c>
      <c r="I244" s="418">
        <v>357288889</v>
      </c>
      <c r="J244" s="418">
        <v>357288889</v>
      </c>
    </row>
    <row r="245" spans="1:10">
      <c r="A245" s="415" t="s">
        <v>856</v>
      </c>
      <c r="D245" s="422"/>
      <c r="E245" s="422"/>
      <c r="F245" s="422"/>
      <c r="G245" s="422"/>
      <c r="H245" s="422"/>
      <c r="I245" s="422"/>
      <c r="J245" s="422">
        <v>-3515701595</v>
      </c>
    </row>
    <row r="246" spans="1:10">
      <c r="A246" s="417" t="s">
        <v>875</v>
      </c>
      <c r="D246" s="418">
        <f>SUM(D244:D245)</f>
        <v>86452000</v>
      </c>
      <c r="E246" s="418">
        <f t="shared" ref="E246:J246" si="33">SUM(E244:E245)</f>
        <v>86452000</v>
      </c>
      <c r="F246" s="418">
        <f t="shared" si="33"/>
        <v>413824222</v>
      </c>
      <c r="G246" s="418">
        <v>420824222</v>
      </c>
      <c r="H246" s="418">
        <v>443740889</v>
      </c>
      <c r="I246" s="418">
        <f t="shared" si="33"/>
        <v>357288889</v>
      </c>
      <c r="J246" s="418">
        <f t="shared" si="33"/>
        <v>-3158412706</v>
      </c>
    </row>
    <row r="247" spans="1:10">
      <c r="A247" s="481"/>
      <c r="D247" s="418"/>
      <c r="E247" s="418"/>
      <c r="F247" s="418"/>
      <c r="G247" s="418"/>
      <c r="H247" s="418"/>
      <c r="I247" s="418"/>
      <c r="J247" s="418"/>
    </row>
    <row r="248" spans="1:10">
      <c r="A248" s="384" t="s">
        <v>777</v>
      </c>
      <c r="D248" s="418"/>
      <c r="E248" s="418"/>
      <c r="F248" s="418"/>
      <c r="G248" s="418"/>
      <c r="H248" s="418"/>
      <c r="I248" s="418"/>
      <c r="J248" s="418"/>
    </row>
    <row r="249" spans="1:10">
      <c r="A249" s="312" t="s">
        <v>778</v>
      </c>
      <c r="D249" s="418">
        <v>0</v>
      </c>
      <c r="E249" s="1043">
        <v>0</v>
      </c>
      <c r="F249" s="418">
        <v>0</v>
      </c>
      <c r="G249" s="418">
        <v>0</v>
      </c>
      <c r="H249" s="418">
        <v>0</v>
      </c>
      <c r="I249" s="418">
        <v>0</v>
      </c>
      <c r="J249" s="418"/>
    </row>
    <row r="250" spans="1:10">
      <c r="A250" s="312" t="s">
        <v>779</v>
      </c>
      <c r="D250" s="418">
        <v>1603056915.2079105</v>
      </c>
      <c r="E250" s="1043">
        <v>1639320437.4579105</v>
      </c>
      <c r="F250" s="418">
        <v>1601594437.4579105</v>
      </c>
      <c r="G250" s="418">
        <v>1660396789.7079105</v>
      </c>
      <c r="H250" s="418">
        <v>1714628539.7079105</v>
      </c>
      <c r="I250" s="418">
        <v>1714628539.7079105</v>
      </c>
      <c r="J250" s="418">
        <v>1694739209.9879107</v>
      </c>
    </row>
    <row r="251" spans="1:10">
      <c r="A251" s="481"/>
      <c r="D251" s="418"/>
      <c r="E251" s="418"/>
      <c r="F251" s="418"/>
      <c r="G251" s="418"/>
      <c r="H251" s="418"/>
      <c r="I251" s="418"/>
      <c r="J251" s="418"/>
    </row>
    <row r="252" spans="1:10">
      <c r="A252" s="481"/>
      <c r="D252" s="418"/>
      <c r="E252" s="418"/>
      <c r="F252" s="418"/>
      <c r="G252" s="418"/>
      <c r="H252" s="418"/>
      <c r="I252" s="418"/>
      <c r="J252" s="418"/>
    </row>
    <row r="253" spans="1:10">
      <c r="A253" s="481"/>
      <c r="D253" s="418"/>
      <c r="E253" s="418"/>
      <c r="F253" s="418"/>
      <c r="G253" s="418"/>
      <c r="H253" s="418"/>
      <c r="I253" s="418"/>
      <c r="J253" s="418"/>
    </row>
    <row r="254" spans="1:10">
      <c r="A254" s="481"/>
      <c r="D254" s="418"/>
      <c r="E254" s="418"/>
      <c r="F254" s="418"/>
      <c r="G254" s="418"/>
      <c r="H254" s="418"/>
      <c r="I254" s="418"/>
      <c r="J254" s="418"/>
    </row>
    <row r="255" spans="1:10">
      <c r="A255" s="481"/>
      <c r="D255" s="418"/>
      <c r="E255" s="418"/>
      <c r="F255" s="418"/>
      <c r="G255" s="418"/>
      <c r="H255" s="418"/>
      <c r="I255" s="418"/>
      <c r="J255" s="418"/>
    </row>
    <row r="256" spans="1:10">
      <c r="A256" s="481"/>
      <c r="D256" s="418"/>
      <c r="E256" s="418"/>
      <c r="F256" s="418"/>
      <c r="G256" s="418"/>
      <c r="H256" s="418"/>
      <c r="I256" s="418"/>
      <c r="J256" s="418"/>
    </row>
    <row r="257" spans="1:1">
      <c r="A257" s="481"/>
    </row>
    <row r="258" spans="1:1">
      <c r="A258" s="481"/>
    </row>
    <row r="259" spans="1:1">
      <c r="A259" s="481"/>
    </row>
    <row r="260" spans="1:1">
      <c r="A260" s="481"/>
    </row>
    <row r="261" spans="1:1">
      <c r="A261" s="481"/>
    </row>
    <row r="262" spans="1:1">
      <c r="A262" s="481"/>
    </row>
    <row r="263" spans="1:1">
      <c r="A263" s="481"/>
    </row>
    <row r="264" spans="1:1">
      <c r="A264" s="481"/>
    </row>
    <row r="265" spans="1:1">
      <c r="A265" s="481"/>
    </row>
  </sheetData>
  <mergeCells count="4">
    <mergeCell ref="A125:C126"/>
    <mergeCell ref="A1:J1"/>
    <mergeCell ref="A2:J2"/>
    <mergeCell ref="A3:J3"/>
  </mergeCells>
  <pageMargins left="0.7" right="0.7" top="0.75" bottom="0.75" header="0.3" footer="0.3"/>
  <pageSetup paperSize="9" orientation="portrait" verticalDpi="30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1"/>
  <sheetViews>
    <sheetView workbookViewId="0">
      <selection activeCell="B2" sqref="B2"/>
    </sheetView>
  </sheetViews>
  <sheetFormatPr defaultRowHeight="13"/>
  <cols>
    <col min="2" max="2" width="12.7265625" bestFit="1" customWidth="1"/>
    <col min="4" max="4" width="69.7265625" style="313" customWidth="1"/>
  </cols>
  <sheetData>
    <row r="1" spans="1:5">
      <c r="A1" t="s">
        <v>1432</v>
      </c>
      <c r="B1" t="s">
        <v>1433</v>
      </c>
      <c r="D1" s="265" t="s">
        <v>1004</v>
      </c>
    </row>
    <row r="2" spans="1:5">
      <c r="A2" t="s">
        <v>1434</v>
      </c>
      <c r="B2" t="s">
        <v>1435</v>
      </c>
      <c r="D2" s="265" t="s">
        <v>1434</v>
      </c>
      <c r="E2" t="s">
        <v>1435</v>
      </c>
    </row>
    <row r="3" spans="1:5">
      <c r="A3" t="s">
        <v>1436</v>
      </c>
      <c r="B3" t="s">
        <v>1437</v>
      </c>
      <c r="D3" s="265" t="s">
        <v>1436</v>
      </c>
      <c r="E3" t="s">
        <v>1437</v>
      </c>
    </row>
    <row r="4" spans="1:5">
      <c r="A4" t="s">
        <v>1438</v>
      </c>
      <c r="B4" t="s">
        <v>1439</v>
      </c>
      <c r="D4" s="265" t="s">
        <v>1438</v>
      </c>
      <c r="E4" t="s">
        <v>1439</v>
      </c>
    </row>
    <row r="5" spans="1:5">
      <c r="A5" t="s">
        <v>1440</v>
      </c>
      <c r="B5" t="s">
        <v>1441</v>
      </c>
      <c r="D5" s="265" t="s">
        <v>1440</v>
      </c>
      <c r="E5" t="s">
        <v>1441</v>
      </c>
    </row>
    <row r="6" spans="1:5">
      <c r="A6" t="s">
        <v>1442</v>
      </c>
      <c r="B6" t="s">
        <v>1443</v>
      </c>
      <c r="D6" s="265" t="s">
        <v>1442</v>
      </c>
      <c r="E6" t="s">
        <v>1443</v>
      </c>
    </row>
    <row r="7" spans="1:5">
      <c r="A7" t="s">
        <v>1444</v>
      </c>
      <c r="B7" t="s">
        <v>1445</v>
      </c>
      <c r="D7" s="265" t="s">
        <v>1444</v>
      </c>
      <c r="E7" t="s">
        <v>1445</v>
      </c>
    </row>
    <row r="8" spans="1:5">
      <c r="A8" t="s">
        <v>1446</v>
      </c>
      <c r="B8" t="s">
        <v>1447</v>
      </c>
      <c r="D8" s="265" t="s">
        <v>1446</v>
      </c>
      <c r="E8" t="s">
        <v>1447</v>
      </c>
    </row>
    <row r="9" spans="1:5">
      <c r="A9" t="s">
        <v>1448</v>
      </c>
      <c r="B9" t="s">
        <v>1449</v>
      </c>
      <c r="D9" s="265" t="s">
        <v>1882</v>
      </c>
      <c r="E9" t="s">
        <v>1901</v>
      </c>
    </row>
    <row r="10" spans="1:5">
      <c r="A10" t="s">
        <v>1450</v>
      </c>
      <c r="B10" t="s">
        <v>1451</v>
      </c>
      <c r="D10" s="265" t="s">
        <v>1448</v>
      </c>
      <c r="E10" t="s">
        <v>1449</v>
      </c>
    </row>
    <row r="11" spans="1:5">
      <c r="A11" t="s">
        <v>1452</v>
      </c>
      <c r="B11" t="s">
        <v>1453</v>
      </c>
      <c r="D11" s="265" t="s">
        <v>1450</v>
      </c>
      <c r="E11" t="s">
        <v>1451</v>
      </c>
    </row>
    <row r="12" spans="1:5">
      <c r="A12" t="s">
        <v>1454</v>
      </c>
      <c r="B12" t="s">
        <v>1455</v>
      </c>
      <c r="D12" s="265" t="s">
        <v>1452</v>
      </c>
      <c r="E12" t="s">
        <v>1453</v>
      </c>
    </row>
    <row r="13" spans="1:5">
      <c r="A13" t="s">
        <v>1456</v>
      </c>
      <c r="B13" t="s">
        <v>1457</v>
      </c>
      <c r="D13" s="265" t="s">
        <v>1454</v>
      </c>
      <c r="E13" t="s">
        <v>1455</v>
      </c>
    </row>
    <row r="14" spans="1:5">
      <c r="A14" t="s">
        <v>1458</v>
      </c>
      <c r="B14" t="s">
        <v>1453</v>
      </c>
      <c r="D14" s="265" t="s">
        <v>1456</v>
      </c>
      <c r="E14" t="s">
        <v>1457</v>
      </c>
    </row>
    <row r="15" spans="1:5">
      <c r="A15" t="s">
        <v>1459</v>
      </c>
      <c r="B15" t="s">
        <v>1453</v>
      </c>
      <c r="D15" s="265" t="s">
        <v>1458</v>
      </c>
      <c r="E15" t="s">
        <v>1453</v>
      </c>
    </row>
    <row r="16" spans="1:5">
      <c r="A16" t="s">
        <v>1460</v>
      </c>
      <c r="B16" t="s">
        <v>1453</v>
      </c>
      <c r="D16" s="265" t="s">
        <v>1459</v>
      </c>
      <c r="E16" t="s">
        <v>1453</v>
      </c>
    </row>
    <row r="17" spans="1:5">
      <c r="A17" t="s">
        <v>1461</v>
      </c>
      <c r="B17" t="s">
        <v>1462</v>
      </c>
      <c r="D17" s="265" t="s">
        <v>1460</v>
      </c>
      <c r="E17" t="s">
        <v>1453</v>
      </c>
    </row>
    <row r="18" spans="1:5">
      <c r="A18" t="s">
        <v>1463</v>
      </c>
      <c r="D18" s="265" t="s">
        <v>1883</v>
      </c>
      <c r="E18" t="s">
        <v>1453</v>
      </c>
    </row>
    <row r="19" spans="1:5">
      <c r="A19" t="s">
        <v>1464</v>
      </c>
      <c r="B19" t="s">
        <v>1465</v>
      </c>
      <c r="D19" s="265" t="s">
        <v>1461</v>
      </c>
      <c r="E19" t="s">
        <v>1462</v>
      </c>
    </row>
    <row r="20" spans="1:5">
      <c r="A20" t="s">
        <v>1466</v>
      </c>
      <c r="B20" t="s">
        <v>1467</v>
      </c>
      <c r="D20" s="265" t="s">
        <v>1464</v>
      </c>
      <c r="E20" t="s">
        <v>1465</v>
      </c>
    </row>
    <row r="21" spans="1:5">
      <c r="A21" t="s">
        <v>1468</v>
      </c>
      <c r="B21" t="s">
        <v>1469</v>
      </c>
      <c r="D21" s="265" t="s">
        <v>1466</v>
      </c>
      <c r="E21" t="s">
        <v>1467</v>
      </c>
    </row>
    <row r="22" spans="1:5">
      <c r="A22" t="s">
        <v>1470</v>
      </c>
      <c r="B22" t="s">
        <v>1471</v>
      </c>
      <c r="D22" s="265" t="s">
        <v>1468</v>
      </c>
      <c r="E22" t="s">
        <v>1469</v>
      </c>
    </row>
    <row r="23" spans="1:5">
      <c r="A23" t="s">
        <v>1472</v>
      </c>
      <c r="B23" t="s">
        <v>1471</v>
      </c>
      <c r="D23" s="265" t="s">
        <v>1470</v>
      </c>
      <c r="E23" t="s">
        <v>1471</v>
      </c>
    </row>
    <row r="24" spans="1:5">
      <c r="A24" t="s">
        <v>1473</v>
      </c>
      <c r="B24" t="s">
        <v>1471</v>
      </c>
      <c r="D24" s="265" t="s">
        <v>1472</v>
      </c>
      <c r="E24" t="s">
        <v>1471</v>
      </c>
    </row>
    <row r="25" spans="1:5">
      <c r="A25" t="s">
        <v>1474</v>
      </c>
      <c r="B25" t="s">
        <v>1471</v>
      </c>
      <c r="D25" s="265" t="s">
        <v>1473</v>
      </c>
      <c r="E25" t="s">
        <v>1471</v>
      </c>
    </row>
    <row r="26" spans="1:5">
      <c r="A26" t="s">
        <v>1475</v>
      </c>
      <c r="B26" t="s">
        <v>1471</v>
      </c>
      <c r="D26" s="265" t="s">
        <v>1474</v>
      </c>
      <c r="E26" t="s">
        <v>1471</v>
      </c>
    </row>
    <row r="27" spans="1:5">
      <c r="A27" t="s">
        <v>1476</v>
      </c>
      <c r="B27" t="s">
        <v>1471</v>
      </c>
      <c r="D27" s="265" t="s">
        <v>1475</v>
      </c>
      <c r="E27" t="s">
        <v>1471</v>
      </c>
    </row>
    <row r="28" spans="1:5">
      <c r="A28" t="s">
        <v>1477</v>
      </c>
      <c r="B28" t="s">
        <v>1471</v>
      </c>
      <c r="D28" s="265" t="s">
        <v>1476</v>
      </c>
      <c r="E28" t="s">
        <v>1471</v>
      </c>
    </row>
    <row r="29" spans="1:5">
      <c r="A29" t="s">
        <v>1478</v>
      </c>
      <c r="B29" t="s">
        <v>1471</v>
      </c>
      <c r="D29" s="265" t="s">
        <v>1477</v>
      </c>
      <c r="E29" t="s">
        <v>1471</v>
      </c>
    </row>
    <row r="30" spans="1:5">
      <c r="A30" t="s">
        <v>1479</v>
      </c>
      <c r="B30" t="s">
        <v>1471</v>
      </c>
      <c r="D30" s="265" t="s">
        <v>1478</v>
      </c>
      <c r="E30" t="s">
        <v>1471</v>
      </c>
    </row>
    <row r="31" spans="1:5">
      <c r="A31" t="s">
        <v>1480</v>
      </c>
      <c r="B31" t="s">
        <v>1471</v>
      </c>
      <c r="D31" s="265" t="s">
        <v>1479</v>
      </c>
      <c r="E31" t="s">
        <v>1471</v>
      </c>
    </row>
    <row r="32" spans="1:5">
      <c r="A32" t="s">
        <v>1481</v>
      </c>
      <c r="B32" t="s">
        <v>1471</v>
      </c>
      <c r="D32" s="265" t="s">
        <v>1480</v>
      </c>
      <c r="E32" t="s">
        <v>1471</v>
      </c>
    </row>
    <row r="33" spans="1:5">
      <c r="A33" t="s">
        <v>1482</v>
      </c>
      <c r="B33" t="s">
        <v>1471</v>
      </c>
      <c r="D33" s="265" t="s">
        <v>1481</v>
      </c>
      <c r="E33" t="s">
        <v>1471</v>
      </c>
    </row>
    <row r="34" spans="1:5">
      <c r="A34" t="s">
        <v>1483</v>
      </c>
      <c r="B34" t="s">
        <v>1471</v>
      </c>
      <c r="D34" s="265" t="s">
        <v>1483</v>
      </c>
      <c r="E34" t="s">
        <v>1471</v>
      </c>
    </row>
    <row r="35" spans="1:5">
      <c r="A35" t="s">
        <v>1484</v>
      </c>
      <c r="B35" t="s">
        <v>1471</v>
      </c>
      <c r="D35" s="265" t="s">
        <v>1484</v>
      </c>
      <c r="E35" t="s">
        <v>1471</v>
      </c>
    </row>
    <row r="36" spans="1:5">
      <c r="A36" t="s">
        <v>1485</v>
      </c>
      <c r="B36" t="s">
        <v>1471</v>
      </c>
      <c r="D36" s="265" t="s">
        <v>1485</v>
      </c>
      <c r="E36" t="s">
        <v>1471</v>
      </c>
    </row>
    <row r="37" spans="1:5">
      <c r="A37" t="s">
        <v>1486</v>
      </c>
      <c r="B37" t="s">
        <v>1471</v>
      </c>
      <c r="D37" s="265" t="s">
        <v>1486</v>
      </c>
      <c r="E37" t="s">
        <v>1471</v>
      </c>
    </row>
    <row r="38" spans="1:5">
      <c r="A38" t="s">
        <v>1487</v>
      </c>
      <c r="B38" t="s">
        <v>1471</v>
      </c>
      <c r="D38" s="265" t="s">
        <v>1487</v>
      </c>
      <c r="E38" t="s">
        <v>1471</v>
      </c>
    </row>
    <row r="39" spans="1:5">
      <c r="A39" t="s">
        <v>1488</v>
      </c>
      <c r="B39" t="s">
        <v>1471</v>
      </c>
      <c r="D39" s="265" t="s">
        <v>1488</v>
      </c>
      <c r="E39" t="s">
        <v>1471</v>
      </c>
    </row>
    <row r="40" spans="1:5">
      <c r="A40" t="s">
        <v>1489</v>
      </c>
      <c r="B40" t="s">
        <v>1471</v>
      </c>
      <c r="D40" s="265" t="s">
        <v>1489</v>
      </c>
      <c r="E40" t="s">
        <v>1471</v>
      </c>
    </row>
    <row r="41" spans="1:5">
      <c r="A41" t="s">
        <v>1490</v>
      </c>
      <c r="B41" t="s">
        <v>1471</v>
      </c>
      <c r="D41" s="265" t="s">
        <v>1490</v>
      </c>
      <c r="E41" t="s">
        <v>1471</v>
      </c>
    </row>
    <row r="42" spans="1:5">
      <c r="A42" t="s">
        <v>1491</v>
      </c>
      <c r="B42" t="s">
        <v>1471</v>
      </c>
      <c r="D42" s="265" t="s">
        <v>1491</v>
      </c>
      <c r="E42" t="s">
        <v>1471</v>
      </c>
    </row>
    <row r="43" spans="1:5">
      <c r="A43" t="s">
        <v>1492</v>
      </c>
      <c r="B43" t="s">
        <v>1471</v>
      </c>
      <c r="D43" s="265" t="s">
        <v>1492</v>
      </c>
      <c r="E43" t="s">
        <v>1471</v>
      </c>
    </row>
    <row r="44" spans="1:5">
      <c r="A44" t="s">
        <v>1493</v>
      </c>
      <c r="B44" t="s">
        <v>1471</v>
      </c>
      <c r="D44" s="265" t="s">
        <v>1493</v>
      </c>
      <c r="E44" t="s">
        <v>1471</v>
      </c>
    </row>
    <row r="45" spans="1:5">
      <c r="A45" t="s">
        <v>1494</v>
      </c>
      <c r="B45" t="s">
        <v>1471</v>
      </c>
      <c r="D45" s="265" t="s">
        <v>1494</v>
      </c>
      <c r="E45" t="s">
        <v>1471</v>
      </c>
    </row>
    <row r="46" spans="1:5">
      <c r="A46" t="s">
        <v>1495</v>
      </c>
      <c r="B46" t="s">
        <v>1471</v>
      </c>
      <c r="D46" s="265" t="s">
        <v>1495</v>
      </c>
      <c r="E46" t="s">
        <v>1471</v>
      </c>
    </row>
    <row r="47" spans="1:5">
      <c r="A47" t="s">
        <v>1496</v>
      </c>
      <c r="B47" t="s">
        <v>1471</v>
      </c>
      <c r="D47" s="265" t="s">
        <v>1496</v>
      </c>
      <c r="E47" t="s">
        <v>1471</v>
      </c>
    </row>
    <row r="48" spans="1:5">
      <c r="A48" t="s">
        <v>1497</v>
      </c>
      <c r="B48" t="s">
        <v>1471</v>
      </c>
      <c r="D48" s="265" t="s">
        <v>1497</v>
      </c>
      <c r="E48" t="s">
        <v>1471</v>
      </c>
    </row>
    <row r="49" spans="1:5">
      <c r="A49" t="s">
        <v>1498</v>
      </c>
      <c r="B49" t="s">
        <v>1471</v>
      </c>
      <c r="D49" s="265" t="s">
        <v>1498</v>
      </c>
      <c r="E49" t="s">
        <v>1471</v>
      </c>
    </row>
    <row r="50" spans="1:5">
      <c r="A50" t="s">
        <v>1499</v>
      </c>
      <c r="B50" t="s">
        <v>1471</v>
      </c>
      <c r="D50" s="265" t="s">
        <v>1499</v>
      </c>
      <c r="E50" t="s">
        <v>1471</v>
      </c>
    </row>
    <row r="51" spans="1:5">
      <c r="A51" t="s">
        <v>1500</v>
      </c>
      <c r="B51" t="s">
        <v>1471</v>
      </c>
      <c r="D51" s="265" t="s">
        <v>1500</v>
      </c>
      <c r="E51" t="s">
        <v>1471</v>
      </c>
    </row>
    <row r="52" spans="1:5">
      <c r="A52" t="s">
        <v>1501</v>
      </c>
      <c r="B52" t="s">
        <v>1471</v>
      </c>
      <c r="D52" s="265" t="s">
        <v>1501</v>
      </c>
      <c r="E52" t="s">
        <v>1471</v>
      </c>
    </row>
    <row r="53" spans="1:5">
      <c r="A53" t="s">
        <v>1502</v>
      </c>
      <c r="B53" t="s">
        <v>1471</v>
      </c>
      <c r="D53" s="265" t="s">
        <v>1502</v>
      </c>
      <c r="E53" t="s">
        <v>1471</v>
      </c>
    </row>
    <row r="54" spans="1:5">
      <c r="A54" t="s">
        <v>1503</v>
      </c>
      <c r="B54" t="s">
        <v>1471</v>
      </c>
      <c r="D54" s="265" t="s">
        <v>1503</v>
      </c>
      <c r="E54" t="s">
        <v>1471</v>
      </c>
    </row>
    <row r="55" spans="1:5">
      <c r="A55" t="s">
        <v>1504</v>
      </c>
      <c r="B55" t="s">
        <v>1471</v>
      </c>
      <c r="D55" s="265" t="s">
        <v>1504</v>
      </c>
      <c r="E55" t="s">
        <v>1471</v>
      </c>
    </row>
    <row r="56" spans="1:5">
      <c r="A56" t="s">
        <v>1505</v>
      </c>
      <c r="B56" t="s">
        <v>1471</v>
      </c>
      <c r="D56" s="265" t="s">
        <v>1505</v>
      </c>
      <c r="E56" t="s">
        <v>1471</v>
      </c>
    </row>
    <row r="57" spans="1:5">
      <c r="A57" t="s">
        <v>1506</v>
      </c>
      <c r="B57" t="s">
        <v>1471</v>
      </c>
      <c r="D57" s="265" t="s">
        <v>1506</v>
      </c>
      <c r="E57" t="s">
        <v>1471</v>
      </c>
    </row>
    <row r="58" spans="1:5">
      <c r="A58" t="s">
        <v>1507</v>
      </c>
      <c r="B58" t="s">
        <v>1471</v>
      </c>
      <c r="D58" s="265" t="s">
        <v>1507</v>
      </c>
      <c r="E58" t="s">
        <v>1471</v>
      </c>
    </row>
    <row r="59" spans="1:5">
      <c r="A59" t="s">
        <v>1508</v>
      </c>
      <c r="B59" t="s">
        <v>1471</v>
      </c>
      <c r="D59" s="265" t="s">
        <v>1508</v>
      </c>
      <c r="E59" t="s">
        <v>1471</v>
      </c>
    </row>
    <row r="60" spans="1:5">
      <c r="A60" t="s">
        <v>1509</v>
      </c>
      <c r="B60" t="s">
        <v>1471</v>
      </c>
      <c r="D60" s="265" t="s">
        <v>1509</v>
      </c>
      <c r="E60" t="s">
        <v>1471</v>
      </c>
    </row>
    <row r="61" spans="1:5">
      <c r="A61" t="s">
        <v>1510</v>
      </c>
      <c r="B61" t="s">
        <v>1511</v>
      </c>
      <c r="D61" s="265" t="s">
        <v>1884</v>
      </c>
      <c r="E61" t="s">
        <v>1471</v>
      </c>
    </row>
    <row r="62" spans="1:5">
      <c r="A62" t="s">
        <v>1512</v>
      </c>
      <c r="B62" t="s">
        <v>1511</v>
      </c>
      <c r="D62" s="265" t="s">
        <v>1885</v>
      </c>
      <c r="E62" t="s">
        <v>1471</v>
      </c>
    </row>
    <row r="63" spans="1:5">
      <c r="A63" t="s">
        <v>1513</v>
      </c>
      <c r="B63" t="s">
        <v>1511</v>
      </c>
      <c r="D63" s="265" t="s">
        <v>1886</v>
      </c>
      <c r="E63" t="s">
        <v>1471</v>
      </c>
    </row>
    <row r="64" spans="1:5">
      <c r="A64" t="s">
        <v>1514</v>
      </c>
      <c r="B64" t="s">
        <v>1511</v>
      </c>
      <c r="D64" s="265" t="s">
        <v>1887</v>
      </c>
      <c r="E64" t="s">
        <v>1471</v>
      </c>
    </row>
    <row r="65" spans="1:5">
      <c r="A65" t="s">
        <v>1515</v>
      </c>
      <c r="B65" t="s">
        <v>1511</v>
      </c>
      <c r="D65" s="265" t="s">
        <v>1888</v>
      </c>
      <c r="E65" t="s">
        <v>1471</v>
      </c>
    </row>
    <row r="66" spans="1:5">
      <c r="A66" t="s">
        <v>1516</v>
      </c>
      <c r="B66" t="s">
        <v>1511</v>
      </c>
      <c r="D66" s="265" t="s">
        <v>1889</v>
      </c>
      <c r="E66" t="s">
        <v>1471</v>
      </c>
    </row>
    <row r="67" spans="1:5">
      <c r="A67" t="s">
        <v>1517</v>
      </c>
      <c r="B67" t="s">
        <v>1511</v>
      </c>
      <c r="D67" s="265" t="s">
        <v>1890</v>
      </c>
      <c r="E67" t="s">
        <v>1471</v>
      </c>
    </row>
    <row r="68" spans="1:5">
      <c r="A68" t="s">
        <v>1518</v>
      </c>
      <c r="B68" t="s">
        <v>1519</v>
      </c>
      <c r="D68" s="265" t="s">
        <v>1510</v>
      </c>
      <c r="E68" t="s">
        <v>1511</v>
      </c>
    </row>
    <row r="69" spans="1:5">
      <c r="A69" t="s">
        <v>1520</v>
      </c>
      <c r="B69" t="s">
        <v>1519</v>
      </c>
      <c r="D69" s="265" t="s">
        <v>1512</v>
      </c>
      <c r="E69" t="s">
        <v>1511</v>
      </c>
    </row>
    <row r="70" spans="1:5">
      <c r="A70" t="s">
        <v>1521</v>
      </c>
      <c r="B70" t="s">
        <v>1519</v>
      </c>
      <c r="D70" s="265" t="s">
        <v>1513</v>
      </c>
      <c r="E70" t="s">
        <v>1511</v>
      </c>
    </row>
    <row r="71" spans="1:5">
      <c r="A71" t="s">
        <v>1522</v>
      </c>
      <c r="B71" t="s">
        <v>1519</v>
      </c>
      <c r="D71" s="265" t="s">
        <v>1514</v>
      </c>
      <c r="E71" t="s">
        <v>1511</v>
      </c>
    </row>
    <row r="72" spans="1:5">
      <c r="A72" t="s">
        <v>1523</v>
      </c>
      <c r="B72" t="s">
        <v>1519</v>
      </c>
      <c r="D72" s="265" t="s">
        <v>1515</v>
      </c>
      <c r="E72" t="s">
        <v>1511</v>
      </c>
    </row>
    <row r="73" spans="1:5">
      <c r="A73" t="s">
        <v>1524</v>
      </c>
      <c r="B73" t="s">
        <v>1519</v>
      </c>
      <c r="D73" s="265" t="s">
        <v>1516</v>
      </c>
      <c r="E73" t="s">
        <v>1511</v>
      </c>
    </row>
    <row r="74" spans="1:5">
      <c r="A74" t="s">
        <v>1525</v>
      </c>
      <c r="B74" t="s">
        <v>1519</v>
      </c>
      <c r="D74" s="265" t="s">
        <v>1517</v>
      </c>
      <c r="E74" t="s">
        <v>1511</v>
      </c>
    </row>
    <row r="75" spans="1:5">
      <c r="A75" t="s">
        <v>1526</v>
      </c>
      <c r="B75" t="s">
        <v>1527</v>
      </c>
      <c r="D75" s="265" t="s">
        <v>1520</v>
      </c>
      <c r="E75" t="s">
        <v>1519</v>
      </c>
    </row>
    <row r="76" spans="1:5">
      <c r="A76" t="s">
        <v>1528</v>
      </c>
      <c r="B76" t="s">
        <v>1529</v>
      </c>
      <c r="D76" s="265" t="s">
        <v>1521</v>
      </c>
      <c r="E76" t="s">
        <v>1519</v>
      </c>
    </row>
    <row r="77" spans="1:5">
      <c r="A77" t="s">
        <v>1530</v>
      </c>
      <c r="B77" t="s">
        <v>1529</v>
      </c>
      <c r="D77" s="265" t="s">
        <v>1522</v>
      </c>
      <c r="E77" t="s">
        <v>1519</v>
      </c>
    </row>
    <row r="78" spans="1:5">
      <c r="A78" t="s">
        <v>1531</v>
      </c>
      <c r="B78" t="s">
        <v>1532</v>
      </c>
      <c r="D78" s="265" t="s">
        <v>1523</v>
      </c>
      <c r="E78" t="s">
        <v>1519</v>
      </c>
    </row>
    <row r="79" spans="1:5">
      <c r="A79" t="s">
        <v>1533</v>
      </c>
      <c r="B79" t="s">
        <v>1532</v>
      </c>
      <c r="D79" s="265" t="s">
        <v>1524</v>
      </c>
      <c r="E79" t="s">
        <v>1519</v>
      </c>
    </row>
    <row r="80" spans="1:5">
      <c r="A80" t="s">
        <v>1534</v>
      </c>
      <c r="B80" t="s">
        <v>1532</v>
      </c>
      <c r="D80" s="265" t="s">
        <v>1526</v>
      </c>
      <c r="E80" t="s">
        <v>1527</v>
      </c>
    </row>
    <row r="81" spans="1:5">
      <c r="A81" t="s">
        <v>1535</v>
      </c>
      <c r="B81" t="s">
        <v>1532</v>
      </c>
      <c r="D81" s="265" t="s">
        <v>1528</v>
      </c>
      <c r="E81" t="s">
        <v>1529</v>
      </c>
    </row>
    <row r="82" spans="1:5">
      <c r="A82" t="s">
        <v>1536</v>
      </c>
      <c r="B82" t="s">
        <v>1532</v>
      </c>
      <c r="D82" s="265" t="s">
        <v>1530</v>
      </c>
      <c r="E82" t="s">
        <v>1529</v>
      </c>
    </row>
    <row r="83" spans="1:5">
      <c r="A83" t="s">
        <v>1537</v>
      </c>
      <c r="B83" t="s">
        <v>1532</v>
      </c>
      <c r="D83" s="265" t="s">
        <v>1531</v>
      </c>
      <c r="E83" t="s">
        <v>1532</v>
      </c>
    </row>
    <row r="84" spans="1:5">
      <c r="A84" t="s">
        <v>1538</v>
      </c>
      <c r="B84" t="s">
        <v>1527</v>
      </c>
      <c r="D84" s="265" t="s">
        <v>1533</v>
      </c>
      <c r="E84" t="s">
        <v>1532</v>
      </c>
    </row>
    <row r="85" spans="1:5">
      <c r="A85" t="s">
        <v>1539</v>
      </c>
      <c r="B85" t="s">
        <v>1527</v>
      </c>
      <c r="D85" s="265" t="s">
        <v>1534</v>
      </c>
      <c r="E85" t="s">
        <v>1532</v>
      </c>
    </row>
    <row r="86" spans="1:5">
      <c r="A86" t="s">
        <v>1540</v>
      </c>
      <c r="B86" t="s">
        <v>1532</v>
      </c>
      <c r="D86" s="265" t="s">
        <v>1535</v>
      </c>
      <c r="E86" t="s">
        <v>1532</v>
      </c>
    </row>
    <row r="87" spans="1:5">
      <c r="A87" t="s">
        <v>1541</v>
      </c>
      <c r="B87" t="s">
        <v>1532</v>
      </c>
      <c r="D87" s="265" t="s">
        <v>1536</v>
      </c>
      <c r="E87" t="s">
        <v>1532</v>
      </c>
    </row>
    <row r="88" spans="1:5">
      <c r="A88" t="s">
        <v>1542</v>
      </c>
      <c r="B88" t="s">
        <v>1527</v>
      </c>
      <c r="D88" s="265" t="s">
        <v>1537</v>
      </c>
      <c r="E88" t="s">
        <v>1532</v>
      </c>
    </row>
    <row r="89" spans="1:5">
      <c r="A89" t="s">
        <v>1543</v>
      </c>
      <c r="B89" t="s">
        <v>1527</v>
      </c>
      <c r="D89" s="265" t="s">
        <v>1538</v>
      </c>
      <c r="E89" t="s">
        <v>1527</v>
      </c>
    </row>
    <row r="90" spans="1:5">
      <c r="A90" t="s">
        <v>1544</v>
      </c>
      <c r="B90" t="s">
        <v>1527</v>
      </c>
      <c r="D90" s="265" t="s">
        <v>1539</v>
      </c>
      <c r="E90" t="s">
        <v>1527</v>
      </c>
    </row>
    <row r="91" spans="1:5">
      <c r="A91" t="s">
        <v>1545</v>
      </c>
      <c r="B91" t="s">
        <v>1546</v>
      </c>
      <c r="D91" s="265" t="s">
        <v>1540</v>
      </c>
      <c r="E91" t="s">
        <v>1532</v>
      </c>
    </row>
    <row r="92" spans="1:5">
      <c r="A92" t="s">
        <v>1547</v>
      </c>
      <c r="B92" t="s">
        <v>1548</v>
      </c>
      <c r="D92" s="265" t="s">
        <v>1541</v>
      </c>
      <c r="E92" t="s">
        <v>1532</v>
      </c>
    </row>
    <row r="93" spans="1:5">
      <c r="A93" t="s">
        <v>1549</v>
      </c>
      <c r="B93" t="s">
        <v>1550</v>
      </c>
      <c r="D93" s="265" t="s">
        <v>1542</v>
      </c>
      <c r="E93" t="s">
        <v>1527</v>
      </c>
    </row>
    <row r="94" spans="1:5">
      <c r="A94" t="s">
        <v>1551</v>
      </c>
      <c r="B94" t="s">
        <v>1550</v>
      </c>
      <c r="D94" s="265" t="s">
        <v>1543</v>
      </c>
      <c r="E94" t="s">
        <v>1527</v>
      </c>
    </row>
    <row r="95" spans="1:5">
      <c r="A95" t="s">
        <v>1552</v>
      </c>
      <c r="B95" t="s">
        <v>1553</v>
      </c>
      <c r="D95" s="265" t="s">
        <v>1544</v>
      </c>
      <c r="E95" t="s">
        <v>1527</v>
      </c>
    </row>
    <row r="96" spans="1:5">
      <c r="A96" t="s">
        <v>1554</v>
      </c>
      <c r="B96" t="s">
        <v>1553</v>
      </c>
      <c r="D96" s="265" t="s">
        <v>1545</v>
      </c>
      <c r="E96" t="s">
        <v>1546</v>
      </c>
    </row>
    <row r="97" spans="1:5">
      <c r="A97" t="s">
        <v>1555</v>
      </c>
      <c r="B97" t="s">
        <v>1553</v>
      </c>
      <c r="D97" s="265" t="s">
        <v>1547</v>
      </c>
      <c r="E97" t="s">
        <v>1548</v>
      </c>
    </row>
    <row r="98" spans="1:5">
      <c r="A98" t="s">
        <v>1556</v>
      </c>
      <c r="B98" t="s">
        <v>1553</v>
      </c>
      <c r="D98" s="265" t="s">
        <v>1549</v>
      </c>
      <c r="E98" t="s">
        <v>1550</v>
      </c>
    </row>
    <row r="99" spans="1:5">
      <c r="A99" t="s">
        <v>1557</v>
      </c>
      <c r="B99" t="s">
        <v>1553</v>
      </c>
      <c r="D99" s="265" t="s">
        <v>1551</v>
      </c>
      <c r="E99" t="s">
        <v>1550</v>
      </c>
    </row>
    <row r="100" spans="1:5">
      <c r="A100" t="s">
        <v>1558</v>
      </c>
      <c r="B100" t="s">
        <v>1553</v>
      </c>
      <c r="D100" s="265" t="s">
        <v>1552</v>
      </c>
      <c r="E100" t="s">
        <v>1553</v>
      </c>
    </row>
    <row r="101" spans="1:5">
      <c r="A101" t="s">
        <v>1559</v>
      </c>
      <c r="B101" t="s">
        <v>1548</v>
      </c>
      <c r="D101" s="265" t="s">
        <v>1554</v>
      </c>
      <c r="E101" t="s">
        <v>1553</v>
      </c>
    </row>
    <row r="102" spans="1:5">
      <c r="A102" t="s">
        <v>1560</v>
      </c>
      <c r="B102" t="s">
        <v>1548</v>
      </c>
      <c r="D102" s="265" t="s">
        <v>1555</v>
      </c>
      <c r="E102" t="s">
        <v>1553</v>
      </c>
    </row>
    <row r="103" spans="1:5">
      <c r="A103" t="s">
        <v>1561</v>
      </c>
      <c r="B103" t="s">
        <v>1553</v>
      </c>
      <c r="D103" s="265" t="s">
        <v>1556</v>
      </c>
      <c r="E103" t="s">
        <v>1553</v>
      </c>
    </row>
    <row r="104" spans="1:5">
      <c r="A104" t="s">
        <v>1562</v>
      </c>
      <c r="B104" t="s">
        <v>1553</v>
      </c>
      <c r="D104" s="265" t="s">
        <v>1557</v>
      </c>
      <c r="E104" t="s">
        <v>1553</v>
      </c>
    </row>
    <row r="105" spans="1:5">
      <c r="A105" t="s">
        <v>1563</v>
      </c>
      <c r="B105" t="s">
        <v>1548</v>
      </c>
      <c r="D105" s="265" t="s">
        <v>1558</v>
      </c>
      <c r="E105" t="s">
        <v>1553</v>
      </c>
    </row>
    <row r="106" spans="1:5">
      <c r="A106" t="s">
        <v>1564</v>
      </c>
      <c r="B106" t="s">
        <v>1548</v>
      </c>
      <c r="D106" s="265" t="s">
        <v>1559</v>
      </c>
      <c r="E106" t="s">
        <v>1548</v>
      </c>
    </row>
    <row r="107" spans="1:5">
      <c r="A107" t="s">
        <v>1565</v>
      </c>
      <c r="B107" t="s">
        <v>1548</v>
      </c>
      <c r="D107" s="265" t="s">
        <v>1560</v>
      </c>
      <c r="E107" t="s">
        <v>1548</v>
      </c>
    </row>
    <row r="108" spans="1:5">
      <c r="A108" t="s">
        <v>1566</v>
      </c>
      <c r="B108" t="s">
        <v>1567</v>
      </c>
      <c r="D108" s="265" t="s">
        <v>1561</v>
      </c>
      <c r="E108" t="s">
        <v>1553</v>
      </c>
    </row>
    <row r="109" spans="1:5">
      <c r="A109" t="s">
        <v>1568</v>
      </c>
      <c r="B109" t="s">
        <v>1569</v>
      </c>
      <c r="D109" s="265" t="s">
        <v>1562</v>
      </c>
      <c r="E109" t="s">
        <v>1553</v>
      </c>
    </row>
    <row r="110" spans="1:5">
      <c r="A110" t="s">
        <v>1570</v>
      </c>
      <c r="B110" t="s">
        <v>1569</v>
      </c>
      <c r="D110" s="265" t="s">
        <v>1563</v>
      </c>
      <c r="E110" t="s">
        <v>1548</v>
      </c>
    </row>
    <row r="111" spans="1:5">
      <c r="A111" t="s">
        <v>1571</v>
      </c>
      <c r="B111" t="s">
        <v>1569</v>
      </c>
      <c r="D111" s="265" t="s">
        <v>1564</v>
      </c>
      <c r="E111" t="s">
        <v>1548</v>
      </c>
    </row>
    <row r="112" spans="1:5">
      <c r="A112" t="s">
        <v>1572</v>
      </c>
      <c r="B112" t="s">
        <v>1573</v>
      </c>
      <c r="D112" s="265" t="s">
        <v>1565</v>
      </c>
      <c r="E112" t="s">
        <v>1548</v>
      </c>
    </row>
    <row r="113" spans="1:5">
      <c r="A113" t="s">
        <v>1574</v>
      </c>
      <c r="B113" t="s">
        <v>1573</v>
      </c>
      <c r="D113" s="265" t="s">
        <v>1566</v>
      </c>
      <c r="E113" t="s">
        <v>1567</v>
      </c>
    </row>
    <row r="114" spans="1:5">
      <c r="A114" t="s">
        <v>1575</v>
      </c>
      <c r="B114" t="s">
        <v>1576</v>
      </c>
      <c r="D114" s="265" t="s">
        <v>1568</v>
      </c>
      <c r="E114" t="s">
        <v>1569</v>
      </c>
    </row>
    <row r="115" spans="1:5">
      <c r="A115" t="s">
        <v>1577</v>
      </c>
      <c r="B115" t="s">
        <v>1576</v>
      </c>
      <c r="D115" s="265" t="s">
        <v>1570</v>
      </c>
      <c r="E115" t="s">
        <v>1569</v>
      </c>
    </row>
    <row r="116" spans="1:5">
      <c r="A116" t="s">
        <v>1578</v>
      </c>
      <c r="B116" t="s">
        <v>1576</v>
      </c>
      <c r="D116" s="265" t="s">
        <v>1571</v>
      </c>
      <c r="E116" t="s">
        <v>1569</v>
      </c>
    </row>
    <row r="117" spans="1:5">
      <c r="A117" t="s">
        <v>1579</v>
      </c>
      <c r="B117" t="s">
        <v>1576</v>
      </c>
      <c r="D117" s="265" t="s">
        <v>1572</v>
      </c>
      <c r="E117" t="s">
        <v>1573</v>
      </c>
    </row>
    <row r="118" spans="1:5">
      <c r="A118" t="s">
        <v>1580</v>
      </c>
      <c r="B118" t="s">
        <v>1576</v>
      </c>
      <c r="D118" s="265" t="s">
        <v>1574</v>
      </c>
      <c r="E118" t="s">
        <v>1573</v>
      </c>
    </row>
    <row r="119" spans="1:5">
      <c r="A119" t="s">
        <v>1581</v>
      </c>
      <c r="B119" t="s">
        <v>1576</v>
      </c>
      <c r="D119" s="265" t="s">
        <v>1575</v>
      </c>
      <c r="E119" t="s">
        <v>1576</v>
      </c>
    </row>
    <row r="120" spans="1:5">
      <c r="A120" t="s">
        <v>1582</v>
      </c>
      <c r="B120" t="s">
        <v>1573</v>
      </c>
      <c r="D120" s="265" t="s">
        <v>1577</v>
      </c>
      <c r="E120" t="s">
        <v>1576</v>
      </c>
    </row>
    <row r="121" spans="1:5">
      <c r="A121" t="s">
        <v>1583</v>
      </c>
      <c r="B121" t="s">
        <v>1573</v>
      </c>
      <c r="D121" s="265" t="s">
        <v>1578</v>
      </c>
      <c r="E121" t="s">
        <v>1576</v>
      </c>
    </row>
    <row r="122" spans="1:5">
      <c r="A122" t="s">
        <v>1584</v>
      </c>
      <c r="B122" t="s">
        <v>1585</v>
      </c>
      <c r="D122" s="265" t="s">
        <v>1579</v>
      </c>
      <c r="E122" t="s">
        <v>1576</v>
      </c>
    </row>
    <row r="123" spans="1:5">
      <c r="A123" t="s">
        <v>1586</v>
      </c>
      <c r="B123" t="s">
        <v>1587</v>
      </c>
      <c r="D123" s="265" t="s">
        <v>1580</v>
      </c>
      <c r="E123" t="s">
        <v>1576</v>
      </c>
    </row>
    <row r="124" spans="1:5">
      <c r="A124" t="s">
        <v>1588</v>
      </c>
      <c r="B124" t="s">
        <v>1589</v>
      </c>
      <c r="D124" s="265" t="s">
        <v>1581</v>
      </c>
      <c r="E124" t="s">
        <v>1576</v>
      </c>
    </row>
    <row r="125" spans="1:5">
      <c r="A125" t="s">
        <v>1590</v>
      </c>
      <c r="B125" t="s">
        <v>1589</v>
      </c>
      <c r="D125" s="265" t="s">
        <v>1582</v>
      </c>
      <c r="E125" t="s">
        <v>1573</v>
      </c>
    </row>
    <row r="126" spans="1:5">
      <c r="A126" t="s">
        <v>1591</v>
      </c>
      <c r="B126" t="s">
        <v>1589</v>
      </c>
      <c r="D126" s="265" t="s">
        <v>1583</v>
      </c>
      <c r="E126" t="s">
        <v>1573</v>
      </c>
    </row>
    <row r="127" spans="1:5">
      <c r="A127" t="s">
        <v>1592</v>
      </c>
      <c r="B127" t="s">
        <v>1589</v>
      </c>
      <c r="D127" s="265" t="s">
        <v>1584</v>
      </c>
      <c r="E127" t="s">
        <v>1585</v>
      </c>
    </row>
    <row r="128" spans="1:5">
      <c r="A128" t="s">
        <v>1593</v>
      </c>
      <c r="B128" t="s">
        <v>1589</v>
      </c>
      <c r="D128" s="265" t="s">
        <v>1586</v>
      </c>
      <c r="E128" t="s">
        <v>1587</v>
      </c>
    </row>
    <row r="129" spans="1:5">
      <c r="A129" t="s">
        <v>1594</v>
      </c>
      <c r="B129" t="s">
        <v>1589</v>
      </c>
      <c r="D129" s="265" t="s">
        <v>1588</v>
      </c>
      <c r="E129" t="s">
        <v>1589</v>
      </c>
    </row>
    <row r="130" spans="1:5">
      <c r="A130" t="s">
        <v>1595</v>
      </c>
      <c r="B130" t="s">
        <v>1589</v>
      </c>
      <c r="D130" s="265" t="s">
        <v>1590</v>
      </c>
      <c r="E130" t="s">
        <v>1589</v>
      </c>
    </row>
    <row r="131" spans="1:5">
      <c r="A131" t="s">
        <v>1596</v>
      </c>
      <c r="B131" t="s">
        <v>1589</v>
      </c>
      <c r="D131" s="265" t="s">
        <v>1591</v>
      </c>
      <c r="E131" t="s">
        <v>1589</v>
      </c>
    </row>
    <row r="132" spans="1:5">
      <c r="A132" t="s">
        <v>1597</v>
      </c>
      <c r="B132" t="s">
        <v>1589</v>
      </c>
      <c r="D132" s="265" t="s">
        <v>1592</v>
      </c>
      <c r="E132" t="s">
        <v>1589</v>
      </c>
    </row>
    <row r="133" spans="1:5">
      <c r="A133" t="s">
        <v>1598</v>
      </c>
      <c r="B133" t="s">
        <v>1589</v>
      </c>
      <c r="D133" s="265" t="s">
        <v>1593</v>
      </c>
      <c r="E133" t="s">
        <v>1589</v>
      </c>
    </row>
    <row r="134" spans="1:5">
      <c r="A134" t="s">
        <v>1599</v>
      </c>
      <c r="B134" t="s">
        <v>1600</v>
      </c>
      <c r="D134" s="265" t="s">
        <v>1594</v>
      </c>
      <c r="E134" t="s">
        <v>1589</v>
      </c>
    </row>
    <row r="135" spans="1:5">
      <c r="A135" t="s">
        <v>1601</v>
      </c>
      <c r="B135" t="s">
        <v>1589</v>
      </c>
      <c r="D135" s="265" t="s">
        <v>1595</v>
      </c>
      <c r="E135" t="s">
        <v>1589</v>
      </c>
    </row>
    <row r="136" spans="1:5">
      <c r="A136" t="s">
        <v>1602</v>
      </c>
      <c r="B136" t="s">
        <v>1603</v>
      </c>
      <c r="D136" s="265" t="s">
        <v>1596</v>
      </c>
      <c r="E136" t="s">
        <v>1589</v>
      </c>
    </row>
    <row r="137" spans="1:5">
      <c r="A137" t="s">
        <v>1604</v>
      </c>
      <c r="B137" t="s">
        <v>1603</v>
      </c>
      <c r="D137" s="265" t="s">
        <v>1597</v>
      </c>
      <c r="E137" t="s">
        <v>1589</v>
      </c>
    </row>
    <row r="138" spans="1:5">
      <c r="A138" t="s">
        <v>1605</v>
      </c>
      <c r="B138" t="s">
        <v>1603</v>
      </c>
      <c r="D138" s="265" t="s">
        <v>1598</v>
      </c>
      <c r="E138" t="s">
        <v>1589</v>
      </c>
    </row>
    <row r="139" spans="1:5">
      <c r="A139" t="s">
        <v>1606</v>
      </c>
      <c r="B139" t="s">
        <v>1603</v>
      </c>
      <c r="D139" s="265" t="s">
        <v>1599</v>
      </c>
      <c r="E139" t="s">
        <v>1600</v>
      </c>
    </row>
    <row r="140" spans="1:5">
      <c r="A140" t="s">
        <v>1607</v>
      </c>
      <c r="B140" t="s">
        <v>1608</v>
      </c>
      <c r="D140" s="1079" t="s">
        <v>1601</v>
      </c>
      <c r="E140" t="s">
        <v>1589</v>
      </c>
    </row>
    <row r="141" spans="1:5">
      <c r="A141" t="s">
        <v>1609</v>
      </c>
      <c r="B141" t="s">
        <v>1610</v>
      </c>
      <c r="D141" s="265" t="s">
        <v>1602</v>
      </c>
      <c r="E141" t="s">
        <v>1603</v>
      </c>
    </row>
    <row r="142" spans="1:5">
      <c r="A142" t="s">
        <v>1611</v>
      </c>
      <c r="B142" t="s">
        <v>1612</v>
      </c>
      <c r="D142" s="393" t="s">
        <v>1605</v>
      </c>
      <c r="E142" t="s">
        <v>1603</v>
      </c>
    </row>
    <row r="143" spans="1:5">
      <c r="A143" t="s">
        <v>1613</v>
      </c>
      <c r="B143" t="s">
        <v>1614</v>
      </c>
      <c r="D143" s="265" t="s">
        <v>1606</v>
      </c>
      <c r="E143" t="s">
        <v>1603</v>
      </c>
    </row>
    <row r="144" spans="1:5">
      <c r="A144" t="s">
        <v>1615</v>
      </c>
      <c r="B144" t="s">
        <v>1614</v>
      </c>
      <c r="D144" s="265" t="s">
        <v>1607</v>
      </c>
      <c r="E144" t="s">
        <v>1608</v>
      </c>
    </row>
    <row r="145" spans="1:5">
      <c r="A145" t="s">
        <v>1616</v>
      </c>
      <c r="B145" t="s">
        <v>1617</v>
      </c>
      <c r="D145" s="265" t="s">
        <v>1609</v>
      </c>
      <c r="E145" t="s">
        <v>1610</v>
      </c>
    </row>
    <row r="146" spans="1:5">
      <c r="A146" t="s">
        <v>1618</v>
      </c>
      <c r="B146" t="s">
        <v>1619</v>
      </c>
      <c r="D146" s="265" t="s">
        <v>1611</v>
      </c>
      <c r="E146" t="s">
        <v>1612</v>
      </c>
    </row>
    <row r="147" spans="1:5">
      <c r="A147" t="s">
        <v>1620</v>
      </c>
      <c r="B147" t="s">
        <v>1621</v>
      </c>
      <c r="D147" s="265" t="s">
        <v>1613</v>
      </c>
      <c r="E147" t="s">
        <v>1614</v>
      </c>
    </row>
    <row r="148" spans="1:5">
      <c r="A148" t="s">
        <v>1622</v>
      </c>
      <c r="B148" t="s">
        <v>1623</v>
      </c>
      <c r="D148" s="265" t="s">
        <v>1615</v>
      </c>
      <c r="E148" t="s">
        <v>1614</v>
      </c>
    </row>
    <row r="149" spans="1:5">
      <c r="A149" t="s">
        <v>1624</v>
      </c>
      <c r="B149" t="s">
        <v>1625</v>
      </c>
      <c r="D149" s="265" t="s">
        <v>1616</v>
      </c>
      <c r="E149" t="s">
        <v>1617</v>
      </c>
    </row>
    <row r="150" spans="1:5">
      <c r="A150" t="s">
        <v>1626</v>
      </c>
      <c r="B150" t="s">
        <v>1627</v>
      </c>
      <c r="D150" s="265" t="s">
        <v>1618</v>
      </c>
      <c r="E150" t="s">
        <v>1619</v>
      </c>
    </row>
    <row r="151" spans="1:5">
      <c r="A151" t="s">
        <v>1628</v>
      </c>
      <c r="B151" t="s">
        <v>1629</v>
      </c>
      <c r="D151" s="265" t="s">
        <v>1620</v>
      </c>
      <c r="E151" t="s">
        <v>1621</v>
      </c>
    </row>
    <row r="152" spans="1:5">
      <c r="A152" t="s">
        <v>1630</v>
      </c>
      <c r="B152" t="s">
        <v>1631</v>
      </c>
      <c r="D152" s="265" t="s">
        <v>1622</v>
      </c>
      <c r="E152" t="s">
        <v>1623</v>
      </c>
    </row>
    <row r="153" spans="1:5">
      <c r="A153" t="s">
        <v>1632</v>
      </c>
      <c r="B153" t="s">
        <v>1633</v>
      </c>
      <c r="D153" s="265" t="s">
        <v>1624</v>
      </c>
      <c r="E153" t="s">
        <v>1625</v>
      </c>
    </row>
    <row r="154" spans="1:5">
      <c r="A154" t="s">
        <v>1634</v>
      </c>
      <c r="B154" t="s">
        <v>1635</v>
      </c>
      <c r="D154" s="265" t="s">
        <v>1628</v>
      </c>
      <c r="E154" t="s">
        <v>1629</v>
      </c>
    </row>
    <row r="155" spans="1:5">
      <c r="A155" t="s">
        <v>1636</v>
      </c>
      <c r="B155" t="s">
        <v>1637</v>
      </c>
      <c r="D155" s="265" t="s">
        <v>1630</v>
      </c>
      <c r="E155" t="s">
        <v>1631</v>
      </c>
    </row>
    <row r="156" spans="1:5">
      <c r="A156" t="s">
        <v>1638</v>
      </c>
      <c r="B156" t="s">
        <v>1639</v>
      </c>
      <c r="D156" s="265" t="s">
        <v>1632</v>
      </c>
      <c r="E156" t="s">
        <v>1633</v>
      </c>
    </row>
    <row r="157" spans="1:5">
      <c r="A157" t="s">
        <v>1640</v>
      </c>
      <c r="B157" t="s">
        <v>1641</v>
      </c>
      <c r="D157" s="265" t="s">
        <v>1634</v>
      </c>
      <c r="E157" t="s">
        <v>1635</v>
      </c>
    </row>
    <row r="158" spans="1:5">
      <c r="A158" t="s">
        <v>1642</v>
      </c>
      <c r="B158" t="s">
        <v>1643</v>
      </c>
      <c r="D158" s="265" t="s">
        <v>1636</v>
      </c>
      <c r="E158" t="s">
        <v>1637</v>
      </c>
    </row>
    <row r="159" spans="1:5">
      <c r="A159" t="s">
        <v>1644</v>
      </c>
      <c r="B159" t="s">
        <v>1645</v>
      </c>
      <c r="D159" s="265" t="s">
        <v>1638</v>
      </c>
      <c r="E159" t="s">
        <v>1639</v>
      </c>
    </row>
    <row r="160" spans="1:5">
      <c r="A160" t="s">
        <v>1646</v>
      </c>
      <c r="B160" t="s">
        <v>1647</v>
      </c>
      <c r="D160" s="265" t="s">
        <v>1640</v>
      </c>
      <c r="E160" t="s">
        <v>1641</v>
      </c>
    </row>
    <row r="161" spans="1:5">
      <c r="A161" t="s">
        <v>1648</v>
      </c>
      <c r="B161" t="s">
        <v>1649</v>
      </c>
      <c r="D161" s="265" t="s">
        <v>1642</v>
      </c>
      <c r="E161" t="s">
        <v>1643</v>
      </c>
    </row>
    <row r="162" spans="1:5">
      <c r="A162" t="s">
        <v>1650</v>
      </c>
      <c r="B162" t="s">
        <v>1651</v>
      </c>
      <c r="D162" s="265" t="s">
        <v>1644</v>
      </c>
      <c r="E162" t="s">
        <v>1645</v>
      </c>
    </row>
    <row r="163" spans="1:5">
      <c r="A163" t="s">
        <v>1652</v>
      </c>
      <c r="B163" t="s">
        <v>1653</v>
      </c>
      <c r="D163" s="265" t="s">
        <v>1646</v>
      </c>
      <c r="E163" t="s">
        <v>1647</v>
      </c>
    </row>
    <row r="164" spans="1:5">
      <c r="A164" t="s">
        <v>1654</v>
      </c>
      <c r="B164" t="s">
        <v>1653</v>
      </c>
      <c r="D164" s="265" t="s">
        <v>1648</v>
      </c>
      <c r="E164" t="s">
        <v>1649</v>
      </c>
    </row>
    <row r="165" spans="1:5">
      <c r="A165" t="s">
        <v>1655</v>
      </c>
      <c r="B165" t="s">
        <v>1653</v>
      </c>
      <c r="D165" s="265" t="s">
        <v>1650</v>
      </c>
      <c r="E165" t="s">
        <v>1651</v>
      </c>
    </row>
    <row r="166" spans="1:5">
      <c r="A166" t="s">
        <v>1656</v>
      </c>
      <c r="B166" t="s">
        <v>1653</v>
      </c>
      <c r="D166" s="265" t="s">
        <v>1654</v>
      </c>
      <c r="E166" t="s">
        <v>1653</v>
      </c>
    </row>
    <row r="167" spans="1:5">
      <c r="A167" t="s">
        <v>1657</v>
      </c>
      <c r="B167" t="s">
        <v>1658</v>
      </c>
      <c r="D167" s="265" t="s">
        <v>1655</v>
      </c>
      <c r="E167" t="s">
        <v>1653</v>
      </c>
    </row>
    <row r="168" spans="1:5">
      <c r="A168" t="s">
        <v>1659</v>
      </c>
      <c r="B168" t="s">
        <v>1658</v>
      </c>
      <c r="D168" s="1079" t="s">
        <v>1656</v>
      </c>
      <c r="E168" t="s">
        <v>1653</v>
      </c>
    </row>
    <row r="169" spans="1:5">
      <c r="A169" t="s">
        <v>1660</v>
      </c>
      <c r="B169" t="s">
        <v>1653</v>
      </c>
      <c r="D169" s="265" t="s">
        <v>1657</v>
      </c>
      <c r="E169" t="s">
        <v>1658</v>
      </c>
    </row>
    <row r="170" spans="1:5">
      <c r="A170" t="s">
        <v>1661</v>
      </c>
      <c r="B170" t="s">
        <v>1662</v>
      </c>
      <c r="D170" s="265" t="s">
        <v>1659</v>
      </c>
      <c r="E170" t="s">
        <v>1658</v>
      </c>
    </row>
    <row r="171" spans="1:5">
      <c r="A171" t="s">
        <v>1663</v>
      </c>
      <c r="B171" t="s">
        <v>1662</v>
      </c>
      <c r="D171" s="265" t="s">
        <v>1660</v>
      </c>
      <c r="E171" t="s">
        <v>1653</v>
      </c>
    </row>
    <row r="172" spans="1:5">
      <c r="A172" t="s">
        <v>1664</v>
      </c>
      <c r="B172" t="s">
        <v>1665</v>
      </c>
      <c r="D172" s="265" t="s">
        <v>1661</v>
      </c>
      <c r="E172" t="s">
        <v>1662</v>
      </c>
    </row>
    <row r="173" spans="1:5">
      <c r="A173" t="s">
        <v>1666</v>
      </c>
      <c r="B173" t="s">
        <v>1667</v>
      </c>
      <c r="D173" s="265" t="s">
        <v>1663</v>
      </c>
      <c r="E173" t="s">
        <v>1662</v>
      </c>
    </row>
    <row r="174" spans="1:5">
      <c r="A174" t="s">
        <v>1668</v>
      </c>
      <c r="B174" t="s">
        <v>1665</v>
      </c>
      <c r="D174" s="265" t="s">
        <v>1664</v>
      </c>
      <c r="E174" t="s">
        <v>1665</v>
      </c>
    </row>
    <row r="175" spans="1:5">
      <c r="A175" t="s">
        <v>1669</v>
      </c>
      <c r="B175" t="s">
        <v>1670</v>
      </c>
      <c r="D175" s="265" t="s">
        <v>1666</v>
      </c>
      <c r="E175" t="s">
        <v>1667</v>
      </c>
    </row>
    <row r="176" spans="1:5">
      <c r="A176" t="s">
        <v>1671</v>
      </c>
      <c r="B176" t="s">
        <v>1670</v>
      </c>
      <c r="D176" s="265" t="s">
        <v>1668</v>
      </c>
      <c r="E176" t="s">
        <v>1665</v>
      </c>
    </row>
    <row r="177" spans="1:5">
      <c r="A177" t="s">
        <v>1672</v>
      </c>
      <c r="B177" t="s">
        <v>1670</v>
      </c>
      <c r="D177" s="265" t="s">
        <v>1669</v>
      </c>
      <c r="E177" t="s">
        <v>1670</v>
      </c>
    </row>
    <row r="178" spans="1:5">
      <c r="A178" t="s">
        <v>1673</v>
      </c>
      <c r="B178" t="s">
        <v>1670</v>
      </c>
      <c r="D178" s="265" t="s">
        <v>1671</v>
      </c>
      <c r="E178" t="s">
        <v>1670</v>
      </c>
    </row>
    <row r="179" spans="1:5">
      <c r="A179" t="s">
        <v>1674</v>
      </c>
      <c r="B179" t="s">
        <v>1670</v>
      </c>
      <c r="D179" s="265" t="s">
        <v>1672</v>
      </c>
      <c r="E179" t="s">
        <v>1670</v>
      </c>
    </row>
    <row r="180" spans="1:5">
      <c r="A180" t="s">
        <v>1675</v>
      </c>
      <c r="B180" t="s">
        <v>1670</v>
      </c>
      <c r="D180" s="265" t="s">
        <v>1673</v>
      </c>
      <c r="E180" t="s">
        <v>1670</v>
      </c>
    </row>
    <row r="181" spans="1:5">
      <c r="A181" t="s">
        <v>1676</v>
      </c>
      <c r="B181" t="s">
        <v>1670</v>
      </c>
      <c r="D181" s="265" t="s">
        <v>1674</v>
      </c>
      <c r="E181" t="s">
        <v>1670</v>
      </c>
    </row>
    <row r="182" spans="1:5">
      <c r="A182" t="s">
        <v>1677</v>
      </c>
      <c r="B182" t="s">
        <v>1670</v>
      </c>
      <c r="D182" s="265" t="s">
        <v>1675</v>
      </c>
      <c r="E182" t="s">
        <v>1670</v>
      </c>
    </row>
    <row r="183" spans="1:5">
      <c r="A183" t="s">
        <v>1678</v>
      </c>
      <c r="B183" t="s">
        <v>1670</v>
      </c>
      <c r="D183" s="265" t="s">
        <v>1676</v>
      </c>
      <c r="E183" t="s">
        <v>1670</v>
      </c>
    </row>
    <row r="184" spans="1:5">
      <c r="A184" t="s">
        <v>1679</v>
      </c>
      <c r="B184" t="s">
        <v>1670</v>
      </c>
      <c r="D184" s="265" t="s">
        <v>1677</v>
      </c>
      <c r="E184" t="s">
        <v>1670</v>
      </c>
    </row>
    <row r="185" spans="1:5">
      <c r="A185" t="s">
        <v>1680</v>
      </c>
      <c r="B185" t="s">
        <v>1670</v>
      </c>
      <c r="D185" s="265" t="s">
        <v>1678</v>
      </c>
      <c r="E185" t="s">
        <v>1670</v>
      </c>
    </row>
    <row r="186" spans="1:5">
      <c r="A186" t="s">
        <v>1681</v>
      </c>
      <c r="B186" t="s">
        <v>1670</v>
      </c>
      <c r="D186" s="265" t="s">
        <v>1679</v>
      </c>
      <c r="E186" t="s">
        <v>1670</v>
      </c>
    </row>
    <row r="187" spans="1:5">
      <c r="A187" t="s">
        <v>1682</v>
      </c>
      <c r="B187" t="s">
        <v>1670</v>
      </c>
      <c r="D187" s="265" t="s">
        <v>1680</v>
      </c>
      <c r="E187" t="s">
        <v>1670</v>
      </c>
    </row>
    <row r="188" spans="1:5">
      <c r="A188" t="s">
        <v>1683</v>
      </c>
      <c r="B188" t="s">
        <v>1670</v>
      </c>
      <c r="D188" s="265" t="s">
        <v>1681</v>
      </c>
      <c r="E188" t="s">
        <v>1670</v>
      </c>
    </row>
    <row r="189" spans="1:5">
      <c r="A189" t="s">
        <v>1684</v>
      </c>
      <c r="B189" t="s">
        <v>1670</v>
      </c>
      <c r="D189" s="265" t="s">
        <v>1682</v>
      </c>
      <c r="E189" t="s">
        <v>1670</v>
      </c>
    </row>
    <row r="190" spans="1:5">
      <c r="A190" t="s">
        <v>1685</v>
      </c>
      <c r="B190" t="s">
        <v>1670</v>
      </c>
      <c r="D190" s="265" t="s">
        <v>1683</v>
      </c>
      <c r="E190" t="s">
        <v>1670</v>
      </c>
    </row>
    <row r="191" spans="1:5">
      <c r="A191" t="s">
        <v>1686</v>
      </c>
      <c r="B191" t="s">
        <v>1670</v>
      </c>
      <c r="D191" s="265" t="s">
        <v>1684</v>
      </c>
      <c r="E191" t="s">
        <v>1670</v>
      </c>
    </row>
    <row r="192" spans="1:5">
      <c r="A192" t="s">
        <v>1687</v>
      </c>
      <c r="B192" t="s">
        <v>1670</v>
      </c>
      <c r="D192" s="265" t="s">
        <v>1685</v>
      </c>
      <c r="E192" t="s">
        <v>1670</v>
      </c>
    </row>
    <row r="193" spans="1:5">
      <c r="A193" t="s">
        <v>1688</v>
      </c>
      <c r="B193" t="s">
        <v>1670</v>
      </c>
      <c r="D193" s="265" t="s">
        <v>1686</v>
      </c>
      <c r="E193" t="s">
        <v>1670</v>
      </c>
    </row>
    <row r="194" spans="1:5">
      <c r="A194" t="s">
        <v>1689</v>
      </c>
      <c r="B194" t="s">
        <v>1670</v>
      </c>
      <c r="D194" s="265" t="s">
        <v>1687</v>
      </c>
      <c r="E194" t="s">
        <v>1670</v>
      </c>
    </row>
    <row r="195" spans="1:5">
      <c r="A195" t="s">
        <v>1690</v>
      </c>
      <c r="B195" t="s">
        <v>1670</v>
      </c>
      <c r="D195" s="265" t="s">
        <v>1688</v>
      </c>
      <c r="E195" t="s">
        <v>1670</v>
      </c>
    </row>
    <row r="196" spans="1:5">
      <c r="A196" t="s">
        <v>1691</v>
      </c>
      <c r="B196" t="s">
        <v>1670</v>
      </c>
      <c r="D196" s="265" t="s">
        <v>1689</v>
      </c>
      <c r="E196" t="s">
        <v>1670</v>
      </c>
    </row>
    <row r="197" spans="1:5">
      <c r="A197" t="s">
        <v>1692</v>
      </c>
      <c r="B197" t="s">
        <v>1670</v>
      </c>
      <c r="D197" s="265" t="s">
        <v>1690</v>
      </c>
      <c r="E197" t="s">
        <v>1670</v>
      </c>
    </row>
    <row r="198" spans="1:5">
      <c r="A198" t="s">
        <v>1693</v>
      </c>
      <c r="B198" t="s">
        <v>1670</v>
      </c>
      <c r="D198" s="265" t="s">
        <v>1691</v>
      </c>
      <c r="E198" t="s">
        <v>1670</v>
      </c>
    </row>
    <row r="199" spans="1:5">
      <c r="A199" t="s">
        <v>1694</v>
      </c>
      <c r="B199" t="s">
        <v>1670</v>
      </c>
      <c r="D199" s="265" t="s">
        <v>1692</v>
      </c>
      <c r="E199" t="s">
        <v>1670</v>
      </c>
    </row>
    <row r="200" spans="1:5">
      <c r="A200" t="s">
        <v>1695</v>
      </c>
      <c r="B200" t="s">
        <v>1670</v>
      </c>
      <c r="D200" s="265" t="s">
        <v>1693</v>
      </c>
      <c r="E200" t="s">
        <v>1670</v>
      </c>
    </row>
    <row r="201" spans="1:5">
      <c r="A201" t="s">
        <v>1696</v>
      </c>
      <c r="B201" t="s">
        <v>1670</v>
      </c>
      <c r="D201" s="265" t="s">
        <v>1694</v>
      </c>
      <c r="E201" t="s">
        <v>1670</v>
      </c>
    </row>
    <row r="202" spans="1:5">
      <c r="A202" t="s">
        <v>1697</v>
      </c>
      <c r="B202" t="s">
        <v>1670</v>
      </c>
      <c r="D202" s="265" t="s">
        <v>1695</v>
      </c>
      <c r="E202" t="s">
        <v>1670</v>
      </c>
    </row>
    <row r="203" spans="1:5">
      <c r="A203" t="s">
        <v>1698</v>
      </c>
      <c r="B203" t="s">
        <v>1670</v>
      </c>
      <c r="D203" s="265" t="s">
        <v>1696</v>
      </c>
      <c r="E203" t="s">
        <v>1670</v>
      </c>
    </row>
    <row r="204" spans="1:5">
      <c r="A204" t="s">
        <v>1699</v>
      </c>
      <c r="B204" t="s">
        <v>1670</v>
      </c>
      <c r="D204" s="265" t="s">
        <v>1697</v>
      </c>
      <c r="E204" t="s">
        <v>1670</v>
      </c>
    </row>
    <row r="205" spans="1:5">
      <c r="A205" t="s">
        <v>1700</v>
      </c>
      <c r="B205" t="s">
        <v>1670</v>
      </c>
      <c r="D205" s="265" t="s">
        <v>1698</v>
      </c>
      <c r="E205" t="s">
        <v>1670</v>
      </c>
    </row>
    <row r="206" spans="1:5">
      <c r="A206" t="s">
        <v>1701</v>
      </c>
      <c r="B206" t="s">
        <v>1670</v>
      </c>
      <c r="D206" s="265" t="s">
        <v>1699</v>
      </c>
      <c r="E206" t="s">
        <v>1670</v>
      </c>
    </row>
    <row r="207" spans="1:5">
      <c r="A207" t="s">
        <v>1702</v>
      </c>
      <c r="B207" t="s">
        <v>1670</v>
      </c>
      <c r="D207" s="265" t="s">
        <v>1700</v>
      </c>
      <c r="E207" t="s">
        <v>1670</v>
      </c>
    </row>
    <row r="208" spans="1:5">
      <c r="A208" t="s">
        <v>1703</v>
      </c>
      <c r="B208" t="s">
        <v>1670</v>
      </c>
      <c r="D208" s="265" t="s">
        <v>1701</v>
      </c>
      <c r="E208" t="s">
        <v>1670</v>
      </c>
    </row>
    <row r="209" spans="1:5">
      <c r="A209" t="s">
        <v>1704</v>
      </c>
      <c r="B209" t="s">
        <v>1670</v>
      </c>
      <c r="D209" s="265" t="s">
        <v>1702</v>
      </c>
      <c r="E209" t="s">
        <v>1670</v>
      </c>
    </row>
    <row r="210" spans="1:5">
      <c r="A210" t="s">
        <v>1705</v>
      </c>
      <c r="B210" t="s">
        <v>1670</v>
      </c>
      <c r="D210" s="265" t="s">
        <v>1703</v>
      </c>
      <c r="E210" t="s">
        <v>1670</v>
      </c>
    </row>
    <row r="211" spans="1:5">
      <c r="A211" t="s">
        <v>1706</v>
      </c>
      <c r="B211" t="s">
        <v>1670</v>
      </c>
      <c r="D211" s="265" t="s">
        <v>1704</v>
      </c>
      <c r="E211" t="s">
        <v>1670</v>
      </c>
    </row>
    <row r="212" spans="1:5">
      <c r="A212" t="s">
        <v>1707</v>
      </c>
      <c r="B212" t="s">
        <v>1670</v>
      </c>
      <c r="D212" s="265" t="s">
        <v>1705</v>
      </c>
      <c r="E212" t="s">
        <v>1670</v>
      </c>
    </row>
    <row r="213" spans="1:5">
      <c r="A213" t="s">
        <v>1708</v>
      </c>
      <c r="B213" t="s">
        <v>1670</v>
      </c>
      <c r="D213" s="265" t="s">
        <v>1706</v>
      </c>
      <c r="E213" t="s">
        <v>1670</v>
      </c>
    </row>
    <row r="214" spans="1:5">
      <c r="A214" t="s">
        <v>1709</v>
      </c>
      <c r="B214" t="s">
        <v>1670</v>
      </c>
      <c r="D214" s="265" t="s">
        <v>1707</v>
      </c>
      <c r="E214" t="s">
        <v>1670</v>
      </c>
    </row>
    <row r="215" spans="1:5">
      <c r="A215" t="s">
        <v>1710</v>
      </c>
      <c r="B215" t="s">
        <v>1670</v>
      </c>
      <c r="D215" s="265" t="s">
        <v>1708</v>
      </c>
      <c r="E215" t="s">
        <v>1670</v>
      </c>
    </row>
    <row r="216" spans="1:5">
      <c r="A216" t="s">
        <v>1711</v>
      </c>
      <c r="B216" t="s">
        <v>1670</v>
      </c>
      <c r="D216" s="265" t="s">
        <v>1709</v>
      </c>
      <c r="E216" t="s">
        <v>1670</v>
      </c>
    </row>
    <row r="217" spans="1:5">
      <c r="A217" t="s">
        <v>1712</v>
      </c>
      <c r="B217" t="s">
        <v>1713</v>
      </c>
      <c r="D217" s="265" t="s">
        <v>1710</v>
      </c>
      <c r="E217" t="s">
        <v>1670</v>
      </c>
    </row>
    <row r="218" spans="1:5">
      <c r="A218" t="s">
        <v>1714</v>
      </c>
      <c r="B218" t="s">
        <v>1715</v>
      </c>
      <c r="D218" s="265" t="s">
        <v>1711</v>
      </c>
      <c r="E218" t="s">
        <v>1670</v>
      </c>
    </row>
    <row r="219" spans="1:5">
      <c r="A219" t="s">
        <v>1716</v>
      </c>
      <c r="B219" t="s">
        <v>1717</v>
      </c>
      <c r="D219" s="1079" t="s">
        <v>1891</v>
      </c>
      <c r="E219" t="s">
        <v>1670</v>
      </c>
    </row>
    <row r="220" spans="1:5">
      <c r="A220" t="s">
        <v>1718</v>
      </c>
      <c r="B220" t="s">
        <v>1719</v>
      </c>
      <c r="D220" s="265" t="s">
        <v>1892</v>
      </c>
      <c r="E220" t="s">
        <v>1670</v>
      </c>
    </row>
    <row r="221" spans="1:5">
      <c r="A221" t="s">
        <v>1720</v>
      </c>
      <c r="B221" t="s">
        <v>1721</v>
      </c>
      <c r="D221" s="265" t="s">
        <v>1893</v>
      </c>
      <c r="E221" t="s">
        <v>1670</v>
      </c>
    </row>
    <row r="222" spans="1:5">
      <c r="A222" t="s">
        <v>1722</v>
      </c>
      <c r="B222" t="s">
        <v>1723</v>
      </c>
      <c r="D222" s="265" t="s">
        <v>1894</v>
      </c>
      <c r="E222" t="s">
        <v>1670</v>
      </c>
    </row>
    <row r="223" spans="1:5">
      <c r="A223" t="s">
        <v>1724</v>
      </c>
      <c r="B223" t="s">
        <v>1725</v>
      </c>
      <c r="D223" s="265" t="s">
        <v>1895</v>
      </c>
      <c r="E223" t="s">
        <v>1670</v>
      </c>
    </row>
    <row r="224" spans="1:5">
      <c r="A224" t="s">
        <v>1726</v>
      </c>
      <c r="B224" t="s">
        <v>1727</v>
      </c>
      <c r="D224" s="265" t="s">
        <v>1896</v>
      </c>
      <c r="E224" t="s">
        <v>1670</v>
      </c>
    </row>
    <row r="225" spans="1:5">
      <c r="A225" t="s">
        <v>1728</v>
      </c>
      <c r="B225" t="s">
        <v>1729</v>
      </c>
      <c r="D225" s="265" t="s">
        <v>1897</v>
      </c>
      <c r="E225" t="s">
        <v>1670</v>
      </c>
    </row>
    <row r="226" spans="1:5">
      <c r="A226" t="s">
        <v>1074</v>
      </c>
      <c r="B226" t="s">
        <v>1730</v>
      </c>
      <c r="D226" s="265" t="s">
        <v>1712</v>
      </c>
      <c r="E226" t="s">
        <v>1713</v>
      </c>
    </row>
    <row r="227" spans="1:5">
      <c r="A227" t="s">
        <v>1731</v>
      </c>
      <c r="B227" t="s">
        <v>1732</v>
      </c>
      <c r="D227" s="265" t="s">
        <v>1714</v>
      </c>
      <c r="E227" t="s">
        <v>1715</v>
      </c>
    </row>
    <row r="228" spans="1:5">
      <c r="A228" t="s">
        <v>1733</v>
      </c>
      <c r="B228" t="s">
        <v>1734</v>
      </c>
      <c r="D228" s="265" t="s">
        <v>1716</v>
      </c>
      <c r="E228" t="s">
        <v>1717</v>
      </c>
    </row>
    <row r="229" spans="1:5">
      <c r="A229" t="s">
        <v>1735</v>
      </c>
      <c r="B229" t="s">
        <v>1736</v>
      </c>
      <c r="D229" s="265" t="s">
        <v>1718</v>
      </c>
      <c r="E229" t="s">
        <v>1719</v>
      </c>
    </row>
    <row r="230" spans="1:5">
      <c r="A230" t="s">
        <v>1737</v>
      </c>
      <c r="B230" t="s">
        <v>1738</v>
      </c>
      <c r="D230" s="265" t="s">
        <v>1720</v>
      </c>
      <c r="E230" t="s">
        <v>1721</v>
      </c>
    </row>
    <row r="231" spans="1:5">
      <c r="A231" t="s">
        <v>1739</v>
      </c>
      <c r="B231" t="s">
        <v>1740</v>
      </c>
      <c r="D231" s="265" t="s">
        <v>1722</v>
      </c>
      <c r="E231" t="s">
        <v>1723</v>
      </c>
    </row>
    <row r="232" spans="1:5">
      <c r="A232" t="s">
        <v>1075</v>
      </c>
      <c r="B232" t="s">
        <v>1741</v>
      </c>
      <c r="D232" s="265" t="s">
        <v>1724</v>
      </c>
      <c r="E232" t="s">
        <v>1725</v>
      </c>
    </row>
    <row r="233" spans="1:5">
      <c r="A233" t="s">
        <v>1742</v>
      </c>
      <c r="B233" t="s">
        <v>1743</v>
      </c>
      <c r="D233" s="265" t="s">
        <v>1726</v>
      </c>
      <c r="E233" t="s">
        <v>1727</v>
      </c>
    </row>
    <row r="234" spans="1:5">
      <c r="A234" t="s">
        <v>1744</v>
      </c>
      <c r="B234" t="s">
        <v>1741</v>
      </c>
      <c r="D234" s="265" t="s">
        <v>1728</v>
      </c>
      <c r="E234" t="s">
        <v>1729</v>
      </c>
    </row>
    <row r="235" spans="1:5">
      <c r="A235" t="s">
        <v>1745</v>
      </c>
      <c r="B235" t="s">
        <v>1730</v>
      </c>
      <c r="D235" s="265" t="s">
        <v>1074</v>
      </c>
      <c r="E235" t="s">
        <v>1730</v>
      </c>
    </row>
    <row r="236" spans="1:5">
      <c r="A236" t="s">
        <v>1746</v>
      </c>
      <c r="B236" t="s">
        <v>1747</v>
      </c>
      <c r="D236" s="265" t="s">
        <v>1731</v>
      </c>
      <c r="E236" t="s">
        <v>1732</v>
      </c>
    </row>
    <row r="237" spans="1:5">
      <c r="A237" t="s">
        <v>1748</v>
      </c>
      <c r="B237" t="s">
        <v>1749</v>
      </c>
      <c r="D237" s="265" t="s">
        <v>1733</v>
      </c>
      <c r="E237" t="s">
        <v>1734</v>
      </c>
    </row>
    <row r="238" spans="1:5">
      <c r="A238" t="s">
        <v>1750</v>
      </c>
      <c r="B238" t="s">
        <v>1749</v>
      </c>
      <c r="D238" s="265" t="s">
        <v>1735</v>
      </c>
      <c r="E238" t="s">
        <v>1736</v>
      </c>
    </row>
    <row r="239" spans="1:5">
      <c r="A239" t="s">
        <v>1751</v>
      </c>
      <c r="B239" t="s">
        <v>1752</v>
      </c>
      <c r="D239" s="265" t="s">
        <v>1737</v>
      </c>
      <c r="E239" t="s">
        <v>1738</v>
      </c>
    </row>
    <row r="240" spans="1:5">
      <c r="A240" t="s">
        <v>1753</v>
      </c>
      <c r="B240" t="s">
        <v>1752</v>
      </c>
      <c r="D240" s="265" t="s">
        <v>1739</v>
      </c>
      <c r="E240" t="s">
        <v>1740</v>
      </c>
    </row>
    <row r="241" spans="1:5">
      <c r="A241" t="s">
        <v>1754</v>
      </c>
      <c r="B241" t="s">
        <v>1755</v>
      </c>
      <c r="D241" s="265" t="s">
        <v>1898</v>
      </c>
    </row>
    <row r="242" spans="1:5">
      <c r="A242" t="s">
        <v>1756</v>
      </c>
      <c r="B242" t="s">
        <v>1757</v>
      </c>
      <c r="D242" s="265" t="s">
        <v>1075</v>
      </c>
      <c r="E242" t="s">
        <v>1741</v>
      </c>
    </row>
    <row r="243" spans="1:5">
      <c r="A243" t="s">
        <v>1758</v>
      </c>
      <c r="B243" t="s">
        <v>1759</v>
      </c>
      <c r="D243" s="265" t="s">
        <v>1742</v>
      </c>
      <c r="E243" t="s">
        <v>1743</v>
      </c>
    </row>
    <row r="244" spans="1:5">
      <c r="A244" t="s">
        <v>1760</v>
      </c>
      <c r="B244" t="s">
        <v>1761</v>
      </c>
      <c r="D244" s="265" t="s">
        <v>1744</v>
      </c>
      <c r="E244" t="s">
        <v>1741</v>
      </c>
    </row>
    <row r="245" spans="1:5">
      <c r="A245" t="s">
        <v>1762</v>
      </c>
      <c r="B245" t="s">
        <v>1763</v>
      </c>
      <c r="D245" s="265" t="s">
        <v>1745</v>
      </c>
      <c r="E245" t="s">
        <v>1730</v>
      </c>
    </row>
    <row r="246" spans="1:5">
      <c r="A246" t="s">
        <v>1764</v>
      </c>
      <c r="B246" t="s">
        <v>1765</v>
      </c>
      <c r="D246" s="265" t="s">
        <v>1746</v>
      </c>
      <c r="E246" t="s">
        <v>1747</v>
      </c>
    </row>
    <row r="247" spans="1:5">
      <c r="A247" t="s">
        <v>1766</v>
      </c>
      <c r="B247" t="s">
        <v>1752</v>
      </c>
      <c r="D247" s="265" t="s">
        <v>1748</v>
      </c>
      <c r="E247" t="s">
        <v>1749</v>
      </c>
    </row>
    <row r="248" spans="1:5">
      <c r="A248" t="s">
        <v>1767</v>
      </c>
      <c r="B248" t="s">
        <v>1752</v>
      </c>
      <c r="D248" s="265" t="s">
        <v>1750</v>
      </c>
      <c r="E248" t="s">
        <v>1749</v>
      </c>
    </row>
    <row r="249" spans="1:5">
      <c r="A249" t="s">
        <v>1768</v>
      </c>
      <c r="B249" t="s">
        <v>1755</v>
      </c>
      <c r="D249" s="265" t="s">
        <v>1751</v>
      </c>
      <c r="E249" t="s">
        <v>1752</v>
      </c>
    </row>
    <row r="250" spans="1:5">
      <c r="A250" t="s">
        <v>1769</v>
      </c>
      <c r="B250" t="s">
        <v>1757</v>
      </c>
      <c r="D250" s="265" t="s">
        <v>1753</v>
      </c>
      <c r="E250" t="s">
        <v>1752</v>
      </c>
    </row>
    <row r="251" spans="1:5">
      <c r="A251" t="s">
        <v>1770</v>
      </c>
      <c r="B251" t="s">
        <v>1759</v>
      </c>
      <c r="D251" s="265" t="s">
        <v>1754</v>
      </c>
      <c r="E251" t="s">
        <v>1755</v>
      </c>
    </row>
    <row r="252" spans="1:5">
      <c r="A252" t="s">
        <v>1771</v>
      </c>
      <c r="B252" t="s">
        <v>1761</v>
      </c>
      <c r="D252" s="265" t="s">
        <v>1756</v>
      </c>
      <c r="E252" t="s">
        <v>1757</v>
      </c>
    </row>
    <row r="253" spans="1:5">
      <c r="A253" t="s">
        <v>1772</v>
      </c>
      <c r="B253" t="s">
        <v>1763</v>
      </c>
      <c r="D253" s="265" t="s">
        <v>1758</v>
      </c>
      <c r="E253" t="s">
        <v>1759</v>
      </c>
    </row>
    <row r="254" spans="1:5">
      <c r="A254" t="s">
        <v>1773</v>
      </c>
      <c r="B254" t="s">
        <v>1774</v>
      </c>
      <c r="D254" s="265" t="s">
        <v>1760</v>
      </c>
      <c r="E254" t="s">
        <v>1761</v>
      </c>
    </row>
    <row r="255" spans="1:5">
      <c r="A255" t="s">
        <v>1775</v>
      </c>
      <c r="B255" t="s">
        <v>1776</v>
      </c>
      <c r="D255" s="265" t="s">
        <v>1762</v>
      </c>
      <c r="E255" t="s">
        <v>1763</v>
      </c>
    </row>
    <row r="256" spans="1:5">
      <c r="A256" t="s">
        <v>1777</v>
      </c>
      <c r="B256" t="s">
        <v>1778</v>
      </c>
      <c r="D256" s="265" t="s">
        <v>1764</v>
      </c>
      <c r="E256" t="s">
        <v>1765</v>
      </c>
    </row>
    <row r="257" spans="1:5">
      <c r="A257" t="s">
        <v>1779</v>
      </c>
      <c r="B257" t="s">
        <v>1776</v>
      </c>
      <c r="D257" s="265" t="s">
        <v>1766</v>
      </c>
      <c r="E257" t="s">
        <v>1752</v>
      </c>
    </row>
    <row r="258" spans="1:5">
      <c r="A258" t="s">
        <v>1780</v>
      </c>
      <c r="B258" t="s">
        <v>1778</v>
      </c>
      <c r="D258" s="265" t="s">
        <v>1767</v>
      </c>
      <c r="E258" t="s">
        <v>1752</v>
      </c>
    </row>
    <row r="259" spans="1:5">
      <c r="A259" t="s">
        <v>1781</v>
      </c>
      <c r="B259" t="s">
        <v>1782</v>
      </c>
      <c r="D259" s="265" t="s">
        <v>1768</v>
      </c>
      <c r="E259" t="s">
        <v>1755</v>
      </c>
    </row>
    <row r="260" spans="1:5">
      <c r="A260" t="s">
        <v>1783</v>
      </c>
      <c r="B260" t="s">
        <v>1784</v>
      </c>
      <c r="D260" s="265" t="s">
        <v>1769</v>
      </c>
      <c r="E260" t="s">
        <v>1757</v>
      </c>
    </row>
    <row r="261" spans="1:5">
      <c r="A261" t="s">
        <v>1785</v>
      </c>
      <c r="B261" t="s">
        <v>1786</v>
      </c>
      <c r="D261" s="265" t="s">
        <v>1770</v>
      </c>
      <c r="E261" t="s">
        <v>1759</v>
      </c>
    </row>
    <row r="262" spans="1:5">
      <c r="A262" t="s">
        <v>1787</v>
      </c>
      <c r="B262" t="s">
        <v>1784</v>
      </c>
      <c r="D262" s="265" t="s">
        <v>1771</v>
      </c>
      <c r="E262" t="s">
        <v>1761</v>
      </c>
    </row>
    <row r="263" spans="1:5">
      <c r="A263" t="s">
        <v>1788</v>
      </c>
      <c r="B263" t="s">
        <v>1786</v>
      </c>
      <c r="D263" s="265" t="s">
        <v>1772</v>
      </c>
      <c r="E263" t="s">
        <v>1763</v>
      </c>
    </row>
    <row r="264" spans="1:5">
      <c r="A264" t="s">
        <v>1789</v>
      </c>
      <c r="B264" t="s">
        <v>1790</v>
      </c>
      <c r="D264" s="265" t="s">
        <v>1773</v>
      </c>
      <c r="E264" t="s">
        <v>1774</v>
      </c>
    </row>
    <row r="265" spans="1:5">
      <c r="A265" t="s">
        <v>1791</v>
      </c>
      <c r="B265" t="s">
        <v>1790</v>
      </c>
      <c r="D265" s="265" t="s">
        <v>1775</v>
      </c>
      <c r="E265" t="s">
        <v>1776</v>
      </c>
    </row>
    <row r="266" spans="1:5">
      <c r="A266" t="s">
        <v>1792</v>
      </c>
      <c r="B266" t="s">
        <v>1793</v>
      </c>
      <c r="D266" s="265" t="s">
        <v>1777</v>
      </c>
      <c r="E266" t="s">
        <v>1778</v>
      </c>
    </row>
    <row r="267" spans="1:5">
      <c r="A267" t="s">
        <v>1794</v>
      </c>
      <c r="B267" t="s">
        <v>1795</v>
      </c>
      <c r="D267" s="265" t="s">
        <v>1779</v>
      </c>
      <c r="E267" t="s">
        <v>1776</v>
      </c>
    </row>
    <row r="268" spans="1:5">
      <c r="A268" t="s">
        <v>1796</v>
      </c>
      <c r="B268" t="s">
        <v>1795</v>
      </c>
      <c r="D268" s="265" t="s">
        <v>1780</v>
      </c>
      <c r="E268" t="s">
        <v>1778</v>
      </c>
    </row>
    <row r="269" spans="1:5">
      <c r="A269" t="s">
        <v>1797</v>
      </c>
      <c r="B269" t="s">
        <v>1798</v>
      </c>
      <c r="D269" s="265" t="s">
        <v>1781</v>
      </c>
      <c r="E269" t="s">
        <v>1782</v>
      </c>
    </row>
    <row r="270" spans="1:5">
      <c r="A270" t="s">
        <v>1799</v>
      </c>
      <c r="B270" t="s">
        <v>1800</v>
      </c>
      <c r="D270" s="265" t="s">
        <v>1783</v>
      </c>
      <c r="E270" t="s">
        <v>1784</v>
      </c>
    </row>
    <row r="271" spans="1:5">
      <c r="A271" t="s">
        <v>1801</v>
      </c>
      <c r="B271" t="s">
        <v>1802</v>
      </c>
      <c r="D271" s="265" t="s">
        <v>1785</v>
      </c>
      <c r="E271" t="s">
        <v>1786</v>
      </c>
    </row>
    <row r="272" spans="1:5">
      <c r="A272" t="s">
        <v>1803</v>
      </c>
      <c r="B272" t="s">
        <v>1804</v>
      </c>
      <c r="D272" s="265" t="s">
        <v>1787</v>
      </c>
      <c r="E272" t="s">
        <v>1784</v>
      </c>
    </row>
    <row r="273" spans="1:5">
      <c r="A273" t="s">
        <v>1805</v>
      </c>
      <c r="B273" t="s">
        <v>1802</v>
      </c>
      <c r="D273" s="265" t="s">
        <v>1788</v>
      </c>
      <c r="E273" t="s">
        <v>1786</v>
      </c>
    </row>
    <row r="274" spans="1:5">
      <c r="A274" t="s">
        <v>1806</v>
      </c>
      <c r="B274" t="s">
        <v>1807</v>
      </c>
      <c r="D274" s="265" t="s">
        <v>1789</v>
      </c>
      <c r="E274" t="s">
        <v>1790</v>
      </c>
    </row>
    <row r="275" spans="1:5">
      <c r="A275" t="s">
        <v>1808</v>
      </c>
      <c r="B275" t="s">
        <v>1793</v>
      </c>
      <c r="D275" s="265" t="s">
        <v>1792</v>
      </c>
      <c r="E275" t="s">
        <v>1793</v>
      </c>
    </row>
    <row r="276" spans="1:5">
      <c r="A276" t="s">
        <v>1809</v>
      </c>
      <c r="B276" t="s">
        <v>1795</v>
      </c>
      <c r="D276" s="265" t="s">
        <v>1794</v>
      </c>
      <c r="E276" t="s">
        <v>1795</v>
      </c>
    </row>
    <row r="277" spans="1:5">
      <c r="A277" t="s">
        <v>1810</v>
      </c>
      <c r="B277" t="s">
        <v>1795</v>
      </c>
      <c r="D277" s="265" t="s">
        <v>1796</v>
      </c>
      <c r="E277" t="s">
        <v>1795</v>
      </c>
    </row>
    <row r="278" spans="1:5">
      <c r="A278" t="s">
        <v>1811</v>
      </c>
      <c r="B278" t="s">
        <v>1798</v>
      </c>
      <c r="D278" s="265" t="s">
        <v>1797</v>
      </c>
      <c r="E278" t="s">
        <v>1798</v>
      </c>
    </row>
    <row r="279" spans="1:5">
      <c r="A279" t="s">
        <v>1812</v>
      </c>
      <c r="B279" t="s">
        <v>1813</v>
      </c>
      <c r="D279" s="265" t="s">
        <v>1799</v>
      </c>
      <c r="E279" t="s">
        <v>1800</v>
      </c>
    </row>
    <row r="280" spans="1:5">
      <c r="A280" t="s">
        <v>1814</v>
      </c>
      <c r="B280" t="s">
        <v>1813</v>
      </c>
      <c r="D280" s="265" t="s">
        <v>1801</v>
      </c>
      <c r="E280" t="s">
        <v>1802</v>
      </c>
    </row>
    <row r="281" spans="1:5">
      <c r="A281" t="s">
        <v>1815</v>
      </c>
      <c r="B281" t="s">
        <v>1813</v>
      </c>
      <c r="D281" s="265" t="s">
        <v>1803</v>
      </c>
      <c r="E281" t="s">
        <v>1804</v>
      </c>
    </row>
    <row r="282" spans="1:5">
      <c r="A282" t="s">
        <v>1816</v>
      </c>
      <c r="B282" t="s">
        <v>1813</v>
      </c>
      <c r="D282" s="265" t="s">
        <v>1805</v>
      </c>
      <c r="E282" t="s">
        <v>1802</v>
      </c>
    </row>
    <row r="283" spans="1:5">
      <c r="A283" t="s">
        <v>1817</v>
      </c>
      <c r="B283" t="s">
        <v>1813</v>
      </c>
      <c r="D283" s="265" t="s">
        <v>1806</v>
      </c>
      <c r="E283" t="s">
        <v>1807</v>
      </c>
    </row>
    <row r="284" spans="1:5">
      <c r="A284" t="s">
        <v>1818</v>
      </c>
      <c r="B284" t="s">
        <v>1813</v>
      </c>
      <c r="D284" s="265" t="s">
        <v>1808</v>
      </c>
      <c r="E284" t="s">
        <v>1793</v>
      </c>
    </row>
    <row r="285" spans="1:5">
      <c r="A285" t="s">
        <v>1819</v>
      </c>
      <c r="B285" t="s">
        <v>1820</v>
      </c>
      <c r="D285" s="265" t="s">
        <v>1809</v>
      </c>
      <c r="E285" t="s">
        <v>1795</v>
      </c>
    </row>
    <row r="286" spans="1:5">
      <c r="A286" t="s">
        <v>1821</v>
      </c>
      <c r="B286" t="s">
        <v>1813</v>
      </c>
      <c r="D286" s="265" t="s">
        <v>1810</v>
      </c>
      <c r="E286" t="s">
        <v>1795</v>
      </c>
    </row>
    <row r="287" spans="1:5">
      <c r="A287" t="s">
        <v>1822</v>
      </c>
      <c r="B287" t="s">
        <v>1823</v>
      </c>
      <c r="D287" s="265" t="s">
        <v>1811</v>
      </c>
      <c r="E287" t="s">
        <v>1798</v>
      </c>
    </row>
    <row r="288" spans="1:5">
      <c r="A288" t="s">
        <v>1824</v>
      </c>
      <c r="B288" t="s">
        <v>1825</v>
      </c>
      <c r="D288" s="265" t="s">
        <v>1812</v>
      </c>
      <c r="E288" t="s">
        <v>1813</v>
      </c>
    </row>
    <row r="289" spans="1:5">
      <c r="A289" t="s">
        <v>1826</v>
      </c>
      <c r="B289" t="s">
        <v>1827</v>
      </c>
      <c r="D289" s="265" t="s">
        <v>1814</v>
      </c>
      <c r="E289" t="s">
        <v>1813</v>
      </c>
    </row>
    <row r="290" spans="1:5">
      <c r="A290" t="s">
        <v>1828</v>
      </c>
      <c r="B290" t="s">
        <v>1827</v>
      </c>
      <c r="D290" s="265" t="s">
        <v>1815</v>
      </c>
      <c r="E290" t="s">
        <v>1813</v>
      </c>
    </row>
    <row r="291" spans="1:5">
      <c r="A291" t="s">
        <v>1829</v>
      </c>
      <c r="B291" t="s">
        <v>1827</v>
      </c>
      <c r="D291" s="265" t="s">
        <v>1816</v>
      </c>
      <c r="E291" t="s">
        <v>1813</v>
      </c>
    </row>
    <row r="292" spans="1:5">
      <c r="A292" t="s">
        <v>1830</v>
      </c>
      <c r="B292" t="s">
        <v>1827</v>
      </c>
      <c r="D292" s="265" t="s">
        <v>1817</v>
      </c>
      <c r="E292" t="s">
        <v>1813</v>
      </c>
    </row>
    <row r="293" spans="1:5">
      <c r="A293" t="s">
        <v>1831</v>
      </c>
      <c r="B293" t="s">
        <v>1827</v>
      </c>
      <c r="D293" s="265" t="s">
        <v>1818</v>
      </c>
      <c r="E293" t="s">
        <v>1813</v>
      </c>
    </row>
    <row r="294" spans="1:5">
      <c r="A294" t="s">
        <v>1832</v>
      </c>
      <c r="B294" t="s">
        <v>1823</v>
      </c>
      <c r="D294" s="265" t="s">
        <v>1819</v>
      </c>
      <c r="E294" t="s">
        <v>1820</v>
      </c>
    </row>
    <row r="295" spans="1:5">
      <c r="A295" t="s">
        <v>1833</v>
      </c>
      <c r="B295" t="s">
        <v>1823</v>
      </c>
      <c r="D295" s="265" t="s">
        <v>1821</v>
      </c>
      <c r="E295" t="s">
        <v>1813</v>
      </c>
    </row>
    <row r="296" spans="1:5">
      <c r="A296" t="s">
        <v>1834</v>
      </c>
      <c r="B296" t="s">
        <v>1823</v>
      </c>
      <c r="D296" s="1080" t="s">
        <v>1822</v>
      </c>
      <c r="E296" t="s">
        <v>1823</v>
      </c>
    </row>
    <row r="297" spans="1:5">
      <c r="A297" t="s">
        <v>1835</v>
      </c>
      <c r="B297" t="s">
        <v>1836</v>
      </c>
      <c r="D297" s="265" t="s">
        <v>1824</v>
      </c>
      <c r="E297" t="s">
        <v>1825</v>
      </c>
    </row>
    <row r="298" spans="1:5">
      <c r="A298" t="s">
        <v>1837</v>
      </c>
      <c r="B298" t="s">
        <v>1838</v>
      </c>
      <c r="D298" s="265" t="s">
        <v>1826</v>
      </c>
      <c r="E298" t="s">
        <v>1827</v>
      </c>
    </row>
    <row r="299" spans="1:5">
      <c r="A299" t="s">
        <v>1839</v>
      </c>
      <c r="B299" t="s">
        <v>1838</v>
      </c>
      <c r="D299" s="265" t="s">
        <v>1828</v>
      </c>
      <c r="E299" t="s">
        <v>1827</v>
      </c>
    </row>
    <row r="300" spans="1:5">
      <c r="A300" t="s">
        <v>1840</v>
      </c>
      <c r="B300" t="s">
        <v>1841</v>
      </c>
      <c r="D300" s="265" t="s">
        <v>1829</v>
      </c>
      <c r="E300" t="s">
        <v>1827</v>
      </c>
    </row>
    <row r="301" spans="1:5">
      <c r="A301" t="s">
        <v>1842</v>
      </c>
      <c r="B301" t="s">
        <v>1843</v>
      </c>
      <c r="D301" s="265" t="s">
        <v>1830</v>
      </c>
      <c r="E301" t="s">
        <v>1827</v>
      </c>
    </row>
    <row r="302" spans="1:5">
      <c r="A302" t="s">
        <v>1844</v>
      </c>
      <c r="B302" t="s">
        <v>1845</v>
      </c>
      <c r="D302" s="265" t="s">
        <v>1831</v>
      </c>
      <c r="E302" t="s">
        <v>1827</v>
      </c>
    </row>
    <row r="303" spans="1:5">
      <c r="A303" t="s">
        <v>1846</v>
      </c>
      <c r="B303" t="s">
        <v>1847</v>
      </c>
      <c r="D303" s="265" t="s">
        <v>1832</v>
      </c>
      <c r="E303" t="s">
        <v>1823</v>
      </c>
    </row>
    <row r="304" spans="1:5">
      <c r="A304" t="s">
        <v>1848</v>
      </c>
      <c r="B304" t="s">
        <v>1849</v>
      </c>
      <c r="D304" s="265" t="s">
        <v>1833</v>
      </c>
      <c r="E304" t="s">
        <v>1823</v>
      </c>
    </row>
    <row r="305" spans="1:5">
      <c r="A305" t="s">
        <v>1850</v>
      </c>
      <c r="B305" t="s">
        <v>1851</v>
      </c>
      <c r="D305" s="265" t="s">
        <v>1834</v>
      </c>
      <c r="E305" t="s">
        <v>1823</v>
      </c>
    </row>
    <row r="306" spans="1:5">
      <c r="A306" t="s">
        <v>1852</v>
      </c>
      <c r="B306" t="s">
        <v>1843</v>
      </c>
      <c r="D306" s="265" t="s">
        <v>1835</v>
      </c>
      <c r="E306" t="s">
        <v>1836</v>
      </c>
    </row>
    <row r="307" spans="1:5">
      <c r="A307" t="s">
        <v>1853</v>
      </c>
      <c r="B307" t="s">
        <v>1854</v>
      </c>
      <c r="D307" s="265" t="s">
        <v>1837</v>
      </c>
      <c r="E307" t="s">
        <v>1838</v>
      </c>
    </row>
    <row r="308" spans="1:5">
      <c r="A308" t="s">
        <v>1855</v>
      </c>
      <c r="B308" t="s">
        <v>1843</v>
      </c>
      <c r="D308" s="265" t="s">
        <v>1839</v>
      </c>
      <c r="E308" t="s">
        <v>1838</v>
      </c>
    </row>
    <row r="309" spans="1:5">
      <c r="A309" t="s">
        <v>1856</v>
      </c>
      <c r="B309" t="s">
        <v>1845</v>
      </c>
      <c r="D309" s="265" t="s">
        <v>1840</v>
      </c>
      <c r="E309" t="s">
        <v>1841</v>
      </c>
    </row>
    <row r="310" spans="1:5">
      <c r="A310" t="s">
        <v>1857</v>
      </c>
      <c r="B310" t="s">
        <v>1847</v>
      </c>
      <c r="D310" s="265" t="s">
        <v>1842</v>
      </c>
      <c r="E310" t="s">
        <v>1843</v>
      </c>
    </row>
    <row r="311" spans="1:5">
      <c r="A311" t="s">
        <v>1858</v>
      </c>
      <c r="B311" t="s">
        <v>1849</v>
      </c>
      <c r="D311" s="265" t="s">
        <v>1844</v>
      </c>
      <c r="E311" t="s">
        <v>1845</v>
      </c>
    </row>
    <row r="312" spans="1:5">
      <c r="A312" t="s">
        <v>1859</v>
      </c>
      <c r="B312" t="s">
        <v>1847</v>
      </c>
      <c r="D312" s="265" t="s">
        <v>1846</v>
      </c>
      <c r="E312" t="s">
        <v>1847</v>
      </c>
    </row>
    <row r="313" spans="1:5">
      <c r="A313" t="s">
        <v>1860</v>
      </c>
      <c r="B313" t="s">
        <v>1861</v>
      </c>
      <c r="D313" s="265" t="s">
        <v>1848</v>
      </c>
      <c r="E313" t="s">
        <v>1849</v>
      </c>
    </row>
    <row r="314" spans="1:5">
      <c r="A314" t="s">
        <v>1862</v>
      </c>
      <c r="B314" t="s">
        <v>1863</v>
      </c>
      <c r="D314" s="265" t="s">
        <v>1850</v>
      </c>
      <c r="E314" t="s">
        <v>1851</v>
      </c>
    </row>
    <row r="315" spans="1:5">
      <c r="A315" t="s">
        <v>1864</v>
      </c>
      <c r="B315" t="s">
        <v>1865</v>
      </c>
      <c r="D315" s="265" t="s">
        <v>1852</v>
      </c>
      <c r="E315" t="s">
        <v>1843</v>
      </c>
    </row>
    <row r="316" spans="1:5">
      <c r="A316" t="s">
        <v>1866</v>
      </c>
      <c r="B316" t="s">
        <v>1867</v>
      </c>
      <c r="D316" s="265" t="s">
        <v>1853</v>
      </c>
      <c r="E316" t="s">
        <v>1854</v>
      </c>
    </row>
    <row r="317" spans="1:5">
      <c r="A317" t="s">
        <v>1868</v>
      </c>
      <c r="B317" t="s">
        <v>1869</v>
      </c>
      <c r="D317" s="265" t="s">
        <v>1855</v>
      </c>
      <c r="E317" t="s">
        <v>1843</v>
      </c>
    </row>
    <row r="318" spans="1:5">
      <c r="A318" t="s">
        <v>1870</v>
      </c>
      <c r="B318" t="s">
        <v>1871</v>
      </c>
      <c r="D318" s="265" t="s">
        <v>1856</v>
      </c>
      <c r="E318" t="s">
        <v>1845</v>
      </c>
    </row>
    <row r="319" spans="1:5">
      <c r="A319" t="s">
        <v>1872</v>
      </c>
      <c r="B319" t="s">
        <v>1873</v>
      </c>
      <c r="D319" s="265" t="s">
        <v>1857</v>
      </c>
      <c r="E319" t="s">
        <v>1847</v>
      </c>
    </row>
    <row r="320" spans="1:5">
      <c r="A320" t="s">
        <v>1874</v>
      </c>
      <c r="B320" t="s">
        <v>1875</v>
      </c>
      <c r="D320" s="265" t="s">
        <v>1858</v>
      </c>
      <c r="E320" t="s">
        <v>1849</v>
      </c>
    </row>
    <row r="321" spans="1:5">
      <c r="A321" t="s">
        <v>1876</v>
      </c>
      <c r="B321" t="s">
        <v>1877</v>
      </c>
      <c r="D321" s="265" t="s">
        <v>1859</v>
      </c>
      <c r="E321" t="s">
        <v>1847</v>
      </c>
    </row>
    <row r="322" spans="1:5">
      <c r="A322" t="s">
        <v>1878</v>
      </c>
      <c r="B322" t="s">
        <v>1879</v>
      </c>
      <c r="D322" s="265" t="s">
        <v>1860</v>
      </c>
      <c r="E322" t="s">
        <v>1861</v>
      </c>
    </row>
    <row r="323" spans="1:5">
      <c r="A323" t="s">
        <v>1880</v>
      </c>
      <c r="B323" t="s">
        <v>1881</v>
      </c>
      <c r="D323" s="265" t="s">
        <v>1862</v>
      </c>
      <c r="E323" t="s">
        <v>1863</v>
      </c>
    </row>
    <row r="324" spans="1:5">
      <c r="D324" s="265" t="s">
        <v>1864</v>
      </c>
      <c r="E324" t="s">
        <v>1865</v>
      </c>
    </row>
    <row r="325" spans="1:5">
      <c r="D325" s="265" t="s">
        <v>1866</v>
      </c>
      <c r="E325" t="s">
        <v>1867</v>
      </c>
    </row>
    <row r="326" spans="1:5">
      <c r="D326" s="265" t="s">
        <v>1868</v>
      </c>
      <c r="E326" t="s">
        <v>1869</v>
      </c>
    </row>
    <row r="327" spans="1:5">
      <c r="D327" s="265" t="s">
        <v>1870</v>
      </c>
      <c r="E327" t="s">
        <v>1871</v>
      </c>
    </row>
    <row r="328" spans="1:5">
      <c r="D328" s="265" t="s">
        <v>1872</v>
      </c>
      <c r="E328" t="s">
        <v>1873</v>
      </c>
    </row>
    <row r="329" spans="1:5">
      <c r="D329" s="265" t="s">
        <v>1874</v>
      </c>
      <c r="E329" t="s">
        <v>1875</v>
      </c>
    </row>
    <row r="330" spans="1:5">
      <c r="D330" s="265" t="s">
        <v>1876</v>
      </c>
      <c r="E330" t="s">
        <v>1877</v>
      </c>
    </row>
    <row r="331" spans="1:5">
      <c r="D331" s="265" t="s">
        <v>1878</v>
      </c>
      <c r="E331" t="s">
        <v>1879</v>
      </c>
    </row>
    <row r="332" spans="1:5">
      <c r="D332" s="265" t="s">
        <v>1880</v>
      </c>
      <c r="E332" t="s">
        <v>1881</v>
      </c>
    </row>
    <row r="333" spans="1:5">
      <c r="D333" s="265" t="s">
        <v>1899</v>
      </c>
      <c r="E333" t="s">
        <v>1902</v>
      </c>
    </row>
    <row r="337" spans="4:4">
      <c r="D337" s="313" t="s">
        <v>1900</v>
      </c>
    </row>
    <row r="339" spans="4:4">
      <c r="D339" s="313" t="s">
        <v>1369</v>
      </c>
    </row>
    <row r="346" spans="4:4">
      <c r="D346" s="1105"/>
    </row>
    <row r="347" spans="4:4">
      <c r="D347" s="1105"/>
    </row>
    <row r="348" spans="4:4">
      <c r="D348" s="1105"/>
    </row>
    <row r="349" spans="4:4">
      <c r="D349" s="1105"/>
    </row>
    <row r="350" spans="4:4">
      <c r="D350" s="1105"/>
    </row>
    <row r="351" spans="4:4">
      <c r="D351" s="108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9</vt:i4>
      </vt:variant>
    </vt:vector>
  </HeadingPairs>
  <TitlesOfParts>
    <vt:vector size="21" baseType="lpstr">
      <vt:lpstr>APR'17</vt:lpstr>
      <vt:lpstr>Cover</vt:lpstr>
      <vt:lpstr>Dec'17</vt:lpstr>
      <vt:lpstr>Detail WBS'1217</vt:lpstr>
      <vt:lpstr>Detail WPL'1217</vt:lpstr>
      <vt:lpstr>TB'1217</vt:lpstr>
      <vt:lpstr>Trial Balance</vt:lpstr>
      <vt:lpstr>DIT'1217</vt:lpstr>
      <vt:lpstr>Performance DEC'17</vt:lpstr>
      <vt:lpstr>MNC Asset -Proj 2017</vt:lpstr>
      <vt:lpstr>2016</vt:lpstr>
      <vt:lpstr>Sheet1</vt:lpstr>
      <vt:lpstr>'APR''17'!Print_Area</vt:lpstr>
      <vt:lpstr>Cover!Print_Area</vt:lpstr>
      <vt:lpstr>'Dec''17'!Print_Area</vt:lpstr>
      <vt:lpstr>'Detail WBS''1217'!Print_Area</vt:lpstr>
      <vt:lpstr>'Detail WPL''1217'!Print_Area</vt:lpstr>
      <vt:lpstr>'MNC Asset -Proj 2017'!Print_Area</vt:lpstr>
      <vt:lpstr>'Detail WBS''1217'!Print_Titles</vt:lpstr>
      <vt:lpstr>'Detail WPL''1217'!Print_Titles</vt:lpstr>
      <vt:lpstr>'MNC Asset -Proj 2017'!Print_Titles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LENOVO</cp:lastModifiedBy>
  <cp:lastPrinted>2018-01-12T03:20:41Z</cp:lastPrinted>
  <dcterms:created xsi:type="dcterms:W3CDTF">2017-05-20T11:03:59Z</dcterms:created>
  <dcterms:modified xsi:type="dcterms:W3CDTF">2018-03-22T06:22:39Z</dcterms:modified>
</cp:coreProperties>
</file>