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60" yWindow="30" windowWidth="20730" windowHeight="9990" tabRatio="676" activeTab="2"/>
  </bookViews>
  <sheets>
    <sheet name="Worksheet" sheetId="16" r:id="rId1"/>
    <sheet name="Neraca" sheetId="11" r:id="rId2"/>
    <sheet name="Laba" sheetId="12" r:id="rId3"/>
    <sheet name="Ekuitas" sheetId="15" r:id="rId4"/>
    <sheet name="Laporan Arus Kas" sheetId="14" r:id="rId5"/>
    <sheet name="Arus Kas" sheetId="17" r:id="rId6"/>
    <sheet name="Journal IDR 474" sheetId="18" r:id="rId7"/>
    <sheet name="Journal IDR 399" sheetId="21" r:id="rId8"/>
    <sheet name="BCA IDR" sheetId="23" r:id="rId9"/>
    <sheet name="Journal USD" sheetId="19" r:id="rId10"/>
    <sheet name="LIst Asset" sheetId="20" r:id="rId11"/>
    <sheet name="Sheet1" sheetId="22" r:id="rId12"/>
  </sheets>
  <externalReferences>
    <externalReference r:id="rId13"/>
    <externalReference r:id="rId14"/>
    <externalReference r:id="rId15"/>
  </externalReferences>
  <definedNames>
    <definedName name="\0" localSheetId="5">#REF!</definedName>
    <definedName name="\0" localSheetId="8">#REF!</definedName>
    <definedName name="\0" localSheetId="3">#REF!</definedName>
    <definedName name="\0" localSheetId="9">#REF!</definedName>
    <definedName name="\0" localSheetId="2">#REF!</definedName>
    <definedName name="\0">#REF!</definedName>
    <definedName name="__123Graph_A" localSheetId="5" hidden="1">[1]Ekuitas!#REF!</definedName>
    <definedName name="__123Graph_A" localSheetId="8" hidden="1">[1]Ekuitas!#REF!</definedName>
    <definedName name="__123Graph_A" localSheetId="3" hidden="1">[1]Ekuitas!#REF!</definedName>
    <definedName name="__123Graph_A" localSheetId="9" hidden="1">[1]Ekuitas!#REF!</definedName>
    <definedName name="__123Graph_A" localSheetId="2" hidden="1">[1]Ekuitas!#REF!</definedName>
    <definedName name="__123Graph_A" hidden="1">[1]Ekuitas!#REF!</definedName>
    <definedName name="_xlnm._FilterDatabase" localSheetId="0" hidden="1">Worksheet!$A$5:$Q$9</definedName>
    <definedName name="a" localSheetId="5">#REF!</definedName>
    <definedName name="a" localSheetId="8">#REF!</definedName>
    <definedName name="a" localSheetId="3">#REF!</definedName>
    <definedName name="a" localSheetId="9">#REF!</definedName>
    <definedName name="a">#REF!</definedName>
    <definedName name="AS2DocOpenMode" hidden="1">"AS2DocumentEdit"</definedName>
    <definedName name="ii" localSheetId="5" hidden="1">[2]EKUITAS!#REF!</definedName>
    <definedName name="ii" localSheetId="8" hidden="1">[2]EKUITAS!#REF!</definedName>
    <definedName name="ii" localSheetId="3" hidden="1">[2]EKUITAS!#REF!</definedName>
    <definedName name="ii" localSheetId="9" hidden="1">[2]EKUITAS!#REF!</definedName>
    <definedName name="ii" hidden="1">[2]EKUITAS!#REF!</definedName>
    <definedName name="_xlnm.Print_Area" localSheetId="5">'Arus Kas'!$A$1:$H$61</definedName>
    <definedName name="_xlnm.Print_Area" localSheetId="8">'BCA IDR'!#REF!</definedName>
    <definedName name="_xlnm.Print_Area" localSheetId="3">Ekuitas!$A$1:$L$18</definedName>
    <definedName name="_xlnm.Print_Area" localSheetId="7">'Journal IDR 399'!$A$1:$H$54</definedName>
    <definedName name="_xlnm.Print_Area" localSheetId="6">'Journal IDR 474'!$K$7:$N$23</definedName>
    <definedName name="_xlnm.Print_Area" localSheetId="9">'Journal USD'!$J$37:$L$43</definedName>
    <definedName name="_xlnm.Print_Area" localSheetId="2">Laba!$A$1:$M$54</definedName>
    <definedName name="_xlnm.Print_Area" localSheetId="4">'Laporan Arus Kas'!$A$1:$G$39</definedName>
    <definedName name="_xlnm.Print_Area" localSheetId="10">'LIst Asset'!$A$1:$R$115</definedName>
    <definedName name="_xlnm.Print_Area" localSheetId="1">Neraca!$A$1:$K$46</definedName>
    <definedName name="_xlnm.Print_Area" localSheetId="11">Sheet1!$A$1:$K$24</definedName>
    <definedName name="_xlnm.Print_Area" localSheetId="0">Worksheet!$R$230:$S$242</definedName>
    <definedName name="_xlnm.Print_Area">#REF!</definedName>
    <definedName name="Print_Area_MI" localSheetId="5">'Arus Kas'!$A$1:$J$50</definedName>
    <definedName name="Print_Area_MI" localSheetId="8">#REF!</definedName>
    <definedName name="Print_Area_MI" localSheetId="3">Ekuitas!#REF!</definedName>
    <definedName name="Print_Area_MI" localSheetId="9">#REF!</definedName>
    <definedName name="Print_Area_MI" localSheetId="2">Laba!$A$1:$F$68</definedName>
    <definedName name="Print_Area_MI" localSheetId="1">Neraca!$A$1:$H$43</definedName>
    <definedName name="Print_Area_MI">#REF!</definedName>
    <definedName name="_xlnm.Print_Titles" localSheetId="0">Worksheet!$1:$9</definedName>
    <definedName name="T_RL" localSheetId="5">#REF!</definedName>
    <definedName name="T_RL" localSheetId="8">#REF!</definedName>
    <definedName name="T_RL" localSheetId="3">#REF!</definedName>
    <definedName name="T_RL" localSheetId="9">#REF!</definedName>
    <definedName name="T_RL">#REF!</definedName>
    <definedName name="wrn.Aging._.and._.Trend._.Analysis." localSheetId="3" hidden="1">{#N/A,#N/A,FALSE,"Aging Summary";#N/A,#N/A,FALSE,"Ratio Analysis";#N/A,#N/A,FALSE,"Test 120 Day Accts";#N/A,#N/A,FALSE,"Tickmarks"}</definedName>
    <definedName name="wrn.Aging._.and._.Trend._.Analysis." localSheetId="2" hidden="1">{#N/A,#N/A,FALSE,"Aging Summary";#N/A,#N/A,FALSE,"Ratio Analysis";#N/A,#N/A,FALSE,"Test 120 Day Accts";#N/A,#N/A,FALSE,"Tickmarks"}</definedName>
    <definedName name="wrn.Aging._.and._.Trend._.Analysis." localSheetId="4" hidden="1">{#N/A,#N/A,FALSE,"Aging Summary";#N/A,#N/A,FALSE,"Ratio Analysis";#N/A,#N/A,FALSE,"Test 120 Day Accts";#N/A,#N/A,FALSE,"Tickmarks"}</definedName>
    <definedName name="wrn.Aging._.and._.Trend._.Analysis." localSheetId="0" hidden="1">{#N/A,#N/A,FALSE,"Aging Summary";#N/A,#N/A,FALSE,"Ratio Analysis";#N/A,#N/A,FALSE,"Test 120 Day Accts";#N/A,#N/A,FALSE,"Tickmarks"}</definedName>
    <definedName name="wrn.Aging._.and._.Trend._.Analysis." hidden="1">{#N/A,#N/A,FALSE,"Aging Summary";#N/A,#N/A,FALSE,"Ratio Analysis";#N/A,#N/A,FALSE,"Test 120 Day Accts";#N/A,#N/A,FALSE,"Tickmarks"}</definedName>
  </definedNames>
  <calcPr calcId="144525"/>
</workbook>
</file>

<file path=xl/calcChain.xml><?xml version="1.0" encoding="utf-8"?>
<calcChain xmlns="http://schemas.openxmlformats.org/spreadsheetml/2006/main">
  <c r="F20" i="11" l="1"/>
  <c r="H20" i="11"/>
  <c r="F30" i="11"/>
  <c r="F32" i="11"/>
  <c r="H32" i="11"/>
  <c r="F44" i="11"/>
  <c r="H44" i="11"/>
  <c r="F46" i="11" l="1"/>
  <c r="H46" i="11"/>
  <c r="AE9" i="17"/>
  <c r="G112" i="21"/>
  <c r="G109" i="21"/>
  <c r="G104" i="21"/>
  <c r="G79" i="21"/>
  <c r="J173" i="16"/>
  <c r="O173" i="16" s="1"/>
  <c r="G84" i="21"/>
  <c r="G89" i="21"/>
  <c r="J174" i="16" s="1"/>
  <c r="O174" i="16" s="1"/>
  <c r="H212" i="16"/>
  <c r="H50" i="16"/>
  <c r="G62" i="21"/>
  <c r="G59" i="21"/>
  <c r="H61" i="16"/>
  <c r="G51" i="21"/>
  <c r="AE10" i="17" s="1"/>
  <c r="AE29" i="17" s="1"/>
  <c r="F236" i="23"/>
  <c r="F37" i="21"/>
  <c r="H25" i="16" s="1"/>
  <c r="F27" i="19"/>
  <c r="G28" i="19" s="1"/>
  <c r="F8" i="18"/>
  <c r="J209" i="16"/>
  <c r="O209" i="16" s="1"/>
  <c r="S212" i="16" s="1"/>
  <c r="H209" i="16"/>
  <c r="H205" i="16"/>
  <c r="H243" i="16"/>
  <c r="G232" i="23"/>
  <c r="G225" i="23"/>
  <c r="G36" i="21"/>
  <c r="G220" i="23"/>
  <c r="H287" i="16"/>
  <c r="H233" i="16"/>
  <c r="H264" i="16"/>
  <c r="J155" i="23"/>
  <c r="J153" i="23"/>
  <c r="J190" i="23"/>
  <c r="J159" i="23"/>
  <c r="J183" i="23"/>
  <c r="H226" i="16" s="1"/>
  <c r="O226" i="16" s="1"/>
  <c r="J180" i="23"/>
  <c r="J179" i="23"/>
  <c r="J170" i="23"/>
  <c r="J167" i="23"/>
  <c r="J164" i="23"/>
  <c r="J161" i="23"/>
  <c r="J158" i="23"/>
  <c r="H229" i="16" s="1"/>
  <c r="O229" i="16" s="1"/>
  <c r="J154" i="23"/>
  <c r="J152" i="23"/>
  <c r="J151" i="23"/>
  <c r="H255" i="16" s="1"/>
  <c r="O255" i="16" s="1"/>
  <c r="G217" i="23"/>
  <c r="F209" i="23"/>
  <c r="G205" i="23"/>
  <c r="F207" i="23" s="1"/>
  <c r="G214" i="23" s="1"/>
  <c r="G149" i="23"/>
  <c r="G145" i="23"/>
  <c r="G142" i="23"/>
  <c r="G139" i="23"/>
  <c r="G132" i="23"/>
  <c r="H260" i="16"/>
  <c r="O260" i="16" s="1"/>
  <c r="S217" i="16" s="1"/>
  <c r="F83" i="17" s="1"/>
  <c r="K83" i="17" s="1"/>
  <c r="H259" i="16"/>
  <c r="O259" i="16" s="1"/>
  <c r="S214" i="16" s="1"/>
  <c r="G119" i="23"/>
  <c r="G125" i="23"/>
  <c r="G122" i="23"/>
  <c r="G106" i="23"/>
  <c r="G102" i="23"/>
  <c r="J75" i="23"/>
  <c r="H244" i="16" s="1"/>
  <c r="O244" i="16" s="1"/>
  <c r="J89" i="23"/>
  <c r="J74" i="23"/>
  <c r="J73" i="23"/>
  <c r="H227" i="16" s="1"/>
  <c r="O227" i="16" s="1"/>
  <c r="J72" i="23"/>
  <c r="H222" i="16"/>
  <c r="O222" i="16" s="1"/>
  <c r="S231" i="16" s="1"/>
  <c r="J71" i="23"/>
  <c r="H225" i="16" s="1"/>
  <c r="O225" i="16" s="1"/>
  <c r="S234" i="16" s="1"/>
  <c r="J70" i="23"/>
  <c r="J68" i="23"/>
  <c r="H218" i="16" s="1"/>
  <c r="O218" i="16" s="1"/>
  <c r="S239" i="16" s="1"/>
  <c r="J66" i="23"/>
  <c r="J63" i="23"/>
  <c r="H265" i="16" s="1"/>
  <c r="O265" i="16" s="1"/>
  <c r="S219" i="16" s="1"/>
  <c r="J59" i="23"/>
  <c r="J58" i="23"/>
  <c r="J54" i="23"/>
  <c r="H211" i="16" s="1"/>
  <c r="O211" i="16" s="1"/>
  <c r="J53" i="23"/>
  <c r="J52" i="23"/>
  <c r="J51" i="23"/>
  <c r="H125" i="16"/>
  <c r="O125" i="16" s="1"/>
  <c r="H124" i="16"/>
  <c r="H128" i="16" s="1"/>
  <c r="H123" i="16"/>
  <c r="O123" i="16" s="1"/>
  <c r="G49" i="23"/>
  <c r="G46" i="23"/>
  <c r="J223" i="16" s="1"/>
  <c r="G36" i="23"/>
  <c r="H247" i="16"/>
  <c r="O247" i="16" s="1"/>
  <c r="H246" i="16"/>
  <c r="O246" i="16" s="1"/>
  <c r="H224" i="16"/>
  <c r="O224" i="16" s="1"/>
  <c r="H234" i="16"/>
  <c r="O234" i="16" s="1"/>
  <c r="G22" i="23"/>
  <c r="G27" i="23"/>
  <c r="G16" i="23"/>
  <c r="G9" i="23"/>
  <c r="F55" i="21"/>
  <c r="H263" i="16" s="1"/>
  <c r="G28" i="21"/>
  <c r="G26" i="21"/>
  <c r="H24" i="16"/>
  <c r="O74" i="16"/>
  <c r="F76" i="16"/>
  <c r="O76" i="16" s="1"/>
  <c r="F87" i="21"/>
  <c r="G65" i="21"/>
  <c r="J124" i="16" s="1"/>
  <c r="O124" i="16" s="1"/>
  <c r="V22" i="17"/>
  <c r="P19" i="16"/>
  <c r="Q19" i="16"/>
  <c r="P28" i="16"/>
  <c r="Q28" i="16"/>
  <c r="P52" i="16"/>
  <c r="Q52" i="16"/>
  <c r="P57" i="16"/>
  <c r="Q57" i="16"/>
  <c r="P63" i="16"/>
  <c r="Q63" i="16"/>
  <c r="P72" i="16"/>
  <c r="Q72" i="16"/>
  <c r="P98" i="16"/>
  <c r="Q98" i="16"/>
  <c r="P107" i="16"/>
  <c r="Q107" i="16"/>
  <c r="P128" i="16"/>
  <c r="Q128" i="16"/>
  <c r="P134" i="16"/>
  <c r="Q134" i="16"/>
  <c r="P139" i="16"/>
  <c r="Q139" i="16"/>
  <c r="P145" i="16"/>
  <c r="Q145" i="16"/>
  <c r="P150" i="16"/>
  <c r="Q150" i="16"/>
  <c r="P165" i="16"/>
  <c r="Q165" i="16"/>
  <c r="P201" i="16"/>
  <c r="Q201" i="16"/>
  <c r="P268" i="16"/>
  <c r="T225" i="16" s="1"/>
  <c r="Q268" i="16"/>
  <c r="U225" i="16" s="1"/>
  <c r="P280" i="16"/>
  <c r="Q280" i="16"/>
  <c r="P290" i="16"/>
  <c r="Q290" i="16"/>
  <c r="P301" i="16"/>
  <c r="F46" i="12"/>
  <c r="Q301" i="16"/>
  <c r="P309" i="16"/>
  <c r="Q309" i="16"/>
  <c r="O245" i="16"/>
  <c r="O257" i="16"/>
  <c r="R49" i="21"/>
  <c r="P45" i="21"/>
  <c r="O45" i="21"/>
  <c r="G44" i="21"/>
  <c r="J131" i="16" s="1"/>
  <c r="L33" i="19"/>
  <c r="K48" i="21"/>
  <c r="P48" i="21" s="1"/>
  <c r="P46" i="21"/>
  <c r="O46" i="21"/>
  <c r="F17" i="19"/>
  <c r="G18" i="19"/>
  <c r="O232" i="16"/>
  <c r="S238" i="16" s="1"/>
  <c r="H98" i="16"/>
  <c r="O228" i="16"/>
  <c r="O236" i="16"/>
  <c r="G129" i="23"/>
  <c r="G116" i="23"/>
  <c r="G109" i="23"/>
  <c r="G112" i="23"/>
  <c r="G90" i="23"/>
  <c r="G6" i="23"/>
  <c r="F29" i="23"/>
  <c r="H286" i="16" s="1"/>
  <c r="O286" i="16" s="1"/>
  <c r="L83" i="19"/>
  <c r="L40" i="19"/>
  <c r="L49" i="19" s="1"/>
  <c r="G33" i="21"/>
  <c r="G31" i="21"/>
  <c r="O217" i="16"/>
  <c r="O210" i="16"/>
  <c r="S208" i="16" s="1"/>
  <c r="F85" i="17" s="1"/>
  <c r="K85" i="17" s="1"/>
  <c r="N85" i="17" s="1"/>
  <c r="G135" i="23"/>
  <c r="G14" i="21"/>
  <c r="G17" i="21"/>
  <c r="J55" i="16" s="1"/>
  <c r="J57" i="16" s="1"/>
  <c r="G23" i="21"/>
  <c r="G20" i="21"/>
  <c r="G11" i="21"/>
  <c r="G63" i="20"/>
  <c r="R63" i="20" s="1"/>
  <c r="H63" i="20"/>
  <c r="G235" i="23"/>
  <c r="O105" i="16"/>
  <c r="G98" i="21"/>
  <c r="L71" i="19"/>
  <c r="L72" i="19" s="1"/>
  <c r="L63" i="19"/>
  <c r="L64" i="19"/>
  <c r="L73" i="19" s="1"/>
  <c r="L55" i="19"/>
  <c r="L56" i="19" s="1"/>
  <c r="L65" i="19" s="1"/>
  <c r="L66" i="19" s="1"/>
  <c r="F61" i="19" s="1"/>
  <c r="G62" i="19" s="1"/>
  <c r="J23" i="19"/>
  <c r="G24" i="19"/>
  <c r="G8" i="21"/>
  <c r="G6" i="21"/>
  <c r="O233" i="16"/>
  <c r="S236" i="16" s="1"/>
  <c r="H139" i="16"/>
  <c r="O220" i="16"/>
  <c r="G15" i="19"/>
  <c r="J14" i="19"/>
  <c r="G12" i="19"/>
  <c r="J11" i="19"/>
  <c r="H284" i="16" s="1"/>
  <c r="G9" i="19"/>
  <c r="J9" i="19" s="1"/>
  <c r="J23" i="16" s="1"/>
  <c r="J7" i="19"/>
  <c r="J126" i="16" s="1"/>
  <c r="J6" i="19"/>
  <c r="H12" i="12"/>
  <c r="H13" i="12" s="1"/>
  <c r="G96" i="21"/>
  <c r="G94" i="21"/>
  <c r="J197" i="16" s="1"/>
  <c r="J20" i="19"/>
  <c r="G21" i="19"/>
  <c r="O208" i="16"/>
  <c r="F103" i="20"/>
  <c r="G101" i="20"/>
  <c r="O101" i="20" s="1"/>
  <c r="H101" i="20"/>
  <c r="G62" i="20"/>
  <c r="H62" i="20"/>
  <c r="O215" i="16"/>
  <c r="O243" i="16"/>
  <c r="O93" i="16"/>
  <c r="O214" i="16"/>
  <c r="F19" i="16"/>
  <c r="L82" i="19"/>
  <c r="O235" i="16"/>
  <c r="L201" i="16"/>
  <c r="L48" i="19"/>
  <c r="O266" i="16"/>
  <c r="G112" i="20"/>
  <c r="G61" i="20"/>
  <c r="H61" i="20"/>
  <c r="H60" i="20"/>
  <c r="G60" i="20"/>
  <c r="F59" i="20"/>
  <c r="H59" i="20" s="1"/>
  <c r="F58" i="20"/>
  <c r="H58" i="20" s="1"/>
  <c r="J68" i="20"/>
  <c r="H46" i="17"/>
  <c r="H42" i="17"/>
  <c r="H57" i="20"/>
  <c r="H56" i="20"/>
  <c r="G57" i="20"/>
  <c r="U65" i="20"/>
  <c r="V65" i="20" s="1"/>
  <c r="U64" i="20"/>
  <c r="V64" i="20" s="1"/>
  <c r="G56" i="20"/>
  <c r="O264" i="16"/>
  <c r="O31" i="16"/>
  <c r="H112" i="20"/>
  <c r="O230" i="16"/>
  <c r="G55" i="20"/>
  <c r="G54" i="20"/>
  <c r="G52" i="20"/>
  <c r="K52" i="20" s="1"/>
  <c r="G53" i="20"/>
  <c r="Q53" i="20" s="1"/>
  <c r="G100" i="20"/>
  <c r="G99" i="20"/>
  <c r="I99" i="20" s="1"/>
  <c r="H100" i="20"/>
  <c r="H14" i="17"/>
  <c r="H11" i="17"/>
  <c r="F108" i="20"/>
  <c r="H107" i="20"/>
  <c r="H108" i="20" s="1"/>
  <c r="G107" i="20"/>
  <c r="G51" i="20"/>
  <c r="G50" i="20"/>
  <c r="G49" i="20"/>
  <c r="L49" i="20" s="1"/>
  <c r="H99" i="20"/>
  <c r="H98" i="20"/>
  <c r="G98" i="20"/>
  <c r="H97" i="20"/>
  <c r="G97" i="20"/>
  <c r="H96" i="20"/>
  <c r="G96" i="20"/>
  <c r="N96" i="20" s="1"/>
  <c r="H95" i="20"/>
  <c r="G95" i="20"/>
  <c r="K95" i="20" s="1"/>
  <c r="H94" i="20"/>
  <c r="G94" i="20"/>
  <c r="L94" i="20" s="1"/>
  <c r="H93" i="20"/>
  <c r="G93" i="20"/>
  <c r="H92" i="20"/>
  <c r="G92" i="20"/>
  <c r="H91" i="20"/>
  <c r="G91" i="20"/>
  <c r="T91" i="20" s="1"/>
  <c r="H90" i="20"/>
  <c r="G90" i="20"/>
  <c r="H89" i="20"/>
  <c r="G89" i="20"/>
  <c r="N89" i="20" s="1"/>
  <c r="H88" i="20"/>
  <c r="G88" i="20"/>
  <c r="H87" i="20"/>
  <c r="G87" i="20"/>
  <c r="J87" i="20" s="1"/>
  <c r="H86" i="20"/>
  <c r="G86" i="20"/>
  <c r="L86" i="20" s="1"/>
  <c r="H85" i="20"/>
  <c r="G85" i="20"/>
  <c r="L85" i="20"/>
  <c r="H84" i="20"/>
  <c r="G84" i="20"/>
  <c r="H83" i="20"/>
  <c r="G83" i="20"/>
  <c r="H82" i="20"/>
  <c r="G82" i="20"/>
  <c r="H81" i="20"/>
  <c r="G81" i="20"/>
  <c r="H80" i="20"/>
  <c r="G80" i="20"/>
  <c r="Q80" i="20" s="1"/>
  <c r="H79" i="20"/>
  <c r="H103" i="20"/>
  <c r="G79" i="20"/>
  <c r="J79" i="20" s="1"/>
  <c r="T72" i="20"/>
  <c r="S72" i="20"/>
  <c r="R72" i="20"/>
  <c r="Q72" i="20"/>
  <c r="P72" i="20"/>
  <c r="O72" i="20"/>
  <c r="N72" i="20"/>
  <c r="M72" i="20"/>
  <c r="T71" i="20"/>
  <c r="S71" i="20"/>
  <c r="R71" i="20"/>
  <c r="Q71" i="20"/>
  <c r="P71" i="20"/>
  <c r="O71" i="20"/>
  <c r="N71" i="20"/>
  <c r="U71" i="20" s="1"/>
  <c r="V71" i="20" s="1"/>
  <c r="M71" i="20"/>
  <c r="T70" i="20"/>
  <c r="S70" i="20"/>
  <c r="R70" i="20"/>
  <c r="Q70" i="20"/>
  <c r="P70" i="20"/>
  <c r="O70" i="20"/>
  <c r="N70" i="20"/>
  <c r="U70" i="20" s="1"/>
  <c r="V70" i="20" s="1"/>
  <c r="M70" i="20"/>
  <c r="T69" i="20"/>
  <c r="S69" i="20"/>
  <c r="R69" i="20"/>
  <c r="Q69" i="20"/>
  <c r="P69" i="20"/>
  <c r="O69" i="20"/>
  <c r="N69" i="20"/>
  <c r="U69" i="20" s="1"/>
  <c r="V69" i="20" s="1"/>
  <c r="M69" i="20"/>
  <c r="T68" i="20"/>
  <c r="S68" i="20"/>
  <c r="R68" i="20"/>
  <c r="Q68" i="20"/>
  <c r="P68" i="20"/>
  <c r="O68" i="20"/>
  <c r="N68" i="20"/>
  <c r="M68" i="20"/>
  <c r="F45" i="20"/>
  <c r="G45" i="20" s="1"/>
  <c r="G46" i="20"/>
  <c r="G48" i="20"/>
  <c r="Q48" i="20" s="1"/>
  <c r="G47" i="20"/>
  <c r="G44" i="20"/>
  <c r="P44" i="20" s="1"/>
  <c r="G43" i="20"/>
  <c r="O288" i="16"/>
  <c r="T23" i="16"/>
  <c r="O157" i="16"/>
  <c r="O143" i="16"/>
  <c r="O145" i="16" s="1"/>
  <c r="O142" i="16"/>
  <c r="F24" i="20"/>
  <c r="G24" i="20" s="1"/>
  <c r="F23" i="20"/>
  <c r="G23" i="20" s="1"/>
  <c r="F22" i="20"/>
  <c r="G22" i="20" s="1"/>
  <c r="F21" i="20"/>
  <c r="G21" i="20" s="1"/>
  <c r="F20" i="20"/>
  <c r="G20" i="20" s="1"/>
  <c r="F19" i="20"/>
  <c r="G19" i="20" s="1"/>
  <c r="F18" i="20"/>
  <c r="G18" i="20" s="1"/>
  <c r="F17" i="20"/>
  <c r="G17" i="20"/>
  <c r="F16" i="20"/>
  <c r="G16" i="20" s="1"/>
  <c r="F12" i="20"/>
  <c r="G12" i="20" s="1"/>
  <c r="F11" i="20"/>
  <c r="G11" i="20" s="1"/>
  <c r="F10" i="20"/>
  <c r="G10" i="20" s="1"/>
  <c r="F9" i="20"/>
  <c r="G9" i="20" s="1"/>
  <c r="F8" i="20"/>
  <c r="F7" i="20"/>
  <c r="G7" i="20" s="1"/>
  <c r="F6" i="20"/>
  <c r="G6" i="20" s="1"/>
  <c r="G36" i="20"/>
  <c r="I36" i="20" s="1"/>
  <c r="G35" i="20"/>
  <c r="G34" i="20"/>
  <c r="G33" i="20"/>
  <c r="G32" i="20"/>
  <c r="G31" i="20"/>
  <c r="G30" i="20"/>
  <c r="J30" i="20" s="1"/>
  <c r="G29" i="20"/>
  <c r="G28" i="20"/>
  <c r="T28" i="20" s="1"/>
  <c r="G27" i="20"/>
  <c r="G26" i="20"/>
  <c r="G25" i="20"/>
  <c r="G42" i="20"/>
  <c r="K42" i="20" s="1"/>
  <c r="G41" i="20"/>
  <c r="G40" i="20"/>
  <c r="G39" i="20"/>
  <c r="G38" i="20"/>
  <c r="N38" i="20" s="1"/>
  <c r="G37" i="20"/>
  <c r="G13" i="20"/>
  <c r="N13" i="20" s="1"/>
  <c r="G14" i="20"/>
  <c r="G15" i="20"/>
  <c r="F28" i="16"/>
  <c r="F12" i="12"/>
  <c r="T205" i="16"/>
  <c r="T206" i="16"/>
  <c r="T207" i="16"/>
  <c r="T210" i="16"/>
  <c r="T218" i="16"/>
  <c r="T213" i="16"/>
  <c r="T209" i="16"/>
  <c r="T208" i="16"/>
  <c r="T211" i="16"/>
  <c r="T216" i="16"/>
  <c r="T215" i="16"/>
  <c r="T219" i="16"/>
  <c r="O175" i="16"/>
  <c r="O176" i="16"/>
  <c r="O177" i="16"/>
  <c r="O178" i="16"/>
  <c r="O179" i="16"/>
  <c r="O182" i="16"/>
  <c r="O193" i="16"/>
  <c r="O196" i="16"/>
  <c r="O206" i="16"/>
  <c r="O213" i="16"/>
  <c r="O258" i="16"/>
  <c r="S206" i="16" s="1"/>
  <c r="F79" i="17" s="1"/>
  <c r="K79" i="17" s="1"/>
  <c r="N79" i="17" s="1"/>
  <c r="O216" i="16"/>
  <c r="O219" i="16"/>
  <c r="O231" i="16"/>
  <c r="O241" i="16"/>
  <c r="O254" i="16"/>
  <c r="O248" i="16"/>
  <c r="O278" i="16"/>
  <c r="O298" i="16"/>
  <c r="D46" i="12" s="1"/>
  <c r="F107" i="17" s="1"/>
  <c r="K107" i="17" s="1"/>
  <c r="O158" i="16"/>
  <c r="O160" i="16"/>
  <c r="F201" i="16"/>
  <c r="F270" i="16" s="1"/>
  <c r="F268" i="16"/>
  <c r="F280" i="16"/>
  <c r="F290" i="16"/>
  <c r="F301" i="16"/>
  <c r="U206" i="16"/>
  <c r="F63" i="16"/>
  <c r="H17" i="17"/>
  <c r="F52" i="16"/>
  <c r="F36" i="16"/>
  <c r="F72" i="16"/>
  <c r="F57" i="16"/>
  <c r="F107" i="16"/>
  <c r="F98" i="16"/>
  <c r="U219" i="16"/>
  <c r="U215" i="16"/>
  <c r="U216" i="16"/>
  <c r="U211" i="16"/>
  <c r="U208" i="16"/>
  <c r="U209" i="16"/>
  <c r="U213" i="16"/>
  <c r="U218" i="16"/>
  <c r="U210" i="16"/>
  <c r="U207" i="16"/>
  <c r="U205" i="16"/>
  <c r="F52" i="12"/>
  <c r="O306" i="16"/>
  <c r="O239" i="16"/>
  <c r="O242" i="16"/>
  <c r="O249" i="16"/>
  <c r="O261" i="16"/>
  <c r="O276" i="16"/>
  <c r="O297" i="16"/>
  <c r="O299" i="16"/>
  <c r="O307" i="16"/>
  <c r="H52" i="12"/>
  <c r="H46" i="12"/>
  <c r="H42" i="12"/>
  <c r="AF29" i="17"/>
  <c r="AD29" i="17"/>
  <c r="AC29" i="17"/>
  <c r="H45" i="17"/>
  <c r="W130" i="17"/>
  <c r="Q130" i="17"/>
  <c r="K99" i="17"/>
  <c r="L99" i="17" s="1"/>
  <c r="K89" i="17"/>
  <c r="L89" i="17" s="1"/>
  <c r="K51" i="17"/>
  <c r="Y51" i="17" s="1"/>
  <c r="Y130" i="17" s="1"/>
  <c r="C29" i="14" s="1"/>
  <c r="J49" i="17"/>
  <c r="J37" i="17"/>
  <c r="J25" i="17"/>
  <c r="O132" i="16"/>
  <c r="U217" i="16"/>
  <c r="T217" i="16"/>
  <c r="H43" i="17"/>
  <c r="H23" i="17"/>
  <c r="H19" i="17"/>
  <c r="O45" i="16"/>
  <c r="O47" i="16"/>
  <c r="O46" i="16"/>
  <c r="O44" i="16"/>
  <c r="O43" i="16"/>
  <c r="O42" i="16"/>
  <c r="F134" i="16"/>
  <c r="F150" i="16"/>
  <c r="H35" i="17"/>
  <c r="H32" i="17"/>
  <c r="H18" i="17"/>
  <c r="N309" i="16"/>
  <c r="L309" i="16"/>
  <c r="H309" i="16"/>
  <c r="F309" i="16"/>
  <c r="E309" i="16"/>
  <c r="J309" i="16"/>
  <c r="N301" i="16"/>
  <c r="L301" i="16"/>
  <c r="J301" i="16"/>
  <c r="E301" i="16"/>
  <c r="H301" i="16"/>
  <c r="N290" i="16"/>
  <c r="N280" i="16"/>
  <c r="L290" i="16"/>
  <c r="E290" i="16"/>
  <c r="L280" i="16"/>
  <c r="H280" i="16"/>
  <c r="E280" i="16"/>
  <c r="N268" i="16"/>
  <c r="L268" i="16"/>
  <c r="E268" i="16"/>
  <c r="E201" i="16"/>
  <c r="N165" i="16"/>
  <c r="L165" i="16"/>
  <c r="O163" i="16"/>
  <c r="O152" i="16"/>
  <c r="N150" i="16"/>
  <c r="L150" i="16"/>
  <c r="L128" i="16"/>
  <c r="L134" i="16"/>
  <c r="L139" i="16"/>
  <c r="E150" i="16"/>
  <c r="H150" i="16"/>
  <c r="N145" i="16"/>
  <c r="L145" i="16"/>
  <c r="H145" i="16"/>
  <c r="F145" i="16"/>
  <c r="H34" i="17"/>
  <c r="E145" i="16"/>
  <c r="N139" i="16"/>
  <c r="F139" i="16"/>
  <c r="H33" i="17"/>
  <c r="E139" i="16"/>
  <c r="N134" i="16"/>
  <c r="E134" i="16"/>
  <c r="N128" i="16"/>
  <c r="F128" i="16"/>
  <c r="E128" i="16"/>
  <c r="O127" i="16"/>
  <c r="O111" i="16"/>
  <c r="N107" i="16"/>
  <c r="L107" i="16"/>
  <c r="H107" i="16"/>
  <c r="H109" i="16" s="1"/>
  <c r="H113" i="16" s="1"/>
  <c r="E107" i="16"/>
  <c r="N98" i="16"/>
  <c r="L98" i="16"/>
  <c r="E98" i="16"/>
  <c r="O96" i="16"/>
  <c r="O94" i="16"/>
  <c r="F88" i="16"/>
  <c r="E88" i="16"/>
  <c r="O86" i="16"/>
  <c r="O85" i="16"/>
  <c r="O84" i="16"/>
  <c r="O83" i="16"/>
  <c r="L72" i="16"/>
  <c r="J72" i="16"/>
  <c r="E72" i="16"/>
  <c r="O69" i="16"/>
  <c r="O68" i="16"/>
  <c r="O66" i="16"/>
  <c r="N63" i="16"/>
  <c r="L63" i="16"/>
  <c r="E63" i="16"/>
  <c r="N57" i="16"/>
  <c r="L57" i="16"/>
  <c r="E57" i="16"/>
  <c r="N52" i="16"/>
  <c r="L52" i="16"/>
  <c r="E52" i="16"/>
  <c r="O41" i="16"/>
  <c r="N36" i="16"/>
  <c r="N38" i="16" s="1"/>
  <c r="L36" i="16"/>
  <c r="E36" i="16"/>
  <c r="O35" i="16"/>
  <c r="O34" i="16"/>
  <c r="O33" i="16"/>
  <c r="N28" i="16"/>
  <c r="L28" i="16"/>
  <c r="E28" i="16"/>
  <c r="E19" i="16"/>
  <c r="N19" i="16"/>
  <c r="L19" i="16"/>
  <c r="E15" i="14"/>
  <c r="E35" i="14" s="1"/>
  <c r="E39" i="14" s="1"/>
  <c r="E47" i="14" s="1"/>
  <c r="E25" i="14"/>
  <c r="E33" i="14"/>
  <c r="E18" i="15"/>
  <c r="E22" i="15" s="1"/>
  <c r="H165" i="16"/>
  <c r="O148" i="16"/>
  <c r="O150" i="16" s="1"/>
  <c r="O70" i="16"/>
  <c r="N72" i="16"/>
  <c r="N201" i="16"/>
  <c r="N270" i="16" s="1"/>
  <c r="J150" i="16"/>
  <c r="J165" i="16"/>
  <c r="O159" i="16"/>
  <c r="G13" i="15" s="1"/>
  <c r="I13" i="15" s="1"/>
  <c r="J145" i="16"/>
  <c r="M39" i="20"/>
  <c r="K13" i="17"/>
  <c r="K12" i="17"/>
  <c r="K16" i="17"/>
  <c r="K15" i="17"/>
  <c r="R87" i="20"/>
  <c r="R43" i="20"/>
  <c r="P107" i="20"/>
  <c r="P108" i="20"/>
  <c r="N87" i="20"/>
  <c r="G7" i="18"/>
  <c r="J24" i="16" s="1"/>
  <c r="R33" i="20"/>
  <c r="M14" i="20"/>
  <c r="Q82" i="20"/>
  <c r="P82" i="20"/>
  <c r="O161" i="16"/>
  <c r="G11" i="15" s="1"/>
  <c r="J43" i="20"/>
  <c r="H22" i="17"/>
  <c r="P54" i="20"/>
  <c r="T112" i="20"/>
  <c r="J14" i="20"/>
  <c r="L14" i="20"/>
  <c r="N14" i="20"/>
  <c r="K14" i="20"/>
  <c r="S14" i="20"/>
  <c r="T14" i="20"/>
  <c r="R14" i="20"/>
  <c r="N37" i="20"/>
  <c r="I33" i="20"/>
  <c r="O82" i="20"/>
  <c r="M82" i="20"/>
  <c r="I89" i="20"/>
  <c r="O14" i="20"/>
  <c r="I14" i="20"/>
  <c r="P29" i="20"/>
  <c r="Q36" i="20"/>
  <c r="P87" i="20"/>
  <c r="S82" i="20"/>
  <c r="Q14" i="20"/>
  <c r="M84" i="20"/>
  <c r="M89" i="20"/>
  <c r="T90" i="20"/>
  <c r="Q94" i="20"/>
  <c r="S94" i="20"/>
  <c r="P14" i="20"/>
  <c r="N52" i="20"/>
  <c r="P52" i="20"/>
  <c r="H55" i="11"/>
  <c r="H31" i="17"/>
  <c r="C37" i="14"/>
  <c r="H9" i="17"/>
  <c r="T52" i="20"/>
  <c r="L52" i="20"/>
  <c r="J52" i="20"/>
  <c r="S31" i="20"/>
  <c r="O52" i="20"/>
  <c r="R52" i="20"/>
  <c r="L56" i="20"/>
  <c r="S52" i="20"/>
  <c r="N50" i="20"/>
  <c r="P47" i="20"/>
  <c r="K41" i="20"/>
  <c r="P95" i="20"/>
  <c r="Q52" i="20"/>
  <c r="S87" i="20"/>
  <c r="O97" i="20"/>
  <c r="I52" i="20"/>
  <c r="M52" i="20"/>
  <c r="P50" i="20"/>
  <c r="N47" i="20"/>
  <c r="R94" i="20"/>
  <c r="J39" i="20"/>
  <c r="P94" i="20"/>
  <c r="N54" i="20"/>
  <c r="R56" i="20"/>
  <c r="I94" i="20"/>
  <c r="M48" i="20"/>
  <c r="K56" i="20"/>
  <c r="N91" i="20"/>
  <c r="N94" i="20"/>
  <c r="O91" i="20"/>
  <c r="P56" i="20"/>
  <c r="I56" i="20"/>
  <c r="Q33" i="20"/>
  <c r="T94" i="20"/>
  <c r="N85" i="20"/>
  <c r="L36" i="20"/>
  <c r="I37" i="20"/>
  <c r="T54" i="20"/>
  <c r="S85" i="20"/>
  <c r="J26" i="20"/>
  <c r="I95" i="20"/>
  <c r="K54" i="20"/>
  <c r="J36" i="20"/>
  <c r="O33" i="20"/>
  <c r="L33" i="20"/>
  <c r="T33" i="20"/>
  <c r="I85" i="20"/>
  <c r="J33" i="20"/>
  <c r="S91" i="20"/>
  <c r="T26" i="20"/>
  <c r="I96" i="20"/>
  <c r="S81" i="20"/>
  <c r="L30" i="20"/>
  <c r="P30" i="20"/>
  <c r="T30" i="20"/>
  <c r="L41" i="20"/>
  <c r="O41" i="20"/>
  <c r="Q43" i="20"/>
  <c r="G67" i="20"/>
  <c r="H67" i="20"/>
  <c r="J94" i="20"/>
  <c r="P27" i="20"/>
  <c r="R54" i="20"/>
  <c r="S54" i="20"/>
  <c r="L54" i="20"/>
  <c r="O54" i="20"/>
  <c r="Q54" i="20"/>
  <c r="I54" i="20"/>
  <c r="M54" i="20"/>
  <c r="J54" i="20"/>
  <c r="G66" i="20"/>
  <c r="N66" i="20"/>
  <c r="H66" i="20"/>
  <c r="J80" i="20"/>
  <c r="R88" i="20"/>
  <c r="Q96" i="20"/>
  <c r="S96" i="20"/>
  <c r="P12" i="20"/>
  <c r="J12" i="20"/>
  <c r="J17" i="20"/>
  <c r="M95" i="20"/>
  <c r="R95" i="20"/>
  <c r="S95" i="20"/>
  <c r="J95" i="20"/>
  <c r="T95" i="20"/>
  <c r="K26" i="20"/>
  <c r="Q26" i="20"/>
  <c r="N26" i="20"/>
  <c r="O26" i="20"/>
  <c r="M26" i="20"/>
  <c r="M29" i="20"/>
  <c r="S34" i="20"/>
  <c r="Q95" i="20"/>
  <c r="N98" i="20"/>
  <c r="N17" i="20"/>
  <c r="N95" i="20"/>
  <c r="G58" i="20"/>
  <c r="Q58" i="20" s="1"/>
  <c r="T98" i="20"/>
  <c r="P99" i="20"/>
  <c r="J99" i="20"/>
  <c r="N55" i="20"/>
  <c r="K44" i="20"/>
  <c r="N86" i="20"/>
  <c r="L51" i="20"/>
  <c r="O99" i="20"/>
  <c r="I27" i="20"/>
  <c r="Q99" i="20"/>
  <c r="I26" i="20"/>
  <c r="O95" i="20"/>
  <c r="P26" i="20"/>
  <c r="K98" i="20"/>
  <c r="J98" i="16"/>
  <c r="J109" i="16" s="1"/>
  <c r="J113" i="16" s="1"/>
  <c r="S38" i="20"/>
  <c r="L38" i="20"/>
  <c r="I38" i="20"/>
  <c r="P38" i="20"/>
  <c r="M38" i="20"/>
  <c r="T38" i="20"/>
  <c r="O30" i="20"/>
  <c r="R30" i="20"/>
  <c r="I30" i="20"/>
  <c r="K30" i="20"/>
  <c r="Q30" i="20"/>
  <c r="M30" i="20"/>
  <c r="S30" i="20"/>
  <c r="N30" i="20"/>
  <c r="K48" i="20"/>
  <c r="T48" i="20"/>
  <c r="K87" i="20"/>
  <c r="I87" i="20"/>
  <c r="O87" i="20"/>
  <c r="M87" i="20"/>
  <c r="Q87" i="20"/>
  <c r="Q90" i="20"/>
  <c r="N90" i="20"/>
  <c r="P90" i="20"/>
  <c r="T53" i="20"/>
  <c r="K27" i="20"/>
  <c r="L26" i="20"/>
  <c r="R26" i="20"/>
  <c r="S26" i="20"/>
  <c r="N112" i="20"/>
  <c r="T58" i="20"/>
  <c r="O95" i="16"/>
  <c r="F114" i="20"/>
  <c r="G113" i="20"/>
  <c r="H113" i="20"/>
  <c r="H114" i="20" s="1"/>
  <c r="H29" i="12"/>
  <c r="N15" i="20"/>
  <c r="M31" i="20"/>
  <c r="M17" i="20"/>
  <c r="P92" i="20"/>
  <c r="Q49" i="20"/>
  <c r="I53" i="20"/>
  <c r="O38" i="20"/>
  <c r="R38" i="20"/>
  <c r="L47" i="20"/>
  <c r="Q47" i="20"/>
  <c r="J86" i="20"/>
  <c r="I80" i="20"/>
  <c r="I48" i="20"/>
  <c r="T86" i="20"/>
  <c r="O86" i="20"/>
  <c r="S92" i="20"/>
  <c r="P34" i="20"/>
  <c r="N28" i="20"/>
  <c r="K53" i="20"/>
  <c r="Q92" i="20"/>
  <c r="O31" i="20"/>
  <c r="N34" i="20"/>
  <c r="N48" i="20"/>
  <c r="L48" i="20"/>
  <c r="O80" i="20"/>
  <c r="N80" i="20"/>
  <c r="M80" i="20"/>
  <c r="K86" i="20"/>
  <c r="Q86" i="20"/>
  <c r="I86" i="20"/>
  <c r="M27" i="20"/>
  <c r="N44" i="20"/>
  <c r="S79" i="20"/>
  <c r="P88" i="20"/>
  <c r="K97" i="20"/>
  <c r="O50" i="20"/>
  <c r="M107" i="20"/>
  <c r="M108" i="20"/>
  <c r="Q56" i="20"/>
  <c r="N56" i="20"/>
  <c r="O56" i="20"/>
  <c r="J56" i="20"/>
  <c r="M56" i="20"/>
  <c r="O58" i="20"/>
  <c r="S53" i="20"/>
  <c r="K80" i="20"/>
  <c r="S48" i="20"/>
  <c r="P86" i="20"/>
  <c r="O83" i="20"/>
  <c r="J92" i="20"/>
  <c r="K34" i="20"/>
  <c r="T17" i="20"/>
  <c r="K17" i="20"/>
  <c r="R80" i="20"/>
  <c r="O48" i="20"/>
  <c r="M86" i="20"/>
  <c r="L28" i="20"/>
  <c r="J38" i="20"/>
  <c r="R42" i="20"/>
  <c r="S36" i="20"/>
  <c r="S43" i="20"/>
  <c r="O89" i="20"/>
  <c r="S90" i="20"/>
  <c r="O90" i="20"/>
  <c r="M94" i="20"/>
  <c r="O94" i="20"/>
  <c r="O17" i="20"/>
  <c r="P49" i="20"/>
  <c r="T80" i="20"/>
  <c r="R48" i="20"/>
  <c r="K92" i="20"/>
  <c r="P17" i="20"/>
  <c r="S80" i="20"/>
  <c r="S17" i="20"/>
  <c r="J48" i="20"/>
  <c r="P48" i="20"/>
  <c r="S86" i="20"/>
  <c r="P80" i="20"/>
  <c r="O28" i="20"/>
  <c r="K93" i="20"/>
  <c r="D52" i="12"/>
  <c r="V130" i="17"/>
  <c r="C23" i="14" s="1"/>
  <c r="T61" i="20"/>
  <c r="M10" i="20"/>
  <c r="R21" i="20"/>
  <c r="K89" i="20"/>
  <c r="L89" i="20"/>
  <c r="N82" i="20"/>
  <c r="R86" i="20"/>
  <c r="K90" i="20"/>
  <c r="G59" i="20"/>
  <c r="T59" i="20" s="1"/>
  <c r="L80" i="20"/>
  <c r="S60" i="20"/>
  <c r="Q61" i="20"/>
  <c r="K94" i="20"/>
  <c r="K74" i="17"/>
  <c r="T74" i="17" s="1"/>
  <c r="O137" i="16"/>
  <c r="O139" i="16" s="1"/>
  <c r="J139" i="16"/>
  <c r="O237" i="16"/>
  <c r="O60" i="16"/>
  <c r="L11" i="20"/>
  <c r="O66" i="20"/>
  <c r="J15" i="20"/>
  <c r="Q37" i="20"/>
  <c r="J37" i="20"/>
  <c r="P10" i="20"/>
  <c r="R90" i="20"/>
  <c r="J90" i="20"/>
  <c r="M90" i="20"/>
  <c r="I90" i="20"/>
  <c r="Q62" i="20"/>
  <c r="M101" i="20"/>
  <c r="P101" i="20"/>
  <c r="O25" i="20"/>
  <c r="P28" i="20"/>
  <c r="M33" i="20"/>
  <c r="N33" i="20"/>
  <c r="K33" i="20"/>
  <c r="S33" i="20"/>
  <c r="P33" i="20"/>
  <c r="S47" i="20"/>
  <c r="T47" i="20"/>
  <c r="I47" i="20"/>
  <c r="P96" i="20"/>
  <c r="J96" i="20"/>
  <c r="M55" i="20"/>
  <c r="K60" i="20"/>
  <c r="R60" i="20"/>
  <c r="Q60" i="20"/>
  <c r="M61" i="20"/>
  <c r="S61" i="20"/>
  <c r="P66" i="20"/>
  <c r="L90" i="20"/>
  <c r="P39" i="20"/>
  <c r="T39" i="20"/>
  <c r="R39" i="20"/>
  <c r="N39" i="20"/>
  <c r="Q39" i="20"/>
  <c r="S39" i="20"/>
  <c r="I39" i="20"/>
  <c r="K39" i="20"/>
  <c r="L39" i="20"/>
  <c r="O39" i="20"/>
  <c r="N42" i="20"/>
  <c r="J42" i="20"/>
  <c r="M42" i="20"/>
  <c r="N35" i="20"/>
  <c r="P21" i="20"/>
  <c r="N21" i="20"/>
  <c r="R44" i="20"/>
  <c r="M44" i="20"/>
  <c r="R91" i="20"/>
  <c r="J91" i="20"/>
  <c r="M91" i="20"/>
  <c r="P98" i="20"/>
  <c r="S98" i="20"/>
  <c r="J50" i="20"/>
  <c r="U50" i="20" s="1"/>
  <c r="V50" i="20" s="1"/>
  <c r="L50" i="20"/>
  <c r="K50" i="20"/>
  <c r="M50" i="20"/>
  <c r="L99" i="20"/>
  <c r="T99" i="20"/>
  <c r="N99" i="20"/>
  <c r="L112" i="20"/>
  <c r="I112" i="20"/>
  <c r="Q112" i="20"/>
  <c r="L96" i="20"/>
  <c r="R101" i="20"/>
  <c r="T34" i="20"/>
  <c r="O34" i="20"/>
  <c r="M34" i="20"/>
  <c r="Q34" i="20"/>
  <c r="I34" i="20"/>
  <c r="L34" i="20"/>
  <c r="J34" i="20"/>
  <c r="R34" i="20"/>
  <c r="L83" i="20"/>
  <c r="K49" i="20"/>
  <c r="M49" i="20"/>
  <c r="I49" i="20"/>
  <c r="O49" i="20"/>
  <c r="T49" i="20"/>
  <c r="J49" i="20"/>
  <c r="Q107" i="20"/>
  <c r="Q108" i="20" s="1"/>
  <c r="S107" i="20"/>
  <c r="S108" i="20" s="1"/>
  <c r="P100" i="20"/>
  <c r="I100" i="20"/>
  <c r="M62" i="20"/>
  <c r="J17" i="19"/>
  <c r="J84" i="20"/>
  <c r="R84" i="20"/>
  <c r="I84" i="20"/>
  <c r="O84" i="20"/>
  <c r="K84" i="20"/>
  <c r="T84" i="20"/>
  <c r="Q84" i="20"/>
  <c r="S25" i="20"/>
  <c r="T25" i="20"/>
  <c r="J25" i="20"/>
  <c r="M25" i="20"/>
  <c r="O29" i="20"/>
  <c r="L29" i="20"/>
  <c r="N29" i="20"/>
  <c r="O11" i="20"/>
  <c r="S93" i="20"/>
  <c r="Q93" i="20"/>
  <c r="N93" i="20"/>
  <c r="M93" i="20"/>
  <c r="J93" i="20"/>
  <c r="T93" i="20"/>
  <c r="O93" i="20"/>
  <c r="P93" i="20"/>
  <c r="L93" i="20"/>
  <c r="R93" i="20"/>
  <c r="R97" i="20"/>
  <c r="N97" i="20"/>
  <c r="L97" i="20"/>
  <c r="T97" i="20"/>
  <c r="I97" i="20"/>
  <c r="P97" i="20"/>
  <c r="J97" i="20"/>
  <c r="Q101" i="20"/>
  <c r="N101" i="20"/>
  <c r="T101" i="20"/>
  <c r="G9" i="18"/>
  <c r="Q40" i="20"/>
  <c r="S23" i="20"/>
  <c r="N84" i="20"/>
  <c r="R13" i="20"/>
  <c r="O13" i="20"/>
  <c r="I13" i="20"/>
  <c r="L13" i="20"/>
  <c r="S56" i="20"/>
  <c r="O32" i="20"/>
  <c r="Q85" i="20"/>
  <c r="P85" i="20"/>
  <c r="O85" i="20"/>
  <c r="K85" i="20"/>
  <c r="R85" i="20"/>
  <c r="T85" i="20"/>
  <c r="M85" i="20"/>
  <c r="J85" i="20"/>
  <c r="S51" i="20"/>
  <c r="T51" i="20"/>
  <c r="Q51" i="20"/>
  <c r="O51" i="20"/>
  <c r="K29" i="20"/>
  <c r="S84" i="20"/>
  <c r="M97" i="20"/>
  <c r="T13" i="20"/>
  <c r="I93" i="20"/>
  <c r="L270" i="16"/>
  <c r="I40" i="20"/>
  <c r="M40" i="20"/>
  <c r="N40" i="20"/>
  <c r="K23" i="20"/>
  <c r="L57" i="20"/>
  <c r="O57" i="20"/>
  <c r="Q21" i="20"/>
  <c r="O44" i="20"/>
  <c r="J44" i="20"/>
  <c r="S44" i="20"/>
  <c r="L44" i="20"/>
  <c r="Q44" i="20"/>
  <c r="M79" i="20"/>
  <c r="P79" i="20"/>
  <c r="N79" i="20"/>
  <c r="R92" i="20"/>
  <c r="N92" i="20"/>
  <c r="O92" i="20"/>
  <c r="L92" i="20"/>
  <c r="I92" i="20"/>
  <c r="M92" i="20"/>
  <c r="T92" i="20"/>
  <c r="L57" i="19"/>
  <c r="K46" i="20"/>
  <c r="T40" i="20"/>
  <c r="I11" i="20"/>
  <c r="L84" i="20"/>
  <c r="K25" i="20"/>
  <c r="Q97" i="20"/>
  <c r="K57" i="20"/>
  <c r="O40" i="20"/>
  <c r="S101" i="20"/>
  <c r="M13" i="20"/>
  <c r="S97" i="20"/>
  <c r="P13" i="20"/>
  <c r="P25" i="20"/>
  <c r="P84" i="20"/>
  <c r="H49" i="17"/>
  <c r="H53" i="17" s="1"/>
  <c r="L87" i="20"/>
  <c r="L95" i="20"/>
  <c r="P59" i="20"/>
  <c r="J36" i="16"/>
  <c r="G43" i="23"/>
  <c r="Q46" i="21"/>
  <c r="F46" i="21"/>
  <c r="O92" i="16"/>
  <c r="H63" i="16"/>
  <c r="N292" i="16"/>
  <c r="E292" i="16"/>
  <c r="O205" i="16"/>
  <c r="K66" i="20"/>
  <c r="L66" i="20"/>
  <c r="R66" i="20"/>
  <c r="S66" i="20"/>
  <c r="O79" i="20"/>
  <c r="L79" i="20"/>
  <c r="T79" i="20"/>
  <c r="Q79" i="20"/>
  <c r="R79" i="20"/>
  <c r="K79" i="20"/>
  <c r="I79" i="20"/>
  <c r="P63" i="20"/>
  <c r="O188" i="16"/>
  <c r="I15" i="20"/>
  <c r="T15" i="20"/>
  <c r="O15" i="20"/>
  <c r="S15" i="20"/>
  <c r="L15" i="20"/>
  <c r="K15" i="20"/>
  <c r="R15" i="20"/>
  <c r="K32" i="20"/>
  <c r="J32" i="20"/>
  <c r="S32" i="20"/>
  <c r="L32" i="20"/>
  <c r="M32" i="20"/>
  <c r="S7" i="20"/>
  <c r="R7" i="20"/>
  <c r="Q7" i="20"/>
  <c r="N46" i="20"/>
  <c r="P46" i="20"/>
  <c r="J46" i="20"/>
  <c r="O88" i="20"/>
  <c r="T88" i="20"/>
  <c r="M88" i="20"/>
  <c r="I88" i="20"/>
  <c r="N88" i="20"/>
  <c r="L88" i="20"/>
  <c r="R107" i="20"/>
  <c r="R108" i="20" s="1"/>
  <c r="F71" i="21" s="1"/>
  <c r="H252" i="16" s="1"/>
  <c r="O252" i="16" s="1"/>
  <c r="G108" i="20"/>
  <c r="I107" i="20"/>
  <c r="I108" i="20" s="1"/>
  <c r="O107" i="20"/>
  <c r="O108" i="20" s="1"/>
  <c r="T107" i="20"/>
  <c r="T108" i="20" s="1"/>
  <c r="K107" i="20"/>
  <c r="K108" i="20" s="1"/>
  <c r="G78" i="21"/>
  <c r="M113" i="20"/>
  <c r="O113" i="20"/>
  <c r="M37" i="20"/>
  <c r="O37" i="20"/>
  <c r="L37" i="20"/>
  <c r="P37" i="20"/>
  <c r="L10" i="20"/>
  <c r="K10" i="20"/>
  <c r="U95" i="20"/>
  <c r="V95" i="20" s="1"/>
  <c r="G103" i="20"/>
  <c r="R32" i="20"/>
  <c r="T32" i="20"/>
  <c r="P15" i="20"/>
  <c r="K7" i="20"/>
  <c r="J88" i="20"/>
  <c r="Q88" i="20"/>
  <c r="O59" i="20"/>
  <c r="O15" i="17"/>
  <c r="L15" i="17" s="1"/>
  <c r="S40" i="20"/>
  <c r="J40" i="20"/>
  <c r="R40" i="20"/>
  <c r="P40" i="20"/>
  <c r="L40" i="20"/>
  <c r="K40" i="20"/>
  <c r="N12" i="20"/>
  <c r="O12" i="20"/>
  <c r="R12" i="20"/>
  <c r="J23" i="20"/>
  <c r="N23" i="20"/>
  <c r="R82" i="20"/>
  <c r="K82" i="20"/>
  <c r="J82" i="20"/>
  <c r="I82" i="20"/>
  <c r="T82" i="20"/>
  <c r="L82" i="20"/>
  <c r="R98" i="20"/>
  <c r="M98" i="20"/>
  <c r="J98" i="20"/>
  <c r="Q98" i="20"/>
  <c r="O98" i="20"/>
  <c r="I98" i="20"/>
  <c r="L98" i="20"/>
  <c r="T50" i="20"/>
  <c r="R50" i="20"/>
  <c r="I50" i="20"/>
  <c r="S50" i="20"/>
  <c r="Q50" i="20"/>
  <c r="L51" i="17"/>
  <c r="Q32" i="20"/>
  <c r="L107" i="20"/>
  <c r="L108" i="20" s="1"/>
  <c r="N32" i="20"/>
  <c r="Q15" i="20"/>
  <c r="I32" i="20"/>
  <c r="M15" i="20"/>
  <c r="O7" i="20"/>
  <c r="N25" i="20"/>
  <c r="R25" i="20"/>
  <c r="L25" i="20"/>
  <c r="Q25" i="20"/>
  <c r="I25" i="20"/>
  <c r="Q29" i="20"/>
  <c r="S29" i="20"/>
  <c r="I29" i="20"/>
  <c r="R29" i="20"/>
  <c r="T29" i="20"/>
  <c r="J29" i="20"/>
  <c r="J11" i="20"/>
  <c r="P11" i="20"/>
  <c r="M11" i="20"/>
  <c r="K11" i="20"/>
  <c r="R17" i="20"/>
  <c r="L17" i="20"/>
  <c r="I17" i="20"/>
  <c r="Q17" i="20"/>
  <c r="M47" i="20"/>
  <c r="O47" i="20"/>
  <c r="R47" i="20"/>
  <c r="J47" i="20"/>
  <c r="K47" i="20"/>
  <c r="N61" i="20"/>
  <c r="L61" i="20"/>
  <c r="R61" i="20"/>
  <c r="P61" i="20"/>
  <c r="K61" i="20"/>
  <c r="O61" i="20"/>
  <c r="M7" i="20"/>
  <c r="P32" i="20"/>
  <c r="K88" i="20"/>
  <c r="S88" i="20"/>
  <c r="N107" i="20"/>
  <c r="N108" i="20" s="1"/>
  <c r="Q13" i="20"/>
  <c r="K13" i="20"/>
  <c r="S99" i="20"/>
  <c r="K91" i="20"/>
  <c r="L91" i="20"/>
  <c r="P91" i="20"/>
  <c r="T44" i="20"/>
  <c r="Q35" i="20"/>
  <c r="O35" i="20"/>
  <c r="K96" i="20"/>
  <c r="R96" i="20"/>
  <c r="Q28" i="20"/>
  <c r="P83" i="20"/>
  <c r="R53" i="20"/>
  <c r="T89" i="20"/>
  <c r="N53" i="20"/>
  <c r="T31" i="20"/>
  <c r="O96" i="20"/>
  <c r="L53" i="20"/>
  <c r="S28" i="20"/>
  <c r="R31" i="20"/>
  <c r="K83" i="20"/>
  <c r="J53" i="20"/>
  <c r="L42" i="20"/>
  <c r="S49" i="20"/>
  <c r="N31" i="20"/>
  <c r="S42" i="20"/>
  <c r="R99" i="20"/>
  <c r="P81" i="20"/>
  <c r="S35" i="20"/>
  <c r="Q91" i="20"/>
  <c r="S89" i="20"/>
  <c r="P89" i="20"/>
  <c r="J28" i="20"/>
  <c r="J13" i="20"/>
  <c r="J89" i="20"/>
  <c r="S13" i="20"/>
  <c r="N49" i="20"/>
  <c r="R49" i="20"/>
  <c r="K28" i="20"/>
  <c r="M99" i="20"/>
  <c r="I91" i="20"/>
  <c r="I44" i="20"/>
  <c r="K35" i="20"/>
  <c r="I42" i="20"/>
  <c r="T42" i="20"/>
  <c r="S55" i="20"/>
  <c r="J55" i="20"/>
  <c r="M96" i="20"/>
  <c r="I28" i="20"/>
  <c r="Q83" i="20"/>
  <c r="Q89" i="20"/>
  <c r="R28" i="20"/>
  <c r="M53" i="20"/>
  <c r="T96" i="20"/>
  <c r="M28" i="20"/>
  <c r="O53" i="20"/>
  <c r="R55" i="20"/>
  <c r="O42" i="20"/>
  <c r="P53" i="20"/>
  <c r="Q42" i="20"/>
  <c r="K99" i="20"/>
  <c r="P42" i="20"/>
  <c r="I31" i="20"/>
  <c r="R89" i="20"/>
  <c r="O212" i="16"/>
  <c r="O67" i="16"/>
  <c r="O72" i="16"/>
  <c r="H72" i="16"/>
  <c r="O32" i="16"/>
  <c r="O36" i="16" s="1"/>
  <c r="H36" i="16"/>
  <c r="G32" i="23"/>
  <c r="F42" i="12"/>
  <c r="S207" i="16"/>
  <c r="F80" i="17" s="1"/>
  <c r="K80" i="17" s="1"/>
  <c r="K23" i="17"/>
  <c r="R23" i="17" s="1"/>
  <c r="L23" i="17" s="1"/>
  <c r="L79" i="17"/>
  <c r="R45" i="21"/>
  <c r="S46" i="21" s="1"/>
  <c r="S47" i="21" s="1"/>
  <c r="O126" i="16"/>
  <c r="F97" i="23"/>
  <c r="L50" i="19"/>
  <c r="F45" i="19" s="1"/>
  <c r="G46" i="19" s="1"/>
  <c r="G38" i="21"/>
  <c r="J27" i="19"/>
  <c r="L41" i="19" s="1"/>
  <c r="L42" i="19" s="1"/>
  <c r="F37" i="19" s="1"/>
  <c r="G38" i="19" s="1"/>
  <c r="J56" i="16"/>
  <c r="G56" i="21"/>
  <c r="J17" i="16" s="1"/>
  <c r="J19" i="16" s="1"/>
  <c r="O48" i="21"/>
  <c r="O284" i="16"/>
  <c r="G228" i="23"/>
  <c r="J25" i="16"/>
  <c r="O263" i="16"/>
  <c r="H52" i="16"/>
  <c r="F77" i="21"/>
  <c r="G83" i="21"/>
  <c r="T12" i="17"/>
  <c r="F102" i="21"/>
  <c r="G103" i="21"/>
  <c r="H37" i="17" l="1"/>
  <c r="O287" i="16"/>
  <c r="H290" i="16"/>
  <c r="H292" i="16" s="1"/>
  <c r="H26" i="16"/>
  <c r="G237" i="23"/>
  <c r="J172" i="16"/>
  <c r="F82" i="21"/>
  <c r="F107" i="21"/>
  <c r="G108" i="21"/>
  <c r="J189" i="16"/>
  <c r="O189" i="16" s="1"/>
  <c r="U17" i="20"/>
  <c r="V17" i="20" s="1"/>
  <c r="J90" i="23"/>
  <c r="F81" i="21"/>
  <c r="L113" i="20"/>
  <c r="Q113" i="20"/>
  <c r="J81" i="20"/>
  <c r="R81" i="20"/>
  <c r="K81" i="20"/>
  <c r="Q81" i="20"/>
  <c r="I81" i="20"/>
  <c r="T81" i="20"/>
  <c r="N81" i="20"/>
  <c r="L81" i="20"/>
  <c r="O81" i="20"/>
  <c r="M81" i="20"/>
  <c r="I83" i="20"/>
  <c r="T83" i="20"/>
  <c r="J83" i="20"/>
  <c r="M83" i="20"/>
  <c r="R83" i="20"/>
  <c r="N83" i="20"/>
  <c r="S83" i="20"/>
  <c r="J51" i="20"/>
  <c r="M51" i="20"/>
  <c r="K51" i="20"/>
  <c r="P51" i="20"/>
  <c r="I51" i="20"/>
  <c r="U51" i="20" s="1"/>
  <c r="V51" i="20" s="1"/>
  <c r="R51" i="20"/>
  <c r="N51" i="20"/>
  <c r="O100" i="20"/>
  <c r="Q100" i="20"/>
  <c r="K100" i="20"/>
  <c r="R100" i="20"/>
  <c r="S100" i="20"/>
  <c r="J100" i="20"/>
  <c r="N100" i="20"/>
  <c r="M100" i="20"/>
  <c r="T100" i="20"/>
  <c r="K55" i="20"/>
  <c r="T55" i="20"/>
  <c r="P55" i="20"/>
  <c r="Q55" i="20"/>
  <c r="I55" i="20"/>
  <c r="L55" i="20"/>
  <c r="O55" i="20"/>
  <c r="N57" i="20"/>
  <c r="M57" i="20"/>
  <c r="J57" i="20"/>
  <c r="T57" i="20" s="1"/>
  <c r="R57" i="20"/>
  <c r="I57" i="20"/>
  <c r="P57" i="20"/>
  <c r="Q57" i="20"/>
  <c r="P60" i="20"/>
  <c r="O60" i="20"/>
  <c r="T60" i="20"/>
  <c r="M60" i="20"/>
  <c r="L60" i="20"/>
  <c r="N60" i="20"/>
  <c r="M112" i="20"/>
  <c r="O112" i="20"/>
  <c r="K112" i="20"/>
  <c r="R112" i="20"/>
  <c r="P112" i="20"/>
  <c r="S112" i="20"/>
  <c r="T62" i="20"/>
  <c r="R62" i="20"/>
  <c r="N62" i="20"/>
  <c r="O62" i="20"/>
  <c r="S62" i="20"/>
  <c r="P62" i="20"/>
  <c r="Q154" i="16"/>
  <c r="Q167" i="16" s="1"/>
  <c r="F101" i="21"/>
  <c r="O114" i="20"/>
  <c r="G50" i="21"/>
  <c r="J194" i="16" s="1"/>
  <c r="O194" i="16" s="1"/>
  <c r="R46" i="21"/>
  <c r="F42" i="21" s="1"/>
  <c r="T223" i="16"/>
  <c r="S37" i="20"/>
  <c r="K37" i="20"/>
  <c r="T37" i="20"/>
  <c r="R37" i="20"/>
  <c r="P41" i="20"/>
  <c r="Q41" i="20"/>
  <c r="T41" i="20"/>
  <c r="S41" i="20"/>
  <c r="J41" i="20"/>
  <c r="N41" i="20"/>
  <c r="M41" i="20"/>
  <c r="R41" i="20"/>
  <c r="I41" i="20"/>
  <c r="N27" i="20"/>
  <c r="S27" i="20"/>
  <c r="R27" i="20"/>
  <c r="O27" i="20"/>
  <c r="T27" i="20"/>
  <c r="J27" i="20"/>
  <c r="U27" i="20" s="1"/>
  <c r="V27" i="20" s="1"/>
  <c r="Q27" i="20"/>
  <c r="L27" i="20"/>
  <c r="Q31" i="20"/>
  <c r="P31" i="20"/>
  <c r="L31" i="20"/>
  <c r="J31" i="20"/>
  <c r="K31" i="20"/>
  <c r="L35" i="20"/>
  <c r="J35" i="20"/>
  <c r="I35" i="20"/>
  <c r="M35" i="20"/>
  <c r="P35" i="20"/>
  <c r="T35" i="20"/>
  <c r="R35" i="20"/>
  <c r="G8" i="20"/>
  <c r="F74" i="20"/>
  <c r="F117" i="20" s="1"/>
  <c r="K12" i="20"/>
  <c r="I12" i="20"/>
  <c r="T12" i="20"/>
  <c r="Q12" i="20"/>
  <c r="M12" i="20"/>
  <c r="S12" i="20"/>
  <c r="L12" i="20"/>
  <c r="N43" i="20"/>
  <c r="M43" i="20"/>
  <c r="T43" i="20"/>
  <c r="I43" i="20"/>
  <c r="O43" i="20"/>
  <c r="L43" i="20"/>
  <c r="P43" i="20"/>
  <c r="K43" i="20"/>
  <c r="M46" i="20"/>
  <c r="T46" i="20"/>
  <c r="L46" i="20"/>
  <c r="I46" i="20"/>
  <c r="S46" i="20"/>
  <c r="O46" i="20"/>
  <c r="Q46" i="20"/>
  <c r="R46" i="20"/>
  <c r="O24" i="16"/>
  <c r="N78" i="16"/>
  <c r="L84" i="19"/>
  <c r="F79" i="19" s="1"/>
  <c r="G80" i="19" s="1"/>
  <c r="J268" i="16"/>
  <c r="H207" i="16"/>
  <c r="O207" i="16" s="1"/>
  <c r="H262" i="16"/>
  <c r="O262" i="16" s="1"/>
  <c r="S218" i="16" s="1"/>
  <c r="L59" i="20"/>
  <c r="S216" i="16"/>
  <c r="F87" i="17" s="1"/>
  <c r="K87" i="17" s="1"/>
  <c r="T36" i="20"/>
  <c r="K36" i="20"/>
  <c r="M36" i="20"/>
  <c r="K38" i="20"/>
  <c r="Q38" i="20"/>
  <c r="L292" i="16"/>
  <c r="L294" i="16" s="1"/>
  <c r="L303" i="16" s="1"/>
  <c r="L312" i="16" s="1"/>
  <c r="T87" i="20"/>
  <c r="H223" i="16"/>
  <c r="F101" i="17"/>
  <c r="K101" i="17" s="1"/>
  <c r="R101" i="17" s="1"/>
  <c r="H17" i="16"/>
  <c r="J59" i="20"/>
  <c r="O98" i="16"/>
  <c r="R36" i="20"/>
  <c r="P36" i="20"/>
  <c r="N36" i="20"/>
  <c r="O36" i="20"/>
  <c r="O301" i="16"/>
  <c r="F109" i="16"/>
  <c r="F113" i="16" s="1"/>
  <c r="P292" i="16"/>
  <c r="P109" i="16"/>
  <c r="P113" i="16" s="1"/>
  <c r="P38" i="16"/>
  <c r="H240" i="16"/>
  <c r="O240" i="16" s="1"/>
  <c r="H221" i="16"/>
  <c r="O221" i="16" s="1"/>
  <c r="O25" i="16"/>
  <c r="I19" i="20"/>
  <c r="K19" i="20"/>
  <c r="R19" i="20"/>
  <c r="Q19" i="20"/>
  <c r="L19" i="20"/>
  <c r="N19" i="20"/>
  <c r="S19" i="20"/>
  <c r="O19" i="20"/>
  <c r="M19" i="20"/>
  <c r="T19" i="20"/>
  <c r="J19" i="20"/>
  <c r="P19" i="20"/>
  <c r="P24" i="20"/>
  <c r="J24" i="20"/>
  <c r="N24" i="20"/>
  <c r="Q24" i="20"/>
  <c r="M24" i="20"/>
  <c r="T24" i="20"/>
  <c r="S24" i="20"/>
  <c r="O24" i="20"/>
  <c r="I24" i="20"/>
  <c r="K24" i="20"/>
  <c r="L24" i="20"/>
  <c r="R24" i="20"/>
  <c r="R240" i="16"/>
  <c r="S213" i="16"/>
  <c r="F82" i="17" s="1"/>
  <c r="K82" i="17" s="1"/>
  <c r="N82" i="17" s="1"/>
  <c r="F18" i="17"/>
  <c r="K18" i="17" s="1"/>
  <c r="N18" i="17" s="1"/>
  <c r="L18" i="17" s="1"/>
  <c r="J107" i="20"/>
  <c r="J108" i="20" s="1"/>
  <c r="T103" i="20"/>
  <c r="U12" i="20"/>
  <c r="V12" i="20" s="1"/>
  <c r="F33" i="17"/>
  <c r="K33" i="17" s="1"/>
  <c r="N33" i="17" s="1"/>
  <c r="L33" i="17" s="1"/>
  <c r="N294" i="16"/>
  <c r="N303" i="16" s="1"/>
  <c r="N312" i="16" s="1"/>
  <c r="E38" i="16"/>
  <c r="E78" i="16" s="1"/>
  <c r="N109" i="16"/>
  <c r="N113" i="16" s="1"/>
  <c r="N115" i="16" s="1"/>
  <c r="F43" i="17"/>
  <c r="K43" i="17" s="1"/>
  <c r="Z43" i="17" s="1"/>
  <c r="L43" i="17" s="1"/>
  <c r="U72" i="20"/>
  <c r="V72" i="20" s="1"/>
  <c r="Q63" i="20"/>
  <c r="G88" i="21"/>
  <c r="F86" i="21" s="1"/>
  <c r="J122" i="16"/>
  <c r="F34" i="17"/>
  <c r="H31" i="12"/>
  <c r="H44" i="12" s="1"/>
  <c r="H48" i="12" s="1"/>
  <c r="H57" i="12" s="1"/>
  <c r="H60" i="12" s="1"/>
  <c r="U26" i="20"/>
  <c r="V26" i="20" s="1"/>
  <c r="U54" i="20"/>
  <c r="V54" i="20" s="1"/>
  <c r="L38" i="16"/>
  <c r="L78" i="16" s="1"/>
  <c r="E109" i="16"/>
  <c r="E113" i="16" s="1"/>
  <c r="L154" i="16"/>
  <c r="L167" i="16" s="1"/>
  <c r="E270" i="16"/>
  <c r="J53" i="17"/>
  <c r="F42" i="17"/>
  <c r="K42" i="17" s="1"/>
  <c r="Z42" i="17" s="1"/>
  <c r="L42" i="17" s="1"/>
  <c r="U44" i="20"/>
  <c r="V44" i="20" s="1"/>
  <c r="L100" i="20"/>
  <c r="H256" i="16"/>
  <c r="O256" i="16" s="1"/>
  <c r="R256" i="16" s="1"/>
  <c r="F106" i="21"/>
  <c r="H56" i="16" s="1"/>
  <c r="O56" i="16" s="1"/>
  <c r="G99" i="23"/>
  <c r="U60" i="20"/>
  <c r="V60" i="20" s="1"/>
  <c r="M59" i="20"/>
  <c r="U30" i="20"/>
  <c r="V30" i="20" s="1"/>
  <c r="F35" i="17"/>
  <c r="K35" i="17" s="1"/>
  <c r="M35" i="17" s="1"/>
  <c r="L35" i="17" s="1"/>
  <c r="L109" i="16"/>
  <c r="L113" i="16" s="1"/>
  <c r="L115" i="16" s="1"/>
  <c r="F45" i="17"/>
  <c r="L74" i="19"/>
  <c r="F69" i="19" s="1"/>
  <c r="G70" i="19" s="1"/>
  <c r="Q109" i="16"/>
  <c r="Q113" i="16" s="1"/>
  <c r="H55" i="17"/>
  <c r="L18" i="20"/>
  <c r="K18" i="20"/>
  <c r="S18" i="20"/>
  <c r="R18" i="20"/>
  <c r="Q18" i="20"/>
  <c r="N18" i="20"/>
  <c r="J18" i="20"/>
  <c r="T18" i="20"/>
  <c r="M18" i="20"/>
  <c r="P18" i="20"/>
  <c r="I18" i="20"/>
  <c r="O18" i="20"/>
  <c r="S20" i="20"/>
  <c r="J20" i="20"/>
  <c r="R20" i="20"/>
  <c r="I20" i="20"/>
  <c r="N20" i="20"/>
  <c r="L20" i="20"/>
  <c r="M20" i="20"/>
  <c r="P20" i="20"/>
  <c r="T20" i="20"/>
  <c r="K20" i="20"/>
  <c r="O20" i="20"/>
  <c r="Q20" i="20"/>
  <c r="M45" i="20"/>
  <c r="Q45" i="20"/>
  <c r="S45" i="20"/>
  <c r="R45" i="20"/>
  <c r="O45" i="20"/>
  <c r="J45" i="20"/>
  <c r="P45" i="20"/>
  <c r="I45" i="20"/>
  <c r="L45" i="20"/>
  <c r="T45" i="20"/>
  <c r="N45" i="20"/>
  <c r="K45" i="20"/>
  <c r="N87" i="17"/>
  <c r="L87" i="17" s="1"/>
  <c r="F46" i="17"/>
  <c r="K46" i="17" s="1"/>
  <c r="I11" i="15"/>
  <c r="L16" i="20"/>
  <c r="I16" i="20"/>
  <c r="M16" i="20"/>
  <c r="O16" i="20"/>
  <c r="K16" i="20"/>
  <c r="Q16" i="20"/>
  <c r="R16" i="20"/>
  <c r="S16" i="20"/>
  <c r="J16" i="20"/>
  <c r="T16" i="20"/>
  <c r="N16" i="20"/>
  <c r="P16" i="20"/>
  <c r="O22" i="20"/>
  <c r="J22" i="20"/>
  <c r="L22" i="20"/>
  <c r="M22" i="20"/>
  <c r="P22" i="20"/>
  <c r="I22" i="20"/>
  <c r="Q22" i="20"/>
  <c r="R22" i="20"/>
  <c r="N22" i="20"/>
  <c r="S22" i="20"/>
  <c r="T22" i="20"/>
  <c r="K22" i="20"/>
  <c r="N83" i="17"/>
  <c r="L83" i="17" s="1"/>
  <c r="J128" i="16"/>
  <c r="O122" i="16"/>
  <c r="O6" i="20"/>
  <c r="S6" i="20"/>
  <c r="J6" i="20"/>
  <c r="M6" i="20"/>
  <c r="R6" i="20"/>
  <c r="N6" i="20"/>
  <c r="P6" i="20"/>
  <c r="K6" i="20"/>
  <c r="Q6" i="20"/>
  <c r="I6" i="20"/>
  <c r="T6" i="20"/>
  <c r="L6" i="20"/>
  <c r="K103" i="20"/>
  <c r="S59" i="20"/>
  <c r="P58" i="20"/>
  <c r="N59" i="20"/>
  <c r="I103" i="20"/>
  <c r="L114" i="20"/>
  <c r="N58" i="20"/>
  <c r="U85" i="20"/>
  <c r="V85" i="20" s="1"/>
  <c r="E115" i="16"/>
  <c r="E154" i="16"/>
  <c r="O309" i="16"/>
  <c r="U49" i="20"/>
  <c r="V49" i="20" s="1"/>
  <c r="J26" i="16"/>
  <c r="O26" i="16" s="1"/>
  <c r="T227" i="16"/>
  <c r="S235" i="16"/>
  <c r="R48" i="21"/>
  <c r="J275" i="16"/>
  <c r="U84" i="20"/>
  <c r="V84" i="20" s="1"/>
  <c r="R59" i="20"/>
  <c r="K59" i="20"/>
  <c r="Q59" i="20"/>
  <c r="F29" i="12"/>
  <c r="U81" i="20"/>
  <c r="V81" i="20" s="1"/>
  <c r="U36" i="20"/>
  <c r="V36" i="20" s="1"/>
  <c r="K34" i="17"/>
  <c r="AA34" i="17" s="1"/>
  <c r="AA130" i="17" s="1"/>
  <c r="C30" i="14" s="1"/>
  <c r="U83" i="20"/>
  <c r="V83" i="20" s="1"/>
  <c r="U94" i="20"/>
  <c r="V94" i="20" s="1"/>
  <c r="M114" i="20"/>
  <c r="J8" i="19"/>
  <c r="S230" i="16"/>
  <c r="Q292" i="16"/>
  <c r="Q270" i="16"/>
  <c r="S215" i="16"/>
  <c r="F88" i="17" s="1"/>
  <c r="K88" i="17" s="1"/>
  <c r="N88" i="17" s="1"/>
  <c r="L88" i="17" s="1"/>
  <c r="M103" i="20"/>
  <c r="U42" i="20"/>
  <c r="V42" i="20" s="1"/>
  <c r="U88" i="20"/>
  <c r="V88" i="20" s="1"/>
  <c r="U98" i="20"/>
  <c r="V98" i="20" s="1"/>
  <c r="U47" i="20"/>
  <c r="V47" i="20" s="1"/>
  <c r="F154" i="16"/>
  <c r="N154" i="16"/>
  <c r="N167" i="16" s="1"/>
  <c r="S12" i="17"/>
  <c r="S130" i="17" s="1"/>
  <c r="C19" i="14" s="1"/>
  <c r="U223" i="16"/>
  <c r="U227" i="16" s="1"/>
  <c r="F72" i="17"/>
  <c r="K72" i="17" s="1"/>
  <c r="P270" i="16"/>
  <c r="P294" i="16" s="1"/>
  <c r="P303" i="16" s="1"/>
  <c r="F57" i="12" s="1"/>
  <c r="F60" i="12" s="1"/>
  <c r="P154" i="16"/>
  <c r="P167" i="16" s="1"/>
  <c r="Q38" i="16"/>
  <c r="Q78" i="16" s="1"/>
  <c r="Q115" i="16" s="1"/>
  <c r="Q5" i="16" s="1"/>
  <c r="J205" i="23"/>
  <c r="U99" i="20"/>
  <c r="V99" i="20" s="1"/>
  <c r="L82" i="17"/>
  <c r="J64" i="17"/>
  <c r="F292" i="16"/>
  <c r="F294" i="16" s="1"/>
  <c r="F303" i="16" s="1"/>
  <c r="F312" i="16" s="1"/>
  <c r="F162" i="16" s="1"/>
  <c r="F165" i="16" s="1"/>
  <c r="F167" i="16" s="1"/>
  <c r="F5" i="16" s="1"/>
  <c r="K45" i="17"/>
  <c r="U68" i="20"/>
  <c r="V68" i="20" s="1"/>
  <c r="F38" i="16"/>
  <c r="F78" i="16" s="1"/>
  <c r="F115" i="16" s="1"/>
  <c r="P78" i="16"/>
  <c r="P115" i="16" s="1"/>
  <c r="H54" i="12"/>
  <c r="H63" i="12" s="1"/>
  <c r="H66" i="12" s="1"/>
  <c r="U14" i="20"/>
  <c r="V14" i="20" s="1"/>
  <c r="P9" i="20"/>
  <c r="M9" i="20"/>
  <c r="N9" i="20"/>
  <c r="O9" i="20"/>
  <c r="T9" i="20"/>
  <c r="K9" i="20"/>
  <c r="R9" i="20"/>
  <c r="S9" i="20"/>
  <c r="J103" i="20"/>
  <c r="U79" i="20"/>
  <c r="F90" i="17"/>
  <c r="K90" i="17" s="1"/>
  <c r="O172" i="16"/>
  <c r="J201" i="16"/>
  <c r="J270" i="16" s="1"/>
  <c r="O128" i="16"/>
  <c r="U61" i="20"/>
  <c r="V61" i="20" s="1"/>
  <c r="L9" i="20"/>
  <c r="U62" i="20"/>
  <c r="V62" i="20" s="1"/>
  <c r="U38" i="20"/>
  <c r="V38" i="20" s="1"/>
  <c r="L101" i="17"/>
  <c r="O17" i="16"/>
  <c r="O19" i="16" s="1"/>
  <c r="H19" i="16"/>
  <c r="S48" i="21"/>
  <c r="N80" i="17"/>
  <c r="L80" i="17" s="1"/>
  <c r="I9" i="20"/>
  <c r="U40" i="20"/>
  <c r="V40" i="20" s="1"/>
  <c r="U13" i="20"/>
  <c r="V13" i="20" s="1"/>
  <c r="U35" i="20"/>
  <c r="V35" i="20" s="1"/>
  <c r="T56" i="20"/>
  <c r="U56" i="20" s="1"/>
  <c r="V56" i="20" s="1"/>
  <c r="O103" i="20"/>
  <c r="U80" i="20"/>
  <c r="V80" i="20" s="1"/>
  <c r="U48" i="20"/>
  <c r="V48" i="20" s="1"/>
  <c r="U24" i="20"/>
  <c r="V24" i="20" s="1"/>
  <c r="U52" i="20"/>
  <c r="V52" i="20" s="1"/>
  <c r="U89" i="20"/>
  <c r="V89" i="20" s="1"/>
  <c r="J280" i="16"/>
  <c r="O275" i="16"/>
  <c r="U33" i="20"/>
  <c r="V33" i="20" s="1"/>
  <c r="H25" i="17"/>
  <c r="H64" i="17" s="1"/>
  <c r="J28" i="16"/>
  <c r="J38" i="16" s="1"/>
  <c r="H197" i="16"/>
  <c r="G43" i="21"/>
  <c r="J50" i="16" s="1"/>
  <c r="O50" i="16" s="1"/>
  <c r="L103" i="20"/>
  <c r="Q9" i="20"/>
  <c r="Q114" i="20"/>
  <c r="Q67" i="20"/>
  <c r="O67" i="20"/>
  <c r="M67" i="20"/>
  <c r="J67" i="20"/>
  <c r="R67" i="20"/>
  <c r="K67" i="20"/>
  <c r="N67" i="20"/>
  <c r="T67" i="20"/>
  <c r="P67" i="20"/>
  <c r="S67" i="20"/>
  <c r="S175" i="16"/>
  <c r="P312" i="16"/>
  <c r="F63" i="12" s="1"/>
  <c r="F66" i="12" s="1"/>
  <c r="F74" i="12" s="1"/>
  <c r="S103" i="20"/>
  <c r="F76" i="21"/>
  <c r="H55" i="16" s="1"/>
  <c r="L67" i="20"/>
  <c r="H131" i="16"/>
  <c r="H134" i="16" s="1"/>
  <c r="H154" i="16" s="1"/>
  <c r="H167" i="16" s="1"/>
  <c r="G47" i="21"/>
  <c r="J61" i="16" s="1"/>
  <c r="N103" i="20"/>
  <c r="J9" i="20"/>
  <c r="U41" i="20"/>
  <c r="V41" i="20" s="1"/>
  <c r="U31" i="20"/>
  <c r="V31" i="20" s="1"/>
  <c r="U19" i="20"/>
  <c r="V19" i="20" s="1"/>
  <c r="P103" i="20"/>
  <c r="J112" i="20"/>
  <c r="I114" i="20"/>
  <c r="R58" i="20"/>
  <c r="M58" i="20"/>
  <c r="K58" i="20"/>
  <c r="L58" i="20"/>
  <c r="S58" i="20"/>
  <c r="S10" i="20"/>
  <c r="T10" i="20"/>
  <c r="J10" i="20"/>
  <c r="O10" i="20"/>
  <c r="M23" i="20"/>
  <c r="R23" i="20"/>
  <c r="T23" i="20"/>
  <c r="P23" i="20"/>
  <c r="Q294" i="16"/>
  <c r="Q303" i="16" s="1"/>
  <c r="Q312" i="16" s="1"/>
  <c r="Q103" i="20"/>
  <c r="L23" i="20"/>
  <c r="U97" i="20"/>
  <c r="V97" i="20" s="1"/>
  <c r="J66" i="20"/>
  <c r="Q66" i="20"/>
  <c r="M66" i="20"/>
  <c r="O16" i="17"/>
  <c r="L16" i="17" s="1"/>
  <c r="T7" i="20"/>
  <c r="J7" i="20"/>
  <c r="G74" i="20"/>
  <c r="P7" i="20"/>
  <c r="L7" i="20"/>
  <c r="Q11" i="20"/>
  <c r="N11" i="20"/>
  <c r="S11" i="20"/>
  <c r="L21" i="20"/>
  <c r="K21" i="20"/>
  <c r="T21" i="20"/>
  <c r="M21" i="20"/>
  <c r="S21" i="20"/>
  <c r="J21" i="20"/>
  <c r="U87" i="20"/>
  <c r="V87" i="20" s="1"/>
  <c r="F19" i="17"/>
  <c r="K19" i="17" s="1"/>
  <c r="U29" i="20"/>
  <c r="V29" i="20" s="1"/>
  <c r="G114" i="20"/>
  <c r="P113" i="20"/>
  <c r="P114" i="20" s="1"/>
  <c r="T113" i="20"/>
  <c r="T114" i="20" s="1"/>
  <c r="S113" i="20"/>
  <c r="K113" i="20"/>
  <c r="P107" i="17"/>
  <c r="P130" i="17" s="1"/>
  <c r="C13" i="14" s="1"/>
  <c r="O131" i="16"/>
  <c r="O134" i="16" s="1"/>
  <c r="O223" i="16"/>
  <c r="S232" i="16" s="1"/>
  <c r="J134" i="16"/>
  <c r="J154" i="16" s="1"/>
  <c r="J167" i="16" s="1"/>
  <c r="L85" i="17"/>
  <c r="N113" i="20"/>
  <c r="N114" i="20" s="1"/>
  <c r="U82" i="20"/>
  <c r="V82" i="20" s="1"/>
  <c r="Q10" i="20"/>
  <c r="R113" i="20"/>
  <c r="R114" i="20" s="1"/>
  <c r="F73" i="21" s="1"/>
  <c r="J58" i="20"/>
  <c r="I10" i="20"/>
  <c r="L74" i="17"/>
  <c r="U96" i="20"/>
  <c r="V96" i="20" s="1"/>
  <c r="S211" i="16"/>
  <c r="F86" i="17" s="1"/>
  <c r="K86" i="17" s="1"/>
  <c r="H74" i="20"/>
  <c r="H117" i="20" s="1"/>
  <c r="X72" i="17"/>
  <c r="L72" i="17" s="1"/>
  <c r="U107" i="20"/>
  <c r="S205" i="16"/>
  <c r="U28" i="20"/>
  <c r="V28" i="20" s="1"/>
  <c r="U91" i="20"/>
  <c r="V91" i="20" s="1"/>
  <c r="R11" i="20"/>
  <c r="I23" i="20"/>
  <c r="U37" i="20"/>
  <c r="V37" i="20" s="1"/>
  <c r="I7" i="20"/>
  <c r="U32" i="20"/>
  <c r="V32" i="20" s="1"/>
  <c r="U15" i="20"/>
  <c r="V15" i="20" s="1"/>
  <c r="U25" i="20"/>
  <c r="V25" i="20" s="1"/>
  <c r="L58" i="19"/>
  <c r="F53" i="19" s="1"/>
  <c r="G54" i="19" s="1"/>
  <c r="U92" i="20"/>
  <c r="V92" i="20" s="1"/>
  <c r="O21" i="20"/>
  <c r="N7" i="20"/>
  <c r="Q23" i="20"/>
  <c r="T11" i="20"/>
  <c r="K114" i="20"/>
  <c r="S57" i="20"/>
  <c r="U57" i="20" s="1"/>
  <c r="V57" i="20" s="1"/>
  <c r="I21" i="20"/>
  <c r="U39" i="20"/>
  <c r="V39" i="20" s="1"/>
  <c r="N10" i="20"/>
  <c r="R10" i="20"/>
  <c r="T66" i="20"/>
  <c r="O23" i="20"/>
  <c r="O8" i="20"/>
  <c r="R8" i="20"/>
  <c r="R74" i="20" s="1"/>
  <c r="M8" i="20"/>
  <c r="M74" i="20" s="1"/>
  <c r="M117" i="20" s="1"/>
  <c r="I8" i="20"/>
  <c r="U43" i="20"/>
  <c r="V43" i="20" s="1"/>
  <c r="U55" i="20"/>
  <c r="V55" i="20" s="1"/>
  <c r="U63" i="20"/>
  <c r="V63" i="20" s="1"/>
  <c r="R103" i="20"/>
  <c r="F69" i="21" s="1"/>
  <c r="U93" i="20"/>
  <c r="V93" i="20" s="1"/>
  <c r="U34" i="20"/>
  <c r="V34" i="20" s="1"/>
  <c r="S114" i="20"/>
  <c r="U90" i="20"/>
  <c r="V90" i="20" s="1"/>
  <c r="U86" i="20"/>
  <c r="V86" i="20" s="1"/>
  <c r="U53" i="20"/>
  <c r="V53" i="20" s="1"/>
  <c r="G72" i="21"/>
  <c r="J103" i="16" s="1"/>
  <c r="O103" i="16" s="1"/>
  <c r="E294" i="16"/>
  <c r="E303" i="16" s="1"/>
  <c r="H238" i="16"/>
  <c r="O238" i="16" s="1"/>
  <c r="J49" i="16"/>
  <c r="L34" i="19"/>
  <c r="L35" i="19" s="1"/>
  <c r="F30" i="19" s="1"/>
  <c r="G117" i="20" l="1"/>
  <c r="U46" i="20"/>
  <c r="V46" i="20" s="1"/>
  <c r="P8" i="20"/>
  <c r="J8" i="20"/>
  <c r="N8" i="20"/>
  <c r="T8" i="20"/>
  <c r="K8" i="20"/>
  <c r="S8" i="20"/>
  <c r="Q8" i="20"/>
  <c r="L8" i="20"/>
  <c r="U59" i="20"/>
  <c r="V59" i="20" s="1"/>
  <c r="U6" i="20"/>
  <c r="U22" i="20"/>
  <c r="V22" i="20" s="1"/>
  <c r="L74" i="20"/>
  <c r="L117" i="20" s="1"/>
  <c r="Q74" i="20"/>
  <c r="Q117" i="20" s="1"/>
  <c r="Z130" i="17"/>
  <c r="C31" i="14" s="1"/>
  <c r="C33" i="14" s="1"/>
  <c r="P5" i="16"/>
  <c r="U58" i="20"/>
  <c r="V58" i="20" s="1"/>
  <c r="P74" i="20"/>
  <c r="P117" i="20" s="1"/>
  <c r="O74" i="20"/>
  <c r="O117" i="20" s="1"/>
  <c r="U20" i="20"/>
  <c r="V20" i="20" s="1"/>
  <c r="S74" i="20"/>
  <c r="S117" i="20" s="1"/>
  <c r="T74" i="20"/>
  <c r="T117" i="20" s="1"/>
  <c r="U18" i="20"/>
  <c r="V18" i="20" s="1"/>
  <c r="L34" i="17"/>
  <c r="K74" i="20"/>
  <c r="K117" i="20" s="1"/>
  <c r="U11" i="20"/>
  <c r="V11" i="20" s="1"/>
  <c r="U8" i="20"/>
  <c r="V8" i="20" s="1"/>
  <c r="U67" i="20"/>
  <c r="V67" i="20" s="1"/>
  <c r="M45" i="17"/>
  <c r="L45" i="17" s="1"/>
  <c r="U16" i="20"/>
  <c r="V16" i="20" s="1"/>
  <c r="U45" i="20"/>
  <c r="V45" i="20" s="1"/>
  <c r="N19" i="17"/>
  <c r="L19" i="17" s="1"/>
  <c r="H251" i="16"/>
  <c r="O251" i="16" s="1"/>
  <c r="G70" i="21"/>
  <c r="J102" i="16" s="1"/>
  <c r="O102" i="16" s="1"/>
  <c r="S102" i="16" s="1"/>
  <c r="T102" i="16" s="1"/>
  <c r="O197" i="16"/>
  <c r="H201" i="16"/>
  <c r="U113" i="20"/>
  <c r="V113" i="20" s="1"/>
  <c r="O61" i="16"/>
  <c r="O63" i="16" s="1"/>
  <c r="J63" i="16"/>
  <c r="O154" i="16"/>
  <c r="H74" i="12"/>
  <c r="F67" i="21"/>
  <c r="R117" i="20"/>
  <c r="R90" i="17"/>
  <c r="L90" i="17" s="1"/>
  <c r="O49" i="16"/>
  <c r="O52" i="16" s="1"/>
  <c r="J52" i="16"/>
  <c r="J78" i="16" s="1"/>
  <c r="J115" i="16" s="1"/>
  <c r="U21" i="20"/>
  <c r="V21" i="20" s="1"/>
  <c r="S210" i="16"/>
  <c r="F81" i="17" s="1"/>
  <c r="K81" i="17" s="1"/>
  <c r="S237" i="16"/>
  <c r="S240" i="16" s="1"/>
  <c r="S241" i="16" s="1"/>
  <c r="U7" i="20"/>
  <c r="V7" i="20" s="1"/>
  <c r="V6" i="20"/>
  <c r="I74" i="20"/>
  <c r="I117" i="20" s="1"/>
  <c r="J74" i="20"/>
  <c r="U66" i="20"/>
  <c r="V66" i="20" s="1"/>
  <c r="U112" i="20"/>
  <c r="J114" i="20"/>
  <c r="U103" i="20"/>
  <c r="V79" i="20"/>
  <c r="V103" i="20" s="1"/>
  <c r="H23" i="16"/>
  <c r="G31" i="19"/>
  <c r="J285" i="16" s="1"/>
  <c r="U23" i="20"/>
  <c r="V23" i="20" s="1"/>
  <c r="H253" i="16"/>
  <c r="O253" i="16" s="1"/>
  <c r="G74" i="21"/>
  <c r="J104" i="16" s="1"/>
  <c r="O104" i="16" s="1"/>
  <c r="S103" i="16" s="1"/>
  <c r="T103" i="16" s="1"/>
  <c r="H57" i="16"/>
  <c r="O55" i="16"/>
  <c r="O57" i="16" s="1"/>
  <c r="E312" i="16"/>
  <c r="E162" i="16"/>
  <c r="E165" i="16" s="1"/>
  <c r="E167" i="16" s="1"/>
  <c r="E5" i="16" s="1"/>
  <c r="N74" i="20"/>
  <c r="N117" i="20" s="1"/>
  <c r="U108" i="20"/>
  <c r="V107" i="20"/>
  <c r="V108" i="20" s="1"/>
  <c r="N86" i="17"/>
  <c r="L86" i="17"/>
  <c r="U10" i="20"/>
  <c r="V10" i="20" s="1"/>
  <c r="L107" i="17"/>
  <c r="F71" i="17"/>
  <c r="D13" i="12"/>
  <c r="O280" i="16"/>
  <c r="U9" i="20"/>
  <c r="V9" i="20" s="1"/>
  <c r="O201" i="16"/>
  <c r="S174" i="16"/>
  <c r="F11" i="17" l="1"/>
  <c r="F14" i="17"/>
  <c r="K14" i="17" s="1"/>
  <c r="N14" i="17" s="1"/>
  <c r="L14" i="17" s="1"/>
  <c r="F17" i="17"/>
  <c r="K17" i="17" s="1"/>
  <c r="R17" i="17" s="1"/>
  <c r="F32" i="17"/>
  <c r="K32" i="17" s="1"/>
  <c r="R32" i="17" s="1"/>
  <c r="L32" i="17" s="1"/>
  <c r="N81" i="17"/>
  <c r="L81" i="17" s="1"/>
  <c r="K71" i="17"/>
  <c r="J290" i="16"/>
  <c r="J292" i="16" s="1"/>
  <c r="J294" i="16" s="1"/>
  <c r="J303" i="16" s="1"/>
  <c r="J312" i="16" s="1"/>
  <c r="O285" i="16"/>
  <c r="V74" i="20"/>
  <c r="F31" i="17"/>
  <c r="F78" i="17"/>
  <c r="U74" i="20"/>
  <c r="F97" i="17"/>
  <c r="S179" i="16"/>
  <c r="H28" i="16"/>
  <c r="H38" i="16" s="1"/>
  <c r="H78" i="16" s="1"/>
  <c r="H115" i="16" s="1"/>
  <c r="O23" i="16"/>
  <c r="J117" i="20"/>
  <c r="H250" i="16"/>
  <c r="G68" i="21"/>
  <c r="J101" i="16" s="1"/>
  <c r="O101" i="16" s="1"/>
  <c r="M73" i="17"/>
  <c r="M12" i="17" s="1"/>
  <c r="S176" i="16"/>
  <c r="S178" i="16" s="1"/>
  <c r="F73" i="17"/>
  <c r="K73" i="17" s="1"/>
  <c r="U114" i="20"/>
  <c r="V112" i="20"/>
  <c r="V114" i="20" s="1"/>
  <c r="R130" i="17" l="1"/>
  <c r="C12" i="14" s="1"/>
  <c r="S181" i="16"/>
  <c r="T73" i="17"/>
  <c r="T130" i="17" s="1"/>
  <c r="C20" i="14" s="1"/>
  <c r="L73" i="17"/>
  <c r="K97" i="17"/>
  <c r="F75" i="17"/>
  <c r="V117" i="20"/>
  <c r="O71" i="17"/>
  <c r="O130" i="17" s="1"/>
  <c r="C11" i="14" s="1"/>
  <c r="L17" i="17"/>
  <c r="L12" i="17"/>
  <c r="T24" i="16"/>
  <c r="O28" i="16"/>
  <c r="O38" i="16" s="1"/>
  <c r="U117" i="20"/>
  <c r="F98" i="17"/>
  <c r="K98" i="17" s="1"/>
  <c r="O290" i="16"/>
  <c r="O292" i="16" s="1"/>
  <c r="O250" i="16"/>
  <c r="H268" i="16"/>
  <c r="H270" i="16" s="1"/>
  <c r="H294" i="16" s="1"/>
  <c r="H303" i="16" s="1"/>
  <c r="H312" i="16" s="1"/>
  <c r="K78" i="17"/>
  <c r="F37" i="17"/>
  <c r="K31" i="17"/>
  <c r="S101" i="16"/>
  <c r="T101" i="16" s="1"/>
  <c r="T104" i="16" s="1"/>
  <c r="O107" i="16"/>
  <c r="O109" i="16" s="1"/>
  <c r="O113" i="16" s="1"/>
  <c r="L71" i="17" l="1"/>
  <c r="F103" i="17"/>
  <c r="X97" i="17"/>
  <c r="X130" i="17" s="1"/>
  <c r="C21" i="14" s="1"/>
  <c r="U98" i="17"/>
  <c r="U130" i="17" s="1"/>
  <c r="C22" i="14" s="1"/>
  <c r="D42" i="12"/>
  <c r="N31" i="17"/>
  <c r="N78" i="17"/>
  <c r="L78" i="17" s="1"/>
  <c r="F22" i="17"/>
  <c r="K22" i="17" s="1"/>
  <c r="S209" i="16"/>
  <c r="O268" i="16"/>
  <c r="O78" i="16"/>
  <c r="O115" i="16" s="1"/>
  <c r="N130" i="17" l="1"/>
  <c r="C10" i="14" s="1"/>
  <c r="C15" i="14" s="1"/>
  <c r="L31" i="17"/>
  <c r="L98" i="17"/>
  <c r="C25" i="14"/>
  <c r="S225" i="16"/>
  <c r="O270" i="16"/>
  <c r="O294" i="16" s="1"/>
  <c r="O303" i="16" s="1"/>
  <c r="L97" i="17"/>
  <c r="F9" i="17"/>
  <c r="S223" i="16"/>
  <c r="C35" i="14" l="1"/>
  <c r="C39" i="14" s="1"/>
  <c r="C47" i="14" s="1"/>
  <c r="F25" i="17"/>
  <c r="K9" i="17"/>
  <c r="O312" i="16"/>
  <c r="O162" i="16"/>
  <c r="O165" i="16" s="1"/>
  <c r="O167" i="16" s="1"/>
  <c r="O5" i="16" s="1"/>
  <c r="S227" i="16"/>
  <c r="F84" i="17"/>
  <c r="D29" i="12"/>
  <c r="D31" i="12" s="1"/>
  <c r="D44" i="12" s="1"/>
  <c r="D48" i="12" s="1"/>
  <c r="K84" i="17" l="1"/>
  <c r="F92" i="17"/>
  <c r="F94" i="17" s="1"/>
  <c r="F105" i="17" s="1"/>
  <c r="F109" i="17" s="1"/>
  <c r="L9" i="17"/>
  <c r="G20" i="15"/>
  <c r="I20" i="15" s="1"/>
  <c r="D54" i="12"/>
  <c r="D63" i="12" s="1"/>
  <c r="D66" i="12" s="1"/>
  <c r="D57" i="12"/>
  <c r="D60" i="12" s="1"/>
  <c r="F116" i="17" l="1"/>
  <c r="F125" i="17" s="1"/>
  <c r="F128" i="17" s="1"/>
  <c r="F47" i="17" s="1"/>
  <c r="F119" i="17"/>
  <c r="F122" i="17" s="1"/>
  <c r="G16" i="15"/>
  <c r="D74" i="12"/>
  <c r="M22" i="17"/>
  <c r="M84" i="17"/>
  <c r="L84" i="17" s="1"/>
  <c r="G18" i="15" l="1"/>
  <c r="G22" i="15" s="1"/>
  <c r="F55" i="11"/>
  <c r="I16" i="15"/>
  <c r="I18" i="15" s="1"/>
  <c r="I22" i="15" s="1"/>
  <c r="K47" i="17"/>
  <c r="F49" i="17"/>
  <c r="F53" i="17" s="1"/>
  <c r="F55" i="17" s="1"/>
  <c r="F64" i="17" s="1"/>
  <c r="M130" i="17"/>
  <c r="AA132" i="17" s="1"/>
  <c r="L22" i="17"/>
  <c r="L47" i="17" l="1"/>
  <c r="K130" i="17"/>
  <c r="L130" i="17"/>
  <c r="AA133" i="17" s="1"/>
  <c r="F13" i="12" l="1"/>
  <c r="F31" i="12"/>
  <c r="F44" i="12"/>
  <c r="F48" i="12"/>
  <c r="F54" i="12"/>
</calcChain>
</file>

<file path=xl/sharedStrings.xml><?xml version="1.0" encoding="utf-8"?>
<sst xmlns="http://schemas.openxmlformats.org/spreadsheetml/2006/main" count="1869" uniqueCount="1112">
  <si>
    <t>BEBAN USAHA</t>
  </si>
  <si>
    <t>EKUITAS</t>
  </si>
  <si>
    <t>ASET</t>
  </si>
  <si>
    <t>JUMLAH ASET</t>
  </si>
  <si>
    <t>PENDAPATAN USAHA</t>
  </si>
  <si>
    <t>-</t>
  </si>
  <si>
    <t>Rp</t>
  </si>
  <si>
    <t>2013</t>
  </si>
  <si>
    <t>LIABILITAS DAN EKUITAS</t>
  </si>
  <si>
    <t>LIABILITAS</t>
  </si>
  <si>
    <t>Jumlah Ekuitas</t>
  </si>
  <si>
    <t>JUMLAH LIABILITAS DAN EKUITAS</t>
  </si>
  <si>
    <t>Jasa profesional</t>
  </si>
  <si>
    <t>PENGHASILAN (BEBAN) LAIN-LAIN</t>
  </si>
  <si>
    <t>Lain-lain</t>
  </si>
  <si>
    <t>ARUS KAS DARI AKTIVITAS OPERASI</t>
  </si>
  <si>
    <t>ARUS KAS DARI AKTIVITAS PENDANAAN</t>
  </si>
  <si>
    <t>Piutang lain-lain</t>
  </si>
  <si>
    <t>Jumlah Beban Usaha</t>
  </si>
  <si>
    <t>Biaya bunga pinjaman</t>
  </si>
  <si>
    <t>BEBAN PAJAK KINI</t>
  </si>
  <si>
    <t xml:space="preserve"> </t>
  </si>
  <si>
    <t>ARUS KAS DARI AKTIVITAS INVESTASI</t>
  </si>
  <si>
    <t>Penerimaan bunga</t>
  </si>
  <si>
    <t>Utang pajak</t>
  </si>
  <si>
    <t>Utang lain-lain</t>
  </si>
  <si>
    <t>Jumlah Liabilitas</t>
  </si>
  <si>
    <t>Biaya masih harus dibayar</t>
  </si>
  <si>
    <t>Modal saham - nilai nominal Rp 100 per saham</t>
  </si>
  <si>
    <t>Modal dasar - 1.000.000.000 saham</t>
  </si>
  <si>
    <t>Modal ditempatkan dan disetor - 250.000.000 saham</t>
  </si>
  <si>
    <t>Saldo laba</t>
  </si>
  <si>
    <t>Iuran dan perijinan</t>
  </si>
  <si>
    <t>Sewa</t>
  </si>
  <si>
    <t>Penyusutan</t>
  </si>
  <si>
    <t>Kerugian terealisasi dari penjualan efek</t>
  </si>
  <si>
    <t>Lain-lain - bersih</t>
  </si>
  <si>
    <t>Pembayaran kepada pemasok dan karyawan</t>
  </si>
  <si>
    <t>Pembayaran pajak penghasilan</t>
  </si>
  <si>
    <t>Liabilitas imbalan pasca kerja</t>
  </si>
  <si>
    <t>Aset tetap - setelah dikurangi akumulasi penyusutan</t>
  </si>
  <si>
    <r>
      <t>Piutang r</t>
    </r>
    <r>
      <rPr>
        <i/>
        <sz val="10"/>
        <rFont val="Arial"/>
        <family val="2"/>
      </rPr>
      <t xml:space="preserve">everse repo </t>
    </r>
    <r>
      <rPr>
        <sz val="10"/>
        <rFont val="Arial"/>
        <family val="2"/>
      </rPr>
      <t>- bersih</t>
    </r>
  </si>
  <si>
    <t>Portofolio efek - bersih</t>
  </si>
  <si>
    <t>Pembelian portofolio efek</t>
  </si>
  <si>
    <t>Penjualan portofolio efek</t>
  </si>
  <si>
    <t>Pemeliharaan dan perbaikan</t>
  </si>
  <si>
    <t>AKTIVITAS OPERASI</t>
  </si>
  <si>
    <t>AKTIVITAS INVESTASI</t>
  </si>
  <si>
    <t>AKTIVITAS PENDANAAN</t>
  </si>
  <si>
    <t>Pembayaran</t>
  </si>
  <si>
    <t>Penerimaan</t>
  </si>
  <si>
    <t>Penjualan</t>
  </si>
  <si>
    <t>kepada pemasok</t>
  </si>
  <si>
    <t>Pajak Penghasilan</t>
  </si>
  <si>
    <t>(Pembayaran)</t>
  </si>
  <si>
    <t xml:space="preserve">Perolehan </t>
  </si>
  <si>
    <t>Increase (Decrease)</t>
  </si>
  <si>
    <t>Non Cash Flow</t>
  </si>
  <si>
    <t>dan karyawan</t>
  </si>
  <si>
    <t>investasi</t>
  </si>
  <si>
    <t>Badan</t>
  </si>
  <si>
    <t>Lain-Lain</t>
  </si>
  <si>
    <t>Aset tetap</t>
  </si>
  <si>
    <t>Bunga</t>
  </si>
  <si>
    <t>Pihak Berelasi</t>
  </si>
  <si>
    <t>portofolio efek</t>
  </si>
  <si>
    <t>pengelolaan</t>
  </si>
  <si>
    <t>Piutang kegiatan manajer investasi</t>
  </si>
  <si>
    <t>Pajak pertambahan nilai dibayar dimuka</t>
  </si>
  <si>
    <t>Pendapatan bunga</t>
  </si>
  <si>
    <t>Pendapatan kegiatan manajer investasi</t>
  </si>
  <si>
    <t>Jumlah Pendapatan Usaha</t>
  </si>
  <si>
    <t>Beban kepegawaian</t>
  </si>
  <si>
    <t>Administrasi dan umum</t>
  </si>
  <si>
    <t>LABA (RUGI) USAHA</t>
  </si>
  <si>
    <t>Penghasilan jasa giro</t>
  </si>
  <si>
    <t>Beban bunga dan keuangan</t>
  </si>
  <si>
    <t>LABA (RUGI) SEBELUM PAJAK</t>
  </si>
  <si>
    <t>LABA (RUGI) TAHUN BERJALAN</t>
  </si>
  <si>
    <t xml:space="preserve">Penghasilan komprehensif lain yang tidak direklasifikasikan </t>
  </si>
  <si>
    <t xml:space="preserve">     menjadi laba atau rugi pada periode berikutnya </t>
  </si>
  <si>
    <t>JUMLAH PENGHASILAN (RUGI) KOMPREHENSIF TAHUN BERJALAN</t>
  </si>
  <si>
    <t>tahun berjalan</t>
  </si>
  <si>
    <t>Pencairan</t>
  </si>
  <si>
    <t>(Penempatan)</t>
  </si>
  <si>
    <t>Penerimaan pengelolaan investasi</t>
  </si>
  <si>
    <t>PENGHASILAN KOMPREHENSIF LAIN</t>
  </si>
  <si>
    <t>2016</t>
  </si>
  <si>
    <t>Catatan</t>
  </si>
  <si>
    <t>Pihak berelasi</t>
  </si>
  <si>
    <t>Pihak ketiga</t>
  </si>
  <si>
    <t>2h,7</t>
  </si>
  <si>
    <t>Kerugian penjualan aset tetap</t>
  </si>
  <si>
    <t>Jumlah Beban Lain-Lain - Bersih</t>
  </si>
  <si>
    <t>Kas dan bank</t>
  </si>
  <si>
    <t>sebesar Rp 249.795.939 tahun 2016</t>
  </si>
  <si>
    <t>Utang kepada pihak berelasi</t>
  </si>
  <si>
    <t>Tambahan modal disetor</t>
  </si>
  <si>
    <t>Keuntungan perdagangan efek - bersih</t>
  </si>
  <si>
    <t>Kustodian dan jasa manajemen</t>
  </si>
  <si>
    <t>LABA (RUGI) TAHUN BERJALAN DIATRIBUSIKAN KEPADA:</t>
  </si>
  <si>
    <t xml:space="preserve">     Entitas induk</t>
  </si>
  <si>
    <t xml:space="preserve">     Kepentingan non-pengendali</t>
  </si>
  <si>
    <t xml:space="preserve">LABA (RUGI) TAHUN BERJALAN </t>
  </si>
  <si>
    <t>JUMLAH PENGHASILAN (RUGI) KOMPREHENSIF DIATRIBUSIKAN KEPADA:</t>
  </si>
  <si>
    <t>Asuransi</t>
  </si>
  <si>
    <t>Pajak-pajak</t>
  </si>
  <si>
    <t>Hasil</t>
  </si>
  <si>
    <t>Aset Tetap</t>
  </si>
  <si>
    <t>Penerimaan dari</t>
  </si>
  <si>
    <t xml:space="preserve">kepentingan </t>
  </si>
  <si>
    <t>non-pengendali</t>
  </si>
  <si>
    <t>(pemilik unit penyertaan)</t>
  </si>
  <si>
    <t>Transportasi dan perjalanan dinas</t>
  </si>
  <si>
    <t xml:space="preserve">     Keuntungan (kerugian) aktuarial - bersih setelah pajak</t>
  </si>
  <si>
    <t>tambahan</t>
  </si>
  <si>
    <t>modal disetor</t>
  </si>
  <si>
    <t xml:space="preserve">Penerimaan (pencairan) dari kepentingan non-pengendali </t>
  </si>
  <si>
    <t>Hasil penjualan aset tetap</t>
  </si>
  <si>
    <t>Kas Bersih Diperoleh Dari (Digunakan Untuk) Aktivitas Investasi</t>
  </si>
  <si>
    <t>KAS DAN BANK AWAL TAHUN</t>
  </si>
  <si>
    <t>KAS DAN BANK AKHIR TAHUN</t>
  </si>
  <si>
    <t>Aset lain-lain</t>
  </si>
  <si>
    <t>2c,2d,4</t>
  </si>
  <si>
    <t>2c,2d,5</t>
  </si>
  <si>
    <t>2c,2d,6</t>
  </si>
  <si>
    <t>2d</t>
  </si>
  <si>
    <t>2g</t>
  </si>
  <si>
    <t>2c,19</t>
  </si>
  <si>
    <t>2e,10</t>
  </si>
  <si>
    <t>2e,9</t>
  </si>
  <si>
    <t>2k,11</t>
  </si>
  <si>
    <t>2e,12</t>
  </si>
  <si>
    <t>2j</t>
  </si>
  <si>
    <t>2l,18</t>
  </si>
  <si>
    <t>2l,8</t>
  </si>
  <si>
    <t>JUMLAH LABA (RUGI) KOMPREHENSIF TAHUN BERJALAN</t>
  </si>
  <si>
    <t>JUMLAH LABA (RUGI) KOMPREHENSIF DIATRIBUSIKAN KEPADA:</t>
  </si>
  <si>
    <t>Jumlah laba komprehensif tahun berjalan</t>
  </si>
  <si>
    <t>Penerimaan dari tambahan modal disetor</t>
  </si>
  <si>
    <t xml:space="preserve">WORKSHEET </t>
  </si>
  <si>
    <t>Account Number</t>
  </si>
  <si>
    <t>Description</t>
  </si>
  <si>
    <t>VMI</t>
  </si>
  <si>
    <t>Per Book</t>
  </si>
  <si>
    <t>Adjustment</t>
  </si>
  <si>
    <t>Reclassment</t>
  </si>
  <si>
    <t>Per Audit</t>
  </si>
  <si>
    <t>Dr</t>
  </si>
  <si>
    <t>Cr</t>
  </si>
  <si>
    <t>ASET LANCAR</t>
  </si>
  <si>
    <t>KAS DAN SETARA KAS</t>
  </si>
  <si>
    <t xml:space="preserve">KAS  </t>
  </si>
  <si>
    <t>Kas Kecil</t>
  </si>
  <si>
    <t>Jumlah Kas</t>
  </si>
  <si>
    <t>BANK</t>
  </si>
  <si>
    <t>Pihak Ketiga</t>
  </si>
  <si>
    <t>Jumlah Bank</t>
  </si>
  <si>
    <t>DEPOSITO BERJANGKA</t>
  </si>
  <si>
    <t>Jumlah Deposito Berjangka</t>
  </si>
  <si>
    <t>Jumlah Kas dan Setara Kas</t>
  </si>
  <si>
    <t>PORTOFOLIO EFEK</t>
  </si>
  <si>
    <t>Obligasi</t>
  </si>
  <si>
    <t>Reksadana</t>
  </si>
  <si>
    <t>Cadangan nilai reksadana</t>
  </si>
  <si>
    <t>Jumlah Portofolio Efek</t>
  </si>
  <si>
    <t>PIUTANG KEGIATAN MANAJER INVESTASI</t>
  </si>
  <si>
    <t>Jumlah Piutang Usaha</t>
  </si>
  <si>
    <t>PIUTANG LAIN-LAIN</t>
  </si>
  <si>
    <t>Piutang bunga</t>
  </si>
  <si>
    <t>Jumlah Piutang Lain-lain</t>
  </si>
  <si>
    <t>PAJAK DIBAYAR DIMUKA</t>
  </si>
  <si>
    <t>UM Pajak pph 25</t>
  </si>
  <si>
    <t>PPN Masukan</t>
  </si>
  <si>
    <t>UM PPh Pasal 23</t>
  </si>
  <si>
    <t>UM PPh Pasal 4 (2)</t>
  </si>
  <si>
    <t>UM Pajak PPN</t>
  </si>
  <si>
    <t>Jumlah Pajak Dibayar Dimuka</t>
  </si>
  <si>
    <t>BIAYA DIBAYAR DIMUKA</t>
  </si>
  <si>
    <t>JUMLAH ASET LANCAR</t>
  </si>
  <si>
    <t>ASET TIDAK LANCAR</t>
  </si>
  <si>
    <t>PIUTANG PIHAK BERELASI</t>
  </si>
  <si>
    <t>Jumlah Piutang Pihak Berelasi</t>
  </si>
  <si>
    <t>ASET TETAP</t>
  </si>
  <si>
    <t>Harga Perolehan</t>
  </si>
  <si>
    <t>Peralatan Kantor</t>
  </si>
  <si>
    <t>Perabotan kantor</t>
  </si>
  <si>
    <t>Instalasi Komunikasi &amp; Pengembangan Sistem</t>
  </si>
  <si>
    <t>Renovasi Bangunan</t>
  </si>
  <si>
    <t>Jumlah Harga Perolehan</t>
  </si>
  <si>
    <t>Akumulasi Penyusutan</t>
  </si>
  <si>
    <t>Peralatan kantor</t>
  </si>
  <si>
    <t>Pengembangan Sistem</t>
  </si>
  <si>
    <t>Jumlah Akumulasi Penyusutan</t>
  </si>
  <si>
    <t>NILAI BUKU ASET TETAP</t>
  </si>
  <si>
    <t>ASET PAJAK TANGGUHAN</t>
  </si>
  <si>
    <t>JUMLAH ASET TIDAK LANCAR</t>
  </si>
  <si>
    <t>UTANG PAJAK</t>
  </si>
  <si>
    <t xml:space="preserve">Utang Pajak PPh 4(2) Final </t>
  </si>
  <si>
    <t>A11</t>
  </si>
  <si>
    <t>Utang pajak PPh 21</t>
  </si>
  <si>
    <t>Utang pajak PPh 23</t>
  </si>
  <si>
    <t>Jumlah Utang Pajak</t>
  </si>
  <si>
    <t>UTANG LAIN-LAIN</t>
  </si>
  <si>
    <t>Utang lainnya</t>
  </si>
  <si>
    <t>Utang pembelian kendaraan-jangka pendek</t>
  </si>
  <si>
    <t>Jumlah Utang Lain-Lain</t>
  </si>
  <si>
    <t>BIAYA MASIH HARUS DIBAYAR</t>
  </si>
  <si>
    <t>Biaya yang masih harus dibayar</t>
  </si>
  <si>
    <t>Jumlah Biaya yang Masih Harus Dibayar</t>
  </si>
  <si>
    <t>UTANG PIHAK-PIHAK BERELASI</t>
  </si>
  <si>
    <t>Jumlah Utang Pihak-Pihak Berelasi</t>
  </si>
  <si>
    <t>LIABILITAS IMBALAN PASCA KERJA</t>
  </si>
  <si>
    <t>A13</t>
  </si>
  <si>
    <t>Jumlah Liabilitas Imbalan Pasca Kerja</t>
  </si>
  <si>
    <t>Utang pembelian kendaraan-jangka panjang</t>
  </si>
  <si>
    <t>JUMLAH LIABILITAS</t>
  </si>
  <si>
    <t>Modal ditempatkan</t>
  </si>
  <si>
    <t>Saldo laba (rugi) ditahan</t>
  </si>
  <si>
    <t>A3,15</t>
  </si>
  <si>
    <t>Laba (rugi) periode berjalan</t>
  </si>
  <si>
    <t>Keuntungan belum direalisasi dari aset keuangan tersedia untuk dijual</t>
  </si>
  <si>
    <t>JUMLAH EKUITAS</t>
  </si>
  <si>
    <t>Pendapatan management fee</t>
  </si>
  <si>
    <t>Keuntungan perdagang efek - bersih</t>
  </si>
  <si>
    <t xml:space="preserve">     Efek utang</t>
  </si>
  <si>
    <t xml:space="preserve">          Pendapatan Bunga Obligasi</t>
  </si>
  <si>
    <t xml:space="preserve">          Inv. In Bonds</t>
  </si>
  <si>
    <t xml:space="preserve">     Instrumen pasar uang dan deposito berjangka</t>
  </si>
  <si>
    <t xml:space="preserve">          Investment in Time Deposit</t>
  </si>
  <si>
    <t xml:space="preserve">          Investment in Deposit on Call</t>
  </si>
  <si>
    <t xml:space="preserve">          Current Account</t>
  </si>
  <si>
    <t xml:space="preserve">          Pendapatan Bunga Deposito / SBI</t>
  </si>
  <si>
    <t>Keuntungan (kerugian) perdagangan efek - bersih</t>
  </si>
  <si>
    <t xml:space="preserve">     Keuntungan yang telah terealisasi atas transaksi portofolio efek</t>
  </si>
  <si>
    <t xml:space="preserve">          Realized Gain or Loss</t>
  </si>
  <si>
    <t xml:space="preserve">          Keuntungan (kerugian) dari jual efek</t>
  </si>
  <si>
    <t xml:space="preserve">          Keuntungan (kerugian) reksadana</t>
  </si>
  <si>
    <t xml:space="preserve">     Keuntungan yang belum terealisasi atas transaksi portofolio efek</t>
  </si>
  <si>
    <t xml:space="preserve">          Selisih nilai efek/obligasi</t>
  </si>
  <si>
    <t xml:space="preserve">          Unrealized Gain/Loss of Shares</t>
  </si>
  <si>
    <t xml:space="preserve">          Unrealized Gain/Loss of Bonds</t>
  </si>
  <si>
    <t>JUMLAH PENDAPATAN USAHA</t>
  </si>
  <si>
    <t>Gaji dan tunjangan</t>
  </si>
  <si>
    <t xml:space="preserve">     Gaji</t>
  </si>
  <si>
    <t xml:space="preserve">     Uang Makan dan Transport</t>
  </si>
  <si>
    <t xml:space="preserve">     Biaya Lembur</t>
  </si>
  <si>
    <t xml:space="preserve">     Tunjangan lain-lain</t>
  </si>
  <si>
    <t xml:space="preserve">     Biaya tunjangan jamsostek</t>
  </si>
  <si>
    <t xml:space="preserve">     Biaya tunjangan asuransi</t>
  </si>
  <si>
    <t xml:space="preserve">     Biaya Pengobatan</t>
  </si>
  <si>
    <t xml:space="preserve">     Biaya pajak PPh 21</t>
  </si>
  <si>
    <t>Biaya imbalan pasca kerja</t>
  </si>
  <si>
    <t xml:space="preserve">     Biaya Konsultan</t>
  </si>
  <si>
    <t>Perjalanan dinas</t>
  </si>
  <si>
    <t xml:space="preserve">     Biaya Akuntan</t>
  </si>
  <si>
    <t xml:space="preserve">     Biaya Notaris &amp; Pengacara</t>
  </si>
  <si>
    <t xml:space="preserve">       Biaya perlengkapan kantor</t>
  </si>
  <si>
    <t xml:space="preserve">       Biaya Materai</t>
  </si>
  <si>
    <t xml:space="preserve">       Biaya Internet</t>
  </si>
  <si>
    <t xml:space="preserve">       Biaya Cetak dan Fotokopi</t>
  </si>
  <si>
    <t xml:space="preserve">   Biaya telp &amp; facsimile</t>
  </si>
  <si>
    <t xml:space="preserve">   Biaya iklan</t>
  </si>
  <si>
    <t xml:space="preserve">   Biaya software</t>
  </si>
  <si>
    <t xml:space="preserve">   Biaya instalasi</t>
  </si>
  <si>
    <t xml:space="preserve">   Biaya Pelatihan Karyawan</t>
  </si>
  <si>
    <t xml:space="preserve">     Biaya Iuran</t>
  </si>
  <si>
    <t xml:space="preserve">     Biaya Perijinan Umum</t>
  </si>
  <si>
    <t xml:space="preserve">     Biaya iuran berlangganan</t>
  </si>
  <si>
    <t>Representasi dan Sumbangan</t>
  </si>
  <si>
    <t xml:space="preserve">     Entertainment</t>
  </si>
  <si>
    <t>Pemeliharaan dan Perbaikan</t>
  </si>
  <si>
    <t xml:space="preserve">     Biaya Pemeliharaan Alat Kantor</t>
  </si>
  <si>
    <t xml:space="preserve">     Biaya Renovasi Kantor</t>
  </si>
  <si>
    <t xml:space="preserve">     Biaya cleaning service</t>
  </si>
  <si>
    <t>Biaya penyusutan</t>
  </si>
  <si>
    <t xml:space="preserve">     Biaya penyusutan peralatan kantor</t>
  </si>
  <si>
    <t xml:space="preserve">     Biaya penyusutan perabotan kantor</t>
  </si>
  <si>
    <t xml:space="preserve">     Biaya amortisasi instalasi komputer</t>
  </si>
  <si>
    <t xml:space="preserve">     Biaya penyusutan renovasi bangunan</t>
  </si>
  <si>
    <t>Biaya perjalanan dinas</t>
  </si>
  <si>
    <t>Biaya Sewa Gedung</t>
  </si>
  <si>
    <t>Pajak</t>
  </si>
  <si>
    <t xml:space="preserve">    Biaya pajak PPh final</t>
  </si>
  <si>
    <t xml:space="preserve">    Biaya pajak</t>
  </si>
  <si>
    <t>Biaya lain-lain</t>
  </si>
  <si>
    <t>JUMLAH BEBAN USAHA</t>
  </si>
  <si>
    <t>LABA USAHA</t>
  </si>
  <si>
    <t>PENDAPATAN / BIAYA LAIN-LAIN</t>
  </si>
  <si>
    <t>PENGHASILAN LAIN-LAIN</t>
  </si>
  <si>
    <t>Pendapatan Bunga Jasa Giro</t>
  </si>
  <si>
    <t>Pendapatan referral</t>
  </si>
  <si>
    <t>Keuntungan/ (kerugian) penjualan aktiva tetap</t>
  </si>
  <si>
    <t xml:space="preserve">JUMLAH PENDAPATAN LAIN-LAIN </t>
  </si>
  <si>
    <t>BIAYA LAIN-LAIN</t>
  </si>
  <si>
    <t xml:space="preserve">     Biaya Administrasi Bank</t>
  </si>
  <si>
    <t xml:space="preserve">     Biaya Bunga Sewa Guna Usaha</t>
  </si>
  <si>
    <t>Laba (rugi) entitas anak</t>
  </si>
  <si>
    <t>JUMLAH BIAYA LAIN-LAIN</t>
  </si>
  <si>
    <t>JUMLAH PENDAPATAN / BIAYA LAIN-LAIN - BERSIH</t>
  </si>
  <si>
    <t>LABA BERSIH SEBELUM PAJAK</t>
  </si>
  <si>
    <t>PENGHASILAN (BEBAN) PAJAK</t>
  </si>
  <si>
    <t>Pajak kini</t>
  </si>
  <si>
    <t>Pajak final</t>
  </si>
  <si>
    <t>Pajak tangguhan</t>
  </si>
  <si>
    <t>JUMLAH PENGHASILAN (BEBAN) PAJAK</t>
  </si>
  <si>
    <t>LABA RUGI  TAHUN BERJALAN</t>
  </si>
  <si>
    <t>Keuntungan (rugi) komprehensif lain</t>
  </si>
  <si>
    <t>Keuntungan aktuarial - OCI</t>
  </si>
  <si>
    <t>Manfaat pajak tangguhan</t>
  </si>
  <si>
    <t>TOTAL KEUNTUNGAN (RUGI) KOMPREHENSIF LAIN</t>
  </si>
  <si>
    <t>LABA BERSIH SETELAH PAJAK</t>
  </si>
  <si>
    <t>Jurnal AJE &amp; RJE Posted</t>
  </si>
  <si>
    <t>Proposed AJE &amp; RJE</t>
  </si>
  <si>
    <t>Differences</t>
  </si>
  <si>
    <t xml:space="preserve">LAPORAN POSISI KEUANGAN </t>
  </si>
  <si>
    <t xml:space="preserve">     Biaya Maintanance Software Dinamis</t>
  </si>
  <si>
    <t xml:space="preserve">     Sumbangan</t>
  </si>
  <si>
    <t>Komisi Marketing</t>
  </si>
  <si>
    <t>Biaya Lain-lain</t>
  </si>
  <si>
    <t>Piutang management fee-RD</t>
  </si>
  <si>
    <t>Keuntungan/(Kerugian) belum direalisasi dari AFS</t>
  </si>
  <si>
    <t>Cadangan nilai portfolio</t>
  </si>
  <si>
    <t>Biaya Pemasaran</t>
  </si>
  <si>
    <t xml:space="preserve">Keuntungan/(Kerugian) belum direalisasi </t>
  </si>
  <si>
    <t>dari Aset Keuangan Tersedia Untuk Dijual</t>
  </si>
  <si>
    <t xml:space="preserve">LAPORAN ARUS KAS </t>
  </si>
  <si>
    <t>Penempatan Portfolio Efek</t>
  </si>
  <si>
    <t>Penjualan Portfolio Obligasi</t>
  </si>
  <si>
    <t>Penjualan Portfolio RD</t>
  </si>
  <si>
    <t>Pembelian Portfolio RD</t>
  </si>
  <si>
    <t>Uang muka dan biaya dibayar di muka</t>
  </si>
  <si>
    <t>dan Rp 145.566.289 tahun 2015</t>
  </si>
  <si>
    <t>Ekuitas yang dapat diatribusikan kepada pemilik entitas induk</t>
  </si>
  <si>
    <t>Kepentingan non-pengendali</t>
  </si>
  <si>
    <t>Penerimaan (Pembayaran) dari pihak berelasi</t>
  </si>
  <si>
    <t>Biaya Sewa Kendaraan</t>
  </si>
  <si>
    <t>Saldo per 30 April 2017</t>
  </si>
  <si>
    <t>PT AYERS ASIA ASSET MANAGEMENT</t>
  </si>
  <si>
    <t>P.T. AYERS ASIA ASSET MANAGEMENT</t>
  </si>
  <si>
    <t>LAPORAN PERUBAHAN EKUITAS</t>
  </si>
  <si>
    <t>Deposito</t>
  </si>
  <si>
    <t>Bank Windu IDR 1007444296</t>
  </si>
  <si>
    <t>Bank Windu IDR 1007444474</t>
  </si>
  <si>
    <t>General Journal</t>
  </si>
  <si>
    <t>Bank Out</t>
  </si>
  <si>
    <t>Bank In</t>
  </si>
  <si>
    <t>PT AYERS ASIA ASSET MANAGEMNENT</t>
  </si>
  <si>
    <t>Biaya Adm Bank</t>
  </si>
  <si>
    <t>Biaya Monthly Fee Adm Bank</t>
  </si>
  <si>
    <t>Bank Windu USD 1007444296</t>
  </si>
  <si>
    <t>Bank Windu USD</t>
  </si>
  <si>
    <t>Kurs</t>
  </si>
  <si>
    <t>Bank Windu IDR 1007790399</t>
  </si>
  <si>
    <t xml:space="preserve">PT Ayers Alliance Wealth </t>
  </si>
  <si>
    <t>Kiki Abdul Rachman</t>
  </si>
  <si>
    <t>No.</t>
  </si>
  <si>
    <t>Keterangan :</t>
  </si>
  <si>
    <t xml:space="preserve">Masa Manfaat </t>
  </si>
  <si>
    <t>Tanggal Perolehan :</t>
  </si>
  <si>
    <t xml:space="preserve">Harga Perolehan </t>
  </si>
  <si>
    <t>Penyusutan Perbulan</t>
  </si>
  <si>
    <t>Nilai Buku Awal Tahun 2017</t>
  </si>
  <si>
    <t>JAN</t>
  </si>
  <si>
    <t>FEB</t>
  </si>
  <si>
    <t>MAR</t>
  </si>
  <si>
    <t>APR</t>
  </si>
  <si>
    <t>MEI</t>
  </si>
  <si>
    <t>JUNI</t>
  </si>
  <si>
    <t>JULI</t>
  </si>
  <si>
    <t>AGT</t>
  </si>
  <si>
    <t>SEP</t>
  </si>
  <si>
    <t>OKT</t>
  </si>
  <si>
    <t>NOV</t>
  </si>
  <si>
    <t>DES</t>
  </si>
  <si>
    <t>Penyusutan Jan s/d Des 2017</t>
  </si>
  <si>
    <t>4</t>
  </si>
  <si>
    <t>Akumulasi Penyusutan PT. Ayers Asia Asset Management</t>
  </si>
  <si>
    <t>Komputer</t>
  </si>
  <si>
    <t>Monitror LED LG 20</t>
  </si>
  <si>
    <t>13 Unit Speaker Logitech</t>
  </si>
  <si>
    <t>Komputer+ SoftWindows 10 Pro</t>
  </si>
  <si>
    <t>Microsoft Office Home &amp; Business 2016</t>
  </si>
  <si>
    <t>Printer Epson L 360</t>
  </si>
  <si>
    <t>Printer Laser Jet Pro</t>
  </si>
  <si>
    <t>Printer HP (Print, Scan, Copy)</t>
  </si>
  <si>
    <t>Printer HP LaserJet Pro</t>
  </si>
  <si>
    <t>PC Bulid UP</t>
  </si>
  <si>
    <t>Net Linksys N300</t>
  </si>
  <si>
    <t>Lisensi Router Level 6</t>
  </si>
  <si>
    <t>1 Unit Telp Panasonic Digital 7730</t>
  </si>
  <si>
    <t>19 Unit Telp Panasonic Analog 500</t>
  </si>
  <si>
    <t xml:space="preserve">4 Unit Telp Panasonic Analog Speaker Phone </t>
  </si>
  <si>
    <t>Biaya Penyusutan</t>
  </si>
  <si>
    <t>Acc Penyusutan Peralatan Kantor</t>
  </si>
  <si>
    <t>Biaya Professional Fee</t>
  </si>
  <si>
    <t xml:space="preserve">     Pendapatan MI Fee </t>
  </si>
  <si>
    <t>Selisih Kurs atas Modal Disetor</t>
  </si>
  <si>
    <t>Selisih kurs atas modal disetor</t>
  </si>
  <si>
    <t xml:space="preserve">     Selisih Kurs</t>
  </si>
  <si>
    <t>2017</t>
  </si>
  <si>
    <t>Ayers</t>
  </si>
  <si>
    <t>Audited</t>
  </si>
  <si>
    <t>Perbook</t>
  </si>
  <si>
    <t>Ayers Alliance Wealth Management Ltd</t>
  </si>
  <si>
    <t>Biaya Pajak PPh 21</t>
  </si>
  <si>
    <t>PC Server Dinamis</t>
  </si>
  <si>
    <t>1 Set LCD &amp; LKVM 8 KVM</t>
  </si>
  <si>
    <t>Water Dispenser</t>
  </si>
  <si>
    <t>Vacuum Cleaner</t>
  </si>
  <si>
    <t>Refrigerator</t>
  </si>
  <si>
    <t>Microwave</t>
  </si>
  <si>
    <r>
      <t>Piutang r</t>
    </r>
    <r>
      <rPr>
        <i/>
        <sz val="10"/>
        <rFont val="Nirmala UI"/>
        <family val="2"/>
      </rPr>
      <t xml:space="preserve">everse repo </t>
    </r>
    <r>
      <rPr>
        <sz val="10"/>
        <rFont val="Nirmala UI"/>
        <family val="2"/>
      </rPr>
      <t>- bersih</t>
    </r>
  </si>
  <si>
    <r>
      <t xml:space="preserve">Pembelian piutang </t>
    </r>
    <r>
      <rPr>
        <i/>
        <sz val="10"/>
        <rFont val="Nirmala UI"/>
        <family val="2"/>
      </rPr>
      <t>reverse repo</t>
    </r>
  </si>
  <si>
    <t>TV LG 42"</t>
  </si>
  <si>
    <t>5 Monitor Samsung</t>
  </si>
  <si>
    <t>Logo</t>
  </si>
  <si>
    <t>GlassBoard A 1 Unit</t>
  </si>
  <si>
    <t>6 Unit Glassboard B</t>
  </si>
  <si>
    <t>PERALATAN KANTOR</t>
  </si>
  <si>
    <t>PERABOTAN KANTOR</t>
  </si>
  <si>
    <t>Hanging Cabinet for Settlement</t>
  </si>
  <si>
    <t>Filling Cabinet Director 1</t>
  </si>
  <si>
    <t>Filling Cabinet Director 2</t>
  </si>
  <si>
    <t>Filing Cabinet Accounting</t>
  </si>
  <si>
    <t>Pantry Cabinet</t>
  </si>
  <si>
    <t>Dealing Cabinet</t>
  </si>
  <si>
    <t>Investment Working Table</t>
  </si>
  <si>
    <t>Investment Cabinet</t>
  </si>
  <si>
    <t>Compliance Cabinet</t>
  </si>
  <si>
    <t>Working Desk Settlement (2 Unit)</t>
  </si>
  <si>
    <t>Side Desk Settlement (2 Unit)</t>
  </si>
  <si>
    <t>Working Desk Director 1&amp;2 (2 Unit)</t>
  </si>
  <si>
    <t>Side Desk Director 1&amp;2 (2 Unit)</t>
  </si>
  <si>
    <t>Working Desk Accounting (2 Unit)</t>
  </si>
  <si>
    <t>Side Desk Accounting (2 Unit)</t>
  </si>
  <si>
    <t>Dealing Working Table (2 Unit)</t>
  </si>
  <si>
    <t>Compliance Working Table(2 Unit)</t>
  </si>
  <si>
    <t>Compliance Side Table (2 Unit)</t>
  </si>
  <si>
    <t>Balance</t>
  </si>
  <si>
    <t>Laba / (Rugi) Selisih Kurs</t>
  </si>
  <si>
    <t>Fax</t>
  </si>
  <si>
    <t>Biaya Konsumsi</t>
  </si>
  <si>
    <t>Acc Penyusutan Perabotan Kantor</t>
  </si>
  <si>
    <t>Biaya Keperluan kantor</t>
  </si>
  <si>
    <t>Biaya Keperluan pantry</t>
  </si>
  <si>
    <t>Biaya ATK</t>
  </si>
  <si>
    <t>Software Dinamis</t>
  </si>
  <si>
    <t>Hutang Pajak PPh 21</t>
  </si>
  <si>
    <t>ASSETS</t>
  </si>
  <si>
    <t>Cash and cash equivalents</t>
  </si>
  <si>
    <t>Marketable securities - Net</t>
  </si>
  <si>
    <t>Piutang usaha</t>
  </si>
  <si>
    <t xml:space="preserve">Account receivables </t>
  </si>
  <si>
    <t>Other receivables</t>
  </si>
  <si>
    <t>Prepaid Expenses</t>
  </si>
  <si>
    <t>Fixed assets</t>
  </si>
  <si>
    <t>Taxes payable</t>
  </si>
  <si>
    <t>Other payables</t>
  </si>
  <si>
    <t>Accrued expenses</t>
  </si>
  <si>
    <t>TOTAL ASSETS</t>
  </si>
  <si>
    <t>TOTAL ASET</t>
  </si>
  <si>
    <t>TOTAL LIABILITAS</t>
  </si>
  <si>
    <t>TOTAL EKUITAS</t>
  </si>
  <si>
    <t>TOTAL LIABILITIES</t>
  </si>
  <si>
    <t>TOTAL EQUITY</t>
  </si>
  <si>
    <t>TOTAL LIABILITIES AND EQUITY</t>
  </si>
  <si>
    <t>TOTAL LIABILITAS DAN EKUITAS</t>
  </si>
  <si>
    <t>Aset tetap - neto</t>
  </si>
  <si>
    <t>Modal saham - nilai nominal Rp 10.000 per saham</t>
  </si>
  <si>
    <t>Capital stock - nominal amount Rp 10.000 per share</t>
  </si>
  <si>
    <t>Modal ditempatkan dan disetor - 2.500.000 saham</t>
  </si>
  <si>
    <t>Modal dasar - 2.500.000 saham</t>
  </si>
  <si>
    <t>Authorized - 2.500.000 shares</t>
  </si>
  <si>
    <t xml:space="preserve">Unrealized gain/(loss) </t>
  </si>
  <si>
    <t>from available-for-sale financial assets</t>
  </si>
  <si>
    <t>dari aset keuangan tersedia untuk dijual</t>
  </si>
  <si>
    <t>Liabilities for employee service benefits</t>
  </si>
  <si>
    <t>Issued and fully paid-in capital  - 2.500.000 shares</t>
  </si>
  <si>
    <t>Additional paid-in capital</t>
  </si>
  <si>
    <t>Retained earnings</t>
  </si>
  <si>
    <t>STATEMENTS OF FINANCIAL POSITION</t>
  </si>
  <si>
    <t>(Disajikan dalam Rupiah, kecuali dinyatakan lain)</t>
  </si>
  <si>
    <t>(Expressed in Rupiah, unless otherwise stated)</t>
  </si>
  <si>
    <t>LAPORAN LABA RUGI DAN PENGHASILAN KOMPREHENSIF LAIN</t>
  </si>
  <si>
    <t>STATEMENT OF PROFIT OR LOSS AND OTHER COMPREHENSIVE INCOME</t>
  </si>
  <si>
    <t>OPERATING REVENUES</t>
  </si>
  <si>
    <t>TOTAL PENDAPATAN USAHA</t>
  </si>
  <si>
    <t>TOTAL BEBAN USAHA</t>
  </si>
  <si>
    <t>TOTAL OPERATING REVENUES</t>
  </si>
  <si>
    <t>OPERATING EXPENSES</t>
  </si>
  <si>
    <t>TOTAL OPERATING EXPENSES</t>
  </si>
  <si>
    <t>OPERATING INCOME/(LOSS)</t>
  </si>
  <si>
    <t>TOTAL PENGHASILAN (BEBAN) LAIN-LAIN</t>
  </si>
  <si>
    <t>TOTAL OPERATING INCOME/(LOSS)</t>
  </si>
  <si>
    <t>INCOME/(LOSS) BEFORE TAX</t>
  </si>
  <si>
    <t>BEBAN PAJAK</t>
  </si>
  <si>
    <t>TAX EXPENSES</t>
  </si>
  <si>
    <t>LABA (RUGI) BERSIH TAHUN BERJALAN</t>
  </si>
  <si>
    <t>NET INCOME/(LOSS) FOR THE YEAR</t>
  </si>
  <si>
    <t>OTHER COMPREHENSIVE INCOME</t>
  </si>
  <si>
    <t>Penghasilan yang tidak direklasifikasikan ke laba rugi:</t>
  </si>
  <si>
    <t>Pengukuran kembali atas imbalan kerja karyawan</t>
  </si>
  <si>
    <t>Item that will not be reclassified to profit or loss:</t>
  </si>
  <si>
    <t>Remeasurements of employee benefit</t>
  </si>
  <si>
    <t>TOTAL LABA (RUGI) KOMPREHENSIF TAHUN BERJALAN</t>
  </si>
  <si>
    <t>Pendapatan bunga - bersih</t>
  </si>
  <si>
    <t>Interest income - net</t>
  </si>
  <si>
    <t>Keuntungan/(kerugian) perdagangan efek - bersih</t>
  </si>
  <si>
    <t>Gain/(Loss) on trading of marketable securities - net</t>
  </si>
  <si>
    <t>Sewa kantor</t>
  </si>
  <si>
    <t>Office rental</t>
  </si>
  <si>
    <t>Professional fees</t>
  </si>
  <si>
    <t>General and administration</t>
  </si>
  <si>
    <t>Umum dan administrasi</t>
  </si>
  <si>
    <t>Marketing expenses</t>
  </si>
  <si>
    <t>Insurance</t>
  </si>
  <si>
    <t>Others</t>
  </si>
  <si>
    <t>Interest income from current account</t>
  </si>
  <si>
    <t>Others - net</t>
  </si>
  <si>
    <t>Foreign exchange (loss) gain - net</t>
  </si>
  <si>
    <t>(Rugi)/laba selisih kurs -bersih</t>
  </si>
  <si>
    <t>STATEMENT OF CHANGES IN EQUITY</t>
  </si>
  <si>
    <t>Rugi komprehensif</t>
  </si>
  <si>
    <t>Comprehensive Loss</t>
  </si>
  <si>
    <t>TOTAL COMPREHENSIVE INCOME/(LOSS) FOR THE YEAR</t>
  </si>
  <si>
    <t>for the year</t>
  </si>
  <si>
    <t>Modal saham /</t>
  </si>
  <si>
    <t>Capital stock</t>
  </si>
  <si>
    <t xml:space="preserve">Saldo laba / </t>
  </si>
  <si>
    <t>Jumlah Ekuitas /</t>
  </si>
  <si>
    <t xml:space="preserve">Total Equity </t>
  </si>
  <si>
    <t>STATEMENT OF CASH FLOWS</t>
  </si>
  <si>
    <t>CASH FLOWS FROM OPERATING ACTIVITIES</t>
  </si>
  <si>
    <t>CASH FLOWS FROM INVESTING ACTIVITIES</t>
  </si>
  <si>
    <t>CASH FLOWS FROM FINANCING ACTIVITIES</t>
  </si>
  <si>
    <t>Net cash provided by (used in) investing activities</t>
  </si>
  <si>
    <t>Net cash provided by (used in) financing activities</t>
  </si>
  <si>
    <t>NET INCREASE (DECREASE) IN CASH AND CASH EQUIVALENTS</t>
  </si>
  <si>
    <t>KENAIKAN (PENURUNAN) BERSIH KAS DAN SETARA KAS</t>
  </si>
  <si>
    <t>CASH AND CASH EQUIVALENTS AT BEGINNING OF YEAR</t>
  </si>
  <si>
    <t>CASH AND CASH EQUIVALENTS AT END OF YEAR</t>
  </si>
  <si>
    <t>Receipt from investment management fees</t>
  </si>
  <si>
    <t>Pembelian aset tetap</t>
  </si>
  <si>
    <t>Acquisition of fixed assets</t>
  </si>
  <si>
    <t>Proceed from sale of fixed assets</t>
  </si>
  <si>
    <t>Purchase of marketable securities</t>
  </si>
  <si>
    <t>Sale of marketable securities</t>
  </si>
  <si>
    <t>Receipt from interest</t>
  </si>
  <si>
    <t>Payment of income tax</t>
  </si>
  <si>
    <t>Receipt (payment) from related parties</t>
  </si>
  <si>
    <t>Payment to suppliers and employees</t>
  </si>
  <si>
    <t>Other receipt (payment) - net</t>
  </si>
  <si>
    <t>Penerimaan (pembayaran) lain-lain - bersih</t>
  </si>
  <si>
    <t>Kas Bersih Diperoleh Dari (Digunakan Untuk) Aktivitas Operasi</t>
  </si>
  <si>
    <t>Net cash provided by (used in) operating activities</t>
  </si>
  <si>
    <t>Payable to related parties</t>
  </si>
  <si>
    <t>Sumbangan dan jamuan</t>
  </si>
  <si>
    <t xml:space="preserve">Jamuan dan sumbangan </t>
  </si>
  <si>
    <t>Dues and permits</t>
  </si>
  <si>
    <t>Mesin Absensi</t>
  </si>
  <si>
    <t>Mesin Access Control</t>
  </si>
  <si>
    <t>Hanging Cabinet for Accounting'</t>
  </si>
  <si>
    <t>F/A</t>
  </si>
  <si>
    <t>Kas dan setara kas</t>
  </si>
  <si>
    <t>001/AJPUSD</t>
  </si>
  <si>
    <t>Biaya transportasi</t>
  </si>
  <si>
    <t>1820/001/AAAM/04/2017</t>
  </si>
  <si>
    <t>1820/002/AAAM/04/2017</t>
  </si>
  <si>
    <t>1820/003/AAAM/04/2018</t>
  </si>
  <si>
    <t>1820/004/AAAM/04/2018</t>
  </si>
  <si>
    <t>1820/005/AAAM/04/2019</t>
  </si>
  <si>
    <t>1820/006/AAAM/04/2017</t>
  </si>
  <si>
    <t>1820/007/AAAM/04/2017</t>
  </si>
  <si>
    <t>1820/008/AAAM/04/2017</t>
  </si>
  <si>
    <t>1820/009/AAAM/04/2017</t>
  </si>
  <si>
    <t>1820/010/AAAM/04/2017</t>
  </si>
  <si>
    <t>1820/011/AAAM/04/2017</t>
  </si>
  <si>
    <t>1820/012/AAAM/04/2017</t>
  </si>
  <si>
    <t>1820/013/AAAM/04/2017</t>
  </si>
  <si>
    <t>1820/014/AAAM/04/2017</t>
  </si>
  <si>
    <t>1820/015/AAAM/04/2017</t>
  </si>
  <si>
    <t>1820/016/AAAM/04/2017</t>
  </si>
  <si>
    <t>1820/017/AAAM/04/2017</t>
  </si>
  <si>
    <t>1820/018/AAAM/04/2017</t>
  </si>
  <si>
    <t>1820/019/AAAM/04/2017</t>
  </si>
  <si>
    <t>1820/020/AAAM/04/2017</t>
  </si>
  <si>
    <t>1820/021/AAAM/04/2017</t>
  </si>
  <si>
    <t>1820/022/AAAM/04/2017</t>
  </si>
  <si>
    <t>1820/023/AAAM/04/2017</t>
  </si>
  <si>
    <t>1820/024/AAAM/04/2017</t>
  </si>
  <si>
    <t>1820/025/AAAM/04/2017</t>
  </si>
  <si>
    <t>1820/026/AAAM/04/2017</t>
  </si>
  <si>
    <t>1820/027/AAAM/04/2017</t>
  </si>
  <si>
    <t>1820/028/AAAM/04/2017</t>
  </si>
  <si>
    <t>1820/029/AAAM/04/2017</t>
  </si>
  <si>
    <t>1820/030/AAAM/04/2017</t>
  </si>
  <si>
    <t>1820/031/AAAM/04/2017</t>
  </si>
  <si>
    <t>1820/032/AAAM/04/2017</t>
  </si>
  <si>
    <t>1820/033/AAAM/04/2017</t>
  </si>
  <si>
    <t>1820/034/AAAM/04/2017</t>
  </si>
  <si>
    <t>1820/035/AAAM/04/2017</t>
  </si>
  <si>
    <t>1820/036/AAAM/04/2017</t>
  </si>
  <si>
    <t>1820/037/AAAM/04/2017</t>
  </si>
  <si>
    <t>1820/038/AAAM/05/2017</t>
  </si>
  <si>
    <t>1820/039/AAAM/05/2017</t>
  </si>
  <si>
    <t>1820/040/AAAM/05/2017</t>
  </si>
  <si>
    <t>1820/041/AAAM/05/2017</t>
  </si>
  <si>
    <t>1820/042/AAAM/05/2017</t>
  </si>
  <si>
    <t>1820/043/AAAM/05/2017</t>
  </si>
  <si>
    <t>1820/044/AAAM/05/2017</t>
  </si>
  <si>
    <t>1820/045/AAAM/05/2017</t>
  </si>
  <si>
    <t>1820/067/AAAM/05/2017</t>
  </si>
  <si>
    <t>1820/069/AAAM/06/2017</t>
  </si>
  <si>
    <t>1820/070/AAAM/06/2017</t>
  </si>
  <si>
    <t>1810/046/AAAM/05/2017</t>
  </si>
  <si>
    <t>1810/071/AAAM/06/2017</t>
  </si>
  <si>
    <t>1810/047/AAAM/05/2017</t>
  </si>
  <si>
    <t>1810/048/AAAM/05/2017</t>
  </si>
  <si>
    <t>1810/049/AAAM/05/2017</t>
  </si>
  <si>
    <t>1810/050/AAAM/05/2017</t>
  </si>
  <si>
    <t>1810/060/AAAM/05/2017</t>
  </si>
  <si>
    <t>1810/051/AAAM/05/2017</t>
  </si>
  <si>
    <t>1810/052/AAAM/05/2017</t>
  </si>
  <si>
    <t>1810/053/AAAM/05/2017</t>
  </si>
  <si>
    <t>1810/054/AAAM/05/2017</t>
  </si>
  <si>
    <t>1810/055/AAAM/05/2017</t>
  </si>
  <si>
    <t>1810/056/AAAM/05/2017</t>
  </si>
  <si>
    <t>1810/057/AAAM/05/2017</t>
  </si>
  <si>
    <t>1810/058/AAAM/05/2017</t>
  </si>
  <si>
    <t>1810/059/AAAM/05/2017</t>
  </si>
  <si>
    <t>1810/061/AAAM/05/2017</t>
  </si>
  <si>
    <t>1810/062/AAAM/05/2017</t>
  </si>
  <si>
    <t>1810/063/AAAM/05/2017</t>
  </si>
  <si>
    <t>1810/064/AAAM/05/2017</t>
  </si>
  <si>
    <t>1810/065/AAAM/05/2017</t>
  </si>
  <si>
    <t>1810/066/AAAM/05/2017</t>
  </si>
  <si>
    <t>Projector Infocus</t>
  </si>
  <si>
    <t>Laptop Asus</t>
  </si>
  <si>
    <t>1820/072/AAAM/08/2017</t>
  </si>
  <si>
    <t>1820/073/AAAM/08/2017</t>
  </si>
  <si>
    <t>Rounding</t>
  </si>
  <si>
    <t>002/AJPUSD</t>
  </si>
  <si>
    <t>Gain/(Loss) Foreign Currency</t>
  </si>
  <si>
    <t>Petty Cash</t>
  </si>
  <si>
    <t>Gaji dan tunjangan karyawan</t>
  </si>
  <si>
    <t>Compensation and benefits</t>
  </si>
  <si>
    <t>Donation and entertainment</t>
  </si>
  <si>
    <t>Penyusutan aset tetap</t>
  </si>
  <si>
    <t>Fixed asset depreciation</t>
  </si>
  <si>
    <t>Maintenance Office Equipment</t>
  </si>
  <si>
    <t>Transportation &amp; travel</t>
  </si>
  <si>
    <t>Deposito Bank CCB - IDR</t>
  </si>
  <si>
    <t>Deposito Bank CCB - USD</t>
  </si>
  <si>
    <t>OTHER INCOME / (EXPENSES)</t>
  </si>
  <si>
    <t>Vehicles</t>
  </si>
  <si>
    <t>Mazda Biante</t>
  </si>
  <si>
    <t>Acc Penyusutan Mobil</t>
  </si>
  <si>
    <t xml:space="preserve">     Biaya penyusutan vehicles</t>
  </si>
  <si>
    <t>Selisih Kurs</t>
  </si>
  <si>
    <t>Bank CCB USD</t>
  </si>
  <si>
    <t>Bank Exp</t>
  </si>
  <si>
    <t>Bank BCA 5345348778</t>
  </si>
  <si>
    <t>EPSON L-565</t>
  </si>
  <si>
    <t>1820/075/AAAM/01/2018</t>
  </si>
  <si>
    <t>Nilai Buku Awal Tahun 2018</t>
  </si>
  <si>
    <t>Penyusutan Jan s/d Des 2018</t>
  </si>
  <si>
    <t>Nilai Buku Des 2018</t>
  </si>
  <si>
    <t>Monitor LED LG24 Inch</t>
  </si>
  <si>
    <t>1820/076/AAAM/01/2018</t>
  </si>
  <si>
    <t>BankBCA</t>
  </si>
  <si>
    <t>BankCCB</t>
  </si>
  <si>
    <t>Overbooked CCB to BCA for Operational Exp</t>
  </si>
  <si>
    <t>Saldo per 1 Januari 2018</t>
  </si>
  <si>
    <t>Balance as of January 1 , 2018</t>
  </si>
  <si>
    <t>003/AJPUSD</t>
  </si>
  <si>
    <t>Bank BCA 5245348778</t>
  </si>
  <si>
    <t>Utang pajak PPh 26</t>
  </si>
  <si>
    <t>Biaya Iuran TV Cable</t>
  </si>
  <si>
    <t>Saldo laba ditahan</t>
  </si>
  <si>
    <t>2018</t>
  </si>
  <si>
    <t>Saldo Laba ditahan</t>
  </si>
  <si>
    <t>Biaya Marketing</t>
  </si>
  <si>
    <t>BCA Out</t>
  </si>
  <si>
    <t>Biaya Lembur</t>
  </si>
  <si>
    <t>Perlengkapan kantor</t>
  </si>
  <si>
    <t>Entertainment Exp</t>
  </si>
  <si>
    <t>BPJS Ketenagakerjaan</t>
  </si>
  <si>
    <t>Internet Fee</t>
  </si>
  <si>
    <t>1820/077/AAAM/02/2018</t>
  </si>
  <si>
    <t>Computer for Marketing</t>
  </si>
  <si>
    <t>1820/078/AAAM/02/2018</t>
  </si>
  <si>
    <t>Telp Exp</t>
  </si>
  <si>
    <t>Biaya Internet</t>
  </si>
  <si>
    <t>Biaya keperluan kantor</t>
  </si>
  <si>
    <t>Konsumsi</t>
  </si>
  <si>
    <t>Pemeliharaan software</t>
  </si>
  <si>
    <t>Materai</t>
  </si>
  <si>
    <t>Komunikasi</t>
  </si>
  <si>
    <t>Biaya pelatihan karyawan</t>
  </si>
  <si>
    <t>Iuran berlangganan aplikasi</t>
  </si>
  <si>
    <t>Biaya Instalasi</t>
  </si>
  <si>
    <t>Fuel</t>
  </si>
  <si>
    <t>Consumption</t>
  </si>
  <si>
    <t>Printer for Commissioner</t>
  </si>
  <si>
    <t>1820/079/AAAM/03/2018</t>
  </si>
  <si>
    <t>Safe Deposit for Commssioner</t>
  </si>
  <si>
    <t>1820/080/AAAM/03/2018</t>
  </si>
  <si>
    <t>Avanza Veloz</t>
  </si>
  <si>
    <t xml:space="preserve">     Biaya Bunga Leasing</t>
  </si>
  <si>
    <t>Perjalanan Dinas</t>
  </si>
  <si>
    <t>Biaya Marketing tool</t>
  </si>
  <si>
    <t>Interest Income</t>
  </si>
  <si>
    <t>004/AJPUSD</t>
  </si>
  <si>
    <t>Delivery Doc</t>
  </si>
  <si>
    <t>Hutang Lain-lain</t>
  </si>
  <si>
    <t>Biaya Bank trf to BCA</t>
  </si>
  <si>
    <t>Marketing tool</t>
  </si>
  <si>
    <t>Biaya Gaji</t>
  </si>
  <si>
    <t>Biaya Tunjangan Jamsostek</t>
  </si>
  <si>
    <t>BPJS Ketenagakerjaan Ayers</t>
  </si>
  <si>
    <t>Biaya Tunjangan BPJS Ketenagakerjaan (Karyawan)</t>
  </si>
  <si>
    <t>Hutang Jamsostek</t>
  </si>
  <si>
    <t>BPJS Ketenagakerjaan 2018</t>
  </si>
  <si>
    <t>005/AJPUSD</t>
  </si>
  <si>
    <t>001/AJP</t>
  </si>
  <si>
    <t>002/AJP</t>
  </si>
  <si>
    <t>Cadangan RD</t>
  </si>
  <si>
    <t>Unrealized Gain/Loss RD MMF</t>
  </si>
  <si>
    <t>Unrealized RD MMF</t>
  </si>
  <si>
    <t>Unrealized RD GBF</t>
  </si>
  <si>
    <t>Office Sign ( Logo )</t>
  </si>
  <si>
    <t>Pendapatan MI Fee</t>
  </si>
  <si>
    <t>Biaya Pajak</t>
  </si>
  <si>
    <t>Hutang PPN</t>
  </si>
  <si>
    <t xml:space="preserve">     Pendapatan MI Fee RD Government Bond</t>
  </si>
  <si>
    <t xml:space="preserve">     Pendapatan MI Fee Money Market</t>
  </si>
  <si>
    <t>Utang Pajak PPN</t>
  </si>
  <si>
    <t>Marketing Kit</t>
  </si>
  <si>
    <t>Payment for Iuran BPJS Ketenagakerjaan</t>
  </si>
  <si>
    <t>Petty Cash &amp; Operational Exp</t>
  </si>
  <si>
    <t>1820/082/AAAM/05/2018</t>
  </si>
  <si>
    <t>1810/083/AAAM/05/2018</t>
  </si>
  <si>
    <t>Hutang Lain-Lain</t>
  </si>
  <si>
    <t>003/AJP</t>
  </si>
  <si>
    <t>Piutang Management Fee</t>
  </si>
  <si>
    <t>VAT for MI Fee RD MMF</t>
  </si>
  <si>
    <t>PPh 23 for MI Fee RD MMF</t>
  </si>
  <si>
    <t>004/AJP</t>
  </si>
  <si>
    <t>PPh 23 for MI Fee RD GBF</t>
  </si>
  <si>
    <t>VAT for MI Fee RD GBF</t>
  </si>
  <si>
    <t>Pendapatan Subscription Fee</t>
  </si>
  <si>
    <t>Bank Out USD</t>
  </si>
  <si>
    <t>Bank in IDR</t>
  </si>
  <si>
    <t>005/AJP</t>
  </si>
  <si>
    <t>006/AJP</t>
  </si>
  <si>
    <t>Selisih Kurs Deposito USD</t>
  </si>
  <si>
    <t>Pendapatan jasa giro</t>
  </si>
  <si>
    <t>Jasa Pengelolaan Investasi  dan jasa pemesanan</t>
  </si>
  <si>
    <t>Investment management services and subscription</t>
  </si>
  <si>
    <t>and redemption services</t>
  </si>
  <si>
    <t>dan pelepasan</t>
  </si>
  <si>
    <t>Biaya Bloomberg</t>
  </si>
  <si>
    <t>Tax Payable PPh 26</t>
  </si>
  <si>
    <t>Tax Payable PPh 26 for Bloomberg Service</t>
  </si>
  <si>
    <t>Exchange Foreign Rate</t>
  </si>
  <si>
    <t>Selisih atas kurs Pajak</t>
  </si>
  <si>
    <t>Admin Bank</t>
  </si>
  <si>
    <t>Full Amount TT to Payment Bloomberg</t>
  </si>
  <si>
    <t>Provisi TT to Payment Bloomberg</t>
  </si>
  <si>
    <t>Biaya Bank</t>
  </si>
  <si>
    <t>Subscription Fee</t>
  </si>
  <si>
    <t>Hutang PPh 21</t>
  </si>
  <si>
    <t>Biaya Bunga Leasing</t>
  </si>
  <si>
    <t>PPh 23 for MI Fee RD EIS</t>
  </si>
  <si>
    <t>VAT for MI Fee RD EIS</t>
  </si>
  <si>
    <t>Kurs Jul 26, 2018</t>
  </si>
  <si>
    <t>Kurs Jul 31, 2018</t>
  </si>
  <si>
    <t>Balance 31 Jul 2018</t>
  </si>
  <si>
    <t>Bank In IDR</t>
  </si>
  <si>
    <t>Kurs Jul 27, 2018</t>
  </si>
  <si>
    <t>Balance 27 Jul 2018</t>
  </si>
  <si>
    <t>Kurs Jul 30, 2018</t>
  </si>
  <si>
    <t>Balance 30 Jul 2018</t>
  </si>
  <si>
    <t>Deposito CCB USD</t>
  </si>
  <si>
    <t>006/AJPUSD</t>
  </si>
  <si>
    <t>DEPOSIT</t>
  </si>
  <si>
    <t>Unrealized Gain/Loss RD GBF</t>
  </si>
  <si>
    <t>Unrealized RD EIS</t>
  </si>
  <si>
    <t xml:space="preserve">     Pendapatan MI Fee Sri Kehati</t>
  </si>
  <si>
    <t>Piutang Lain-Lain</t>
  </si>
  <si>
    <t>Subscription Fee RD Sri Kehati</t>
  </si>
  <si>
    <t>PPh 23 for Subs Fee RD EIS</t>
  </si>
  <si>
    <t>VAT for Subs Fee RD EIS</t>
  </si>
  <si>
    <t>PPh 23 for Subs Fee RD GBF</t>
  </si>
  <si>
    <t>Subscription Fee RD GBF</t>
  </si>
  <si>
    <t>VAT for Subs Fee RD GBF</t>
  </si>
  <si>
    <t xml:space="preserve">     Pendapatan Subscription Fee &amp; Redemption Fee</t>
  </si>
  <si>
    <t>Piutang subs fee / redempt fee</t>
  </si>
  <si>
    <t>.</t>
  </si>
  <si>
    <t>BankBCA Out</t>
  </si>
  <si>
    <t>Hutang PPh 26</t>
  </si>
  <si>
    <t>Hutang PPh 21 atas Employee Income</t>
  </si>
  <si>
    <t>Hutang PPh 21 for Commissiom &amp; Subscription fee</t>
  </si>
  <si>
    <t>Lenovo</t>
  </si>
  <si>
    <t>1820/084/AAAM/08/2018</t>
  </si>
  <si>
    <t>Transportation</t>
  </si>
  <si>
    <t>Reimburse petty Cash</t>
  </si>
  <si>
    <t>Subs Fee</t>
  </si>
  <si>
    <t>Pinjaman Karyawan ( Gunawan - Driver )</t>
  </si>
  <si>
    <t>Subs Fee to Marketing</t>
  </si>
  <si>
    <t xml:space="preserve">Management Fee RD MMF </t>
  </si>
  <si>
    <t>Monthly Fee Membership Mercantille Club</t>
  </si>
  <si>
    <t>Parking</t>
  </si>
  <si>
    <t>Hutang PPh 21 for Subs fee &amp; Redemp Fee</t>
  </si>
  <si>
    <t>Stamp</t>
  </si>
  <si>
    <t>31/08/2018</t>
  </si>
  <si>
    <t>Kurs Aug 31, 2018</t>
  </si>
  <si>
    <t>Balance 31 Aug 2018</t>
  </si>
  <si>
    <t>Subscription Fee RD EIS</t>
  </si>
  <si>
    <t xml:space="preserve">Management Fee RD GBF </t>
  </si>
  <si>
    <t xml:space="preserve">Management Fee RD EIS </t>
  </si>
  <si>
    <t>Subs  Fee to Marketing</t>
  </si>
  <si>
    <t>Fotocopy</t>
  </si>
  <si>
    <t>Office Equipment</t>
  </si>
  <si>
    <t>Biaya Pengobatan</t>
  </si>
  <si>
    <t>Hutang PPh 23</t>
  </si>
  <si>
    <t xml:space="preserve">Interest Income from Deposito USD 150.000 </t>
  </si>
  <si>
    <t xml:space="preserve">PT Ayers Asia Asset Management </t>
  </si>
  <si>
    <t>REKSA DANA</t>
  </si>
  <si>
    <t>Volume</t>
  </si>
  <si>
    <t>Book Value</t>
  </si>
  <si>
    <t>MV H-1</t>
  </si>
  <si>
    <t>StockVal</t>
  </si>
  <si>
    <t>MarketVal</t>
  </si>
  <si>
    <t>Realized Gain/(Loss)</t>
  </si>
  <si>
    <t>Unrealized Gain/(Loss)</t>
  </si>
  <si>
    <t>RD Ayers MMF</t>
  </si>
  <si>
    <t>Withdraw  Deposito USD 150.000</t>
  </si>
  <si>
    <t>Transfer to CCB IDR for Operational Kurs Rp 14.780</t>
  </si>
  <si>
    <t>Piutang penjualan efek</t>
  </si>
  <si>
    <t>Unrealized RD</t>
  </si>
  <si>
    <t>Cadangan Nilai Portfolio</t>
  </si>
  <si>
    <t>Pending redemption</t>
  </si>
  <si>
    <t>Realized Gain Switching</t>
  </si>
  <si>
    <t>Unrealized Portfolio RD MMF</t>
  </si>
  <si>
    <t>Realized RD MMF</t>
  </si>
  <si>
    <t>Bank</t>
  </si>
  <si>
    <t>Bank Expenses</t>
  </si>
  <si>
    <t>Transportation Exp meeting with client</t>
  </si>
  <si>
    <t>Entertainment</t>
  </si>
  <si>
    <t xml:space="preserve">    Biaya pajak PPh</t>
  </si>
  <si>
    <t>Biaya Dibayar Dimuka</t>
  </si>
  <si>
    <t>Pajak dibayar Dimuka</t>
  </si>
  <si>
    <t>Prepaid Taxes</t>
  </si>
  <si>
    <t>Uang Jaminan</t>
  </si>
  <si>
    <t>Security Deposit</t>
  </si>
  <si>
    <t>PER 30 OCT 2018</t>
  </si>
  <si>
    <t>Tanggal 31 OCTOBER 2018</t>
  </si>
  <si>
    <t>As of OCTOBER 31, 2018</t>
  </si>
  <si>
    <t>31 Oct 2018</t>
  </si>
  <si>
    <t>31 Oct 2017</t>
  </si>
  <si>
    <t>Untuk Periode Yang Berakhir 31 Oktober 2018</t>
  </si>
  <si>
    <t>For The Period Ended October 31, 2018</t>
  </si>
  <si>
    <t>UNTUK PERIODE YANG BERAKHIR 31 OKTOBER 2018</t>
  </si>
  <si>
    <t>FOR THE PERIOD ENDED OCTOBER 31, 2018</t>
  </si>
  <si>
    <t>Saldo per 31 Oktober 2018</t>
  </si>
  <si>
    <t>Balance as of October 31, 2018</t>
  </si>
  <si>
    <t>31 Oktober 2018</t>
  </si>
  <si>
    <t>25 Okt 2018</t>
  </si>
  <si>
    <t>001/IDR10</t>
  </si>
  <si>
    <t>Payment for Bloomberg Services for 04  Sep 2018 - 03 Des 2018</t>
  </si>
  <si>
    <t>01 Oct 2018</t>
  </si>
  <si>
    <t>001/USD10</t>
  </si>
  <si>
    <t>002/USD10</t>
  </si>
  <si>
    <t>003/USD10</t>
  </si>
  <si>
    <t>Kurs 01 Oct 2018</t>
  </si>
  <si>
    <t>Balance 01 Oct 2018</t>
  </si>
  <si>
    <t>Balance 30 Sep 2018</t>
  </si>
  <si>
    <t>Pendapatan bunga jasa giro Oct 2018</t>
  </si>
  <si>
    <t>04 Oct 2018</t>
  </si>
  <si>
    <t>002/IDR10</t>
  </si>
  <si>
    <t>05 Oct 2018</t>
  </si>
  <si>
    <t>003/IDR10</t>
  </si>
  <si>
    <t>004/IDR10</t>
  </si>
  <si>
    <t>005/IDR10</t>
  </si>
  <si>
    <t>006/IDR10</t>
  </si>
  <si>
    <t>10 Oct 2018</t>
  </si>
  <si>
    <t>007/IDR10</t>
  </si>
  <si>
    <t>Kekurangan atas pembayaran pajak komisi</t>
  </si>
  <si>
    <t>001/BCA10</t>
  </si>
  <si>
    <t>002/BCA10</t>
  </si>
  <si>
    <t xml:space="preserve">New Cheque Book </t>
  </si>
  <si>
    <t>Service charge</t>
  </si>
  <si>
    <t>Sinking Fund</t>
  </si>
  <si>
    <t>Service charge 3 Month for New Office Okt - Des</t>
  </si>
  <si>
    <t>VAT for Service charge 3 Month for New Office Okt - Des</t>
  </si>
  <si>
    <t>Sinking Fund 3 Month for New Office Okt - Des</t>
  </si>
  <si>
    <t>VAT for Sinking Fund 3 Month for New Office Okt - Des</t>
  </si>
  <si>
    <t>Service charge &amp; Sinking Fund 3 Month for New Office Okt - Des</t>
  </si>
  <si>
    <t>Electricity</t>
  </si>
  <si>
    <t>Stamp Duty</t>
  </si>
  <si>
    <t>Electricity Period from 21 Aug - 20 Sep 2018</t>
  </si>
  <si>
    <t>VAT for Electricity Period from 21 Aug - 20 Sep 2018</t>
  </si>
  <si>
    <t>Bank Exp for transfer to Other Bank</t>
  </si>
  <si>
    <t>TV Cable</t>
  </si>
  <si>
    <t>Stamp payment Internet &amp; TV Cable</t>
  </si>
  <si>
    <t>Monthly fee Internet Sep 24 - Oct 23</t>
  </si>
  <si>
    <t>Monthly fee Internet  Sep 24 - Oct 23</t>
  </si>
  <si>
    <t>Monthly fee Internet &amp; TV Cable  Sep 24 - Oct 23</t>
  </si>
  <si>
    <t>Interest Exp Car Installment 8 of 24</t>
  </si>
  <si>
    <t>Car Installment 8 of 24</t>
  </si>
  <si>
    <t>003/BCA10</t>
  </si>
  <si>
    <t>004/BCA10</t>
  </si>
  <si>
    <t>005/BCA10</t>
  </si>
  <si>
    <t>006/BCA10</t>
  </si>
  <si>
    <t xml:space="preserve">       Biaya Electricity &amp; PAM</t>
  </si>
  <si>
    <t xml:space="preserve">     Biaya Service Charge</t>
  </si>
  <si>
    <t xml:space="preserve">     Biaya Sinking Fund</t>
  </si>
  <si>
    <t>Ticket Exp to Surabaya for Mr Ho Wai Tak 02 - 04 Oct</t>
  </si>
  <si>
    <t>Hotel Exp at Surabaya for Mr Ho Wai Tak 02 - 04 Oct</t>
  </si>
  <si>
    <t>Ticket Exp &amp; Hotel Exp to Surabaya for Mr Ho Wai Tak 02 - 04 Oct</t>
  </si>
  <si>
    <t>03 Oct 2018</t>
  </si>
  <si>
    <t>007/BCA10</t>
  </si>
  <si>
    <t>008/BCA10</t>
  </si>
  <si>
    <t>Income Tax PPh 4(2) for Renovation</t>
  </si>
  <si>
    <t xml:space="preserve"> Tax Payable Sept 2018</t>
  </si>
  <si>
    <t>009/BCA10</t>
  </si>
  <si>
    <t>010/BCA10</t>
  </si>
  <si>
    <t>Hutang PPh 23 for Infovesta Services</t>
  </si>
  <si>
    <t>Retur for excess payment Server Rack</t>
  </si>
  <si>
    <t>Kekurangan pembayaran pembelian toolset IT</t>
  </si>
  <si>
    <t>Fuel &amp; Parking Exp Messenger to Pick up &amp; Delivery Doc 17 Sep - 21 Sep</t>
  </si>
  <si>
    <t>Medical Gilang</t>
  </si>
  <si>
    <t>Parking exp meeting with Yankesga &amp; PT DMS</t>
  </si>
  <si>
    <t>Medical Nadya</t>
  </si>
  <si>
    <t>Parking exp meeting with client</t>
  </si>
  <si>
    <t>Transportation meeting with client ( Pak Bambang )</t>
  </si>
  <si>
    <t>Entertainment Exp meeting with client ( Pak Bambang )</t>
  </si>
  <si>
    <t>Transportation Exp ke Kantor Imigrasi</t>
  </si>
  <si>
    <t>Tips for Agent di Imigrasi</t>
  </si>
  <si>
    <t>Transportation Exp meeting with Client ( Arya )</t>
  </si>
  <si>
    <t>Transportation meeting with client ( Ivonne )</t>
  </si>
  <si>
    <t>Overtime Driver ( Yusuf ) 17 Sep - 21 Sep 2018</t>
  </si>
  <si>
    <t>Overtime Driver ( Gunawan ) 17 Sep - 21 Sep 2018</t>
  </si>
  <si>
    <t>Wire Management rack server</t>
  </si>
  <si>
    <t>Pantry needs</t>
  </si>
  <si>
    <t>Stamp 100 Pcs</t>
  </si>
  <si>
    <t>Consumption Exp ( Wincy )</t>
  </si>
  <si>
    <t>Fotocopy KIK RDPT</t>
  </si>
  <si>
    <t>Delivery Doc to Bandung</t>
  </si>
  <si>
    <t>Maintenance Line Telp</t>
  </si>
  <si>
    <t>Delivery doc to Hongkong ( Stamp )</t>
  </si>
  <si>
    <t>Fuel &amp; Parking Exp Messenger to Pick up &amp; Delivery Doc 24 Sep - 28 Sep</t>
  </si>
  <si>
    <t>Fuel Exp &amp; Parking Exp ( Avanza ) 18 Sep - 28 Sep 2018</t>
  </si>
  <si>
    <t>Fuel Exp &amp; Parking Exp ( Biante ) 18 Sep - 28 Sep 2018</t>
  </si>
  <si>
    <t>Overtime Driver ( Yusuf ) 24 Sep - 30 Sep 2018</t>
  </si>
  <si>
    <t>Overtime Driver ( Gunawan ) 24 Sep - 30 Sep 2018</t>
  </si>
  <si>
    <t>Translate Company Profile Ayers Asia</t>
  </si>
  <si>
    <t>Delivery document to Gresik</t>
  </si>
  <si>
    <t>Perjalana Dinas</t>
  </si>
  <si>
    <t>Maintenance Mobil</t>
  </si>
  <si>
    <t>Reimbursment Transportation &amp; Travel Allowance  to Bandung 28 Sep 2018</t>
  </si>
  <si>
    <t>Maintenance Exp for Avanza</t>
  </si>
  <si>
    <t>Cleaning Service Apt</t>
  </si>
  <si>
    <t>Cetak Presentation Book KPD 40 Book</t>
  </si>
  <si>
    <t>011/BCA10</t>
  </si>
  <si>
    <t>012/BCA10</t>
  </si>
  <si>
    <t>Fotocopy presentation product 20 Pax - KPD</t>
  </si>
  <si>
    <t>Maintenance Telp</t>
  </si>
  <si>
    <t>013/BCA10</t>
  </si>
  <si>
    <t>Monthly fee Internet CBN Okt 2018</t>
  </si>
  <si>
    <t>Payment for Monthly fee Internet CBN Okt 2018</t>
  </si>
  <si>
    <t>Monthly Fee Membership Mercantille Club &amp; Entertainment Exp</t>
  </si>
  <si>
    <t>Entertainment exp</t>
  </si>
  <si>
    <t>Name Card for 16 Box @ Rp 132.000</t>
  </si>
  <si>
    <t>014/BCA10</t>
  </si>
  <si>
    <t>015/BCA10</t>
  </si>
  <si>
    <t>016/BCA10</t>
  </si>
  <si>
    <t>12 Oct 2018</t>
  </si>
  <si>
    <t>017/BCA10</t>
  </si>
  <si>
    <t>KSEI Net 01 Oct - 31 Oct 2018</t>
  </si>
  <si>
    <t>Seminar</t>
  </si>
  <si>
    <t>Seminar for Product Promotion 35 Pax at Mercantille</t>
  </si>
  <si>
    <t>018/BCA10</t>
  </si>
  <si>
    <t>019/BCA10</t>
  </si>
  <si>
    <t>020/BCA10</t>
  </si>
  <si>
    <t>DP 50% Table Calendar Production</t>
  </si>
  <si>
    <t>15 Oct 2018</t>
  </si>
  <si>
    <t>021/BCA10</t>
  </si>
  <si>
    <t>Mug Ayers Asia 200 pcs @ Rp 16.000</t>
  </si>
  <si>
    <t>022/BCA10</t>
  </si>
  <si>
    <t>Transportation Exp</t>
  </si>
  <si>
    <t>023/BCA10</t>
  </si>
  <si>
    <t>024/BCA10</t>
  </si>
  <si>
    <t xml:space="preserve">Driver seminar event ayers at Bandung </t>
  </si>
  <si>
    <t>19 Oct 2018</t>
  </si>
  <si>
    <t>025/BCA10</t>
  </si>
  <si>
    <t>Consumption Exp</t>
  </si>
  <si>
    <t xml:space="preserve">Lunch Ayers Asia Asset at Rasa Restaurant </t>
  </si>
  <si>
    <t>026/BCA10</t>
  </si>
  <si>
    <t>027/BCA10</t>
  </si>
  <si>
    <t>Ticket Exp to HK for Mr Ho Wai Tak</t>
  </si>
  <si>
    <t>Ticket Exp to Surabaya for Marketing</t>
  </si>
  <si>
    <t>Hotel Exp at Bandung for Training Ayers</t>
  </si>
  <si>
    <t>Ticket Exp to Surabaya for Marketing &amp; Hotel Exp at Bandung for Training Ayers</t>
  </si>
  <si>
    <t>Travel Allowance Arya ( Marketing ) Seminar event Bandung Sep 28, 2018</t>
  </si>
  <si>
    <t>Entertainment Exp ( Pak Idrus ) - Treasury Bank Capital</t>
  </si>
  <si>
    <t>Transportation Exp to Client ( Ivvonne )</t>
  </si>
  <si>
    <t>Parking Exp visit Client ( ASABRI )</t>
  </si>
  <si>
    <t>Duplikat Kunci</t>
  </si>
  <si>
    <t>Piring Plastik</t>
  </si>
  <si>
    <t>Ticket Exp to Bandung - Seminar Event Ayers at Bandung 28 Sep 2018</t>
  </si>
  <si>
    <t>Toolset IT</t>
  </si>
  <si>
    <t>Fuel &amp; Parking Exp Messenger to Pick up &amp; Delivery Doc 01 Oct - 05 Oct</t>
  </si>
  <si>
    <t>Entertainment Exp ( Birthday cake Pak Kiki )</t>
  </si>
  <si>
    <t>Overtime Driver ( Yusuf ) 04 Oct - 07 Oct</t>
  </si>
  <si>
    <t>Overtime Driver ( Gunawan ) 01 Oct - 06 Oct</t>
  </si>
  <si>
    <t>Monthly Parking Exp Messanger Oct 2018</t>
  </si>
  <si>
    <t xml:space="preserve">Reimbursement Delivery document &amp; Parking ExpBandung Seminar Event </t>
  </si>
  <si>
    <t>Delivery Document to Client</t>
  </si>
  <si>
    <t>Admin Bank ( Transfer )</t>
  </si>
  <si>
    <t>Fuel &amp; Parking Exp Messenger to Pick up &amp; Delivery Doc 06 Oct - 12 Oct</t>
  </si>
  <si>
    <t>Transportation Exp meeting with client ( Cory Tjin Tandi ) - Shidqi</t>
  </si>
  <si>
    <t>Transportation Exp meeting with client ( Sandy Reinata) - Shidqi</t>
  </si>
  <si>
    <t>Transportation Exp meeting with client ( Dimas Ajie )  - Shidqi</t>
  </si>
  <si>
    <t>Transportation Exp after Seminar Event</t>
  </si>
  <si>
    <t>Tips for 4 waiters mercantille</t>
  </si>
  <si>
    <t>Birthday Cake for Pak Dastin</t>
  </si>
  <si>
    <t>Monthly Aqua</t>
  </si>
  <si>
    <t>Other ( Lunch )</t>
  </si>
  <si>
    <t>Monthly Fee Internet</t>
  </si>
  <si>
    <t>Stempel Reksa Dana Terproteksi</t>
  </si>
  <si>
    <t>Overtime Driver ( Gunawan ) 08 Oct - 14 Oct</t>
  </si>
  <si>
    <t>Overtime Driver ( Yusuf ) 08 Oct - 14 Oct</t>
  </si>
  <si>
    <t>Parking Exp Market Outlook Equity</t>
  </si>
  <si>
    <t>Transportation Exp meeting with Gapura</t>
  </si>
  <si>
    <t>Transportation Exp to YKP OJK</t>
  </si>
  <si>
    <t>Dummy Gelas 3 Pcs</t>
  </si>
  <si>
    <t>Fuel Exp &amp; Parking Exp ( Avanza ) 01 oct - 11 oct 2018</t>
  </si>
  <si>
    <t>Fuel Exp &amp; Parking Exp ( Biante ) 01oct - 10 oct 2018</t>
  </si>
  <si>
    <t>Lunch Ayers for OB</t>
  </si>
  <si>
    <t>Consumption exp ( Wincy )</t>
  </si>
  <si>
    <t>Train exp to Bandung for Training Ayers</t>
  </si>
  <si>
    <t>Entertainment Exp ( Dapen Garuda )</t>
  </si>
  <si>
    <t>Tips waiters Lunch Ayers 18 Oct 2018</t>
  </si>
  <si>
    <t>Transportation Exp to BEJ ( KSEI )</t>
  </si>
  <si>
    <t>Transportation Exp Meeting with Client (Ivonne)</t>
  </si>
  <si>
    <t>22 Oct 2018</t>
  </si>
  <si>
    <t>Pelatihan Karyawan</t>
  </si>
  <si>
    <t>Biaya Pajak STNK</t>
  </si>
  <si>
    <t>Biaya Balik Nama &amp; Mutasi Mazda Biante</t>
  </si>
  <si>
    <t>028/BCA10</t>
  </si>
  <si>
    <t>029/BCA10</t>
  </si>
  <si>
    <t>030/BCA10</t>
  </si>
  <si>
    <t>Telp</t>
  </si>
  <si>
    <t>Perlengkapan Kantor</t>
  </si>
  <si>
    <t>Bank Adm</t>
  </si>
  <si>
    <t>Pantry Needs</t>
  </si>
  <si>
    <t>Internet Exp</t>
  </si>
  <si>
    <t>TOTAL REIMBURSEMENT TRAVEL ALLOWANCE &amp; TRANSPORTATION EXPENSES ( IVONNE )</t>
  </si>
  <si>
    <t>ELECTRICITY APT</t>
  </si>
  <si>
    <t>WAPERD TEST MARKETING ( ARSANDY BONAY )</t>
  </si>
  <si>
    <t>031/BCA10</t>
  </si>
  <si>
    <t>25 Oct 2018</t>
  </si>
  <si>
    <t>008/IDR10</t>
  </si>
  <si>
    <t>009/IDR10</t>
  </si>
  <si>
    <t>Pendapatan bunga jasa giro oct 2018 - 399</t>
  </si>
  <si>
    <t>Interest Income from Current Account Oct 2018 Kurs</t>
  </si>
  <si>
    <t>004/USD10</t>
  </si>
  <si>
    <t>Kurs Oct 25, 2018</t>
  </si>
  <si>
    <t>Balance 25 Oct 2018</t>
  </si>
  <si>
    <t>Kurs 25 Oct 2018</t>
  </si>
  <si>
    <t>Salary Oct 2018</t>
  </si>
  <si>
    <t>Salaries Oct 2018</t>
  </si>
  <si>
    <t>Biaya Maintenance Dinamis</t>
  </si>
  <si>
    <t>Maintenance Dinamis System for 3 Month Oct - Dec 18</t>
  </si>
  <si>
    <t>VAT for Maintenance Dinamis System for 3 Month Oct - Dec 18</t>
  </si>
  <si>
    <t>032/BCA10</t>
  </si>
  <si>
    <t>033/BCA10</t>
  </si>
  <si>
    <t>Kurs Oct 31, 2018</t>
  </si>
  <si>
    <t>Balance 31 Oct 2018</t>
  </si>
  <si>
    <t>Interest Income from Current Account Oct 2018 Kurs Rp 15.210</t>
  </si>
  <si>
    <t>PPH 21 atas Penghasilan Karyawan Oct 2018</t>
  </si>
  <si>
    <t>Penyusutan Peralatan Kantor Oct 2018</t>
  </si>
  <si>
    <t>Penyusutan Perabotan Kantor Oct 2018</t>
  </si>
  <si>
    <t>Penyusutan Instalasi &amp; Pengembangan Sistem Oct 2018</t>
  </si>
  <si>
    <t>Penyusutan Mobil Oct 2018</t>
  </si>
  <si>
    <t>Management Fee RD MMF Oct 2018</t>
  </si>
  <si>
    <t>Management Fee RD GBF Oct 2018</t>
  </si>
  <si>
    <t>Management Fee RD EIS Oct 2018</t>
  </si>
  <si>
    <t>Pendapatan bunga jasa giro Oct 2018 - BCA</t>
  </si>
  <si>
    <t>034/BCA10</t>
  </si>
  <si>
    <t>29 Oct 2018</t>
  </si>
  <si>
    <t>010/IDR10</t>
  </si>
  <si>
    <t>Redemption RD Ayers MMF 1 Bio NAV Rp 1.027,5702</t>
  </si>
  <si>
    <t>Oct 2018</t>
  </si>
  <si>
    <t>Redemption 29 Oct 2018</t>
  </si>
  <si>
    <t>MV 29102018</t>
  </si>
  <si>
    <t>30 Oct 2018</t>
  </si>
  <si>
    <t>26 Oct 2018</t>
  </si>
  <si>
    <t>011/IDR10</t>
  </si>
  <si>
    <t>007/AJP</t>
  </si>
  <si>
    <t>008/AJP</t>
  </si>
  <si>
    <t>009/AJP</t>
  </si>
  <si>
    <t>STP Pajak PPh 4(2)</t>
  </si>
  <si>
    <t>STP Pajak PPh 21</t>
  </si>
  <si>
    <t>010/AJP</t>
  </si>
  <si>
    <t>Deposit</t>
  </si>
  <si>
    <t>Reklas atas Uang Muka Pembayaran Sistem Radsoft &amp; Apps</t>
  </si>
  <si>
    <t>Uang Muka</t>
  </si>
  <si>
    <t>31/10/2018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</si>
</sst>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  <numFmt numFmtId="166" formatCode="_._.* \(#,##0\)_%;_._.* #,##0_)_%;_._.* 0_)_%;_._.@_)_%"/>
    <numFmt numFmtId="167" formatCode="0%_);\(0%\)"/>
    <numFmt numFmtId="168" formatCode="_(* #,##0.0000_);_(* \(#,##0.0000\);_(* &quot;-&quot;_);_(@_)"/>
    <numFmt numFmtId="169" formatCode="[$-409]dd\-mmm\-yy;@"/>
    <numFmt numFmtId="170" formatCode="#.##0_);\(#.##0\)"/>
    <numFmt numFmtId="171" formatCode="_(* #,##0.0_);_(* \(#,##0.0\);_(* &quot;-&quot;??_);_(@_)"/>
    <numFmt numFmtId="172" formatCode="#.##0000000_);\(#.##0000000\)"/>
    <numFmt numFmtId="173" formatCode="[$-409]d\-mmm\-yy;@"/>
    <numFmt numFmtId="174" formatCode="_(* #,##0.00_);_(* \(#,##0.00\);_(* &quot;-&quot;_);_(@_)"/>
    <numFmt numFmtId="175" formatCode="[$-409]d\-mmm\-yyyy;@"/>
    <numFmt numFmtId="176" formatCode="_(* #,##0.0000_);_(* \(#,##0.0000\);_(* &quot;-&quot;??_);_(@_)"/>
    <numFmt numFmtId="177" formatCode="_(* #,##0.000_);_(* \(#,##0.000\);_(* &quot;-&quot;_);_(@_)"/>
    <numFmt numFmtId="178" formatCode="dd\-mmm\-yyyy"/>
  </numFmts>
  <fonts count="76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1"/>
      <color indexed="8"/>
      <name val="Arial Narrow"/>
      <family val="2"/>
      <charset val="1"/>
    </font>
    <font>
      <sz val="11"/>
      <color indexed="8"/>
      <name val="宋体"/>
      <charset val="134"/>
    </font>
    <font>
      <sz val="11"/>
      <color indexed="9"/>
      <name val="Arial Narrow"/>
      <family val="2"/>
      <charset val="1"/>
    </font>
    <font>
      <sz val="11"/>
      <color indexed="9"/>
      <name val="宋体"/>
      <charset val="134"/>
    </font>
    <font>
      <sz val="11"/>
      <color indexed="20"/>
      <name val="Arial Narrow"/>
      <family val="2"/>
      <charset val="1"/>
    </font>
    <font>
      <b/>
      <sz val="11"/>
      <color indexed="52"/>
      <name val="Arial Narrow"/>
      <family val="2"/>
      <charset val="1"/>
    </font>
    <font>
      <b/>
      <sz val="11"/>
      <color indexed="9"/>
      <name val="Arial Narrow"/>
      <family val="2"/>
      <charset val="1"/>
    </font>
    <font>
      <sz val="11"/>
      <color indexed="12"/>
      <name val="Times New Roman"/>
      <family val="1"/>
    </font>
    <font>
      <i/>
      <sz val="11"/>
      <color indexed="23"/>
      <name val="Arial Narrow"/>
      <family val="2"/>
      <charset val="1"/>
    </font>
    <font>
      <sz val="11"/>
      <color indexed="17"/>
      <name val="Arial Narrow"/>
      <family val="2"/>
      <charset val="1"/>
    </font>
    <font>
      <b/>
      <sz val="15"/>
      <color indexed="56"/>
      <name val="Arial Narrow"/>
      <family val="2"/>
      <charset val="1"/>
    </font>
    <font>
      <b/>
      <sz val="13"/>
      <color indexed="56"/>
      <name val="Arial Narrow"/>
      <family val="2"/>
      <charset val="1"/>
    </font>
    <font>
      <b/>
      <sz val="11"/>
      <color indexed="56"/>
      <name val="Arial Narrow"/>
      <family val="2"/>
      <charset val="1"/>
    </font>
    <font>
      <sz val="11"/>
      <color indexed="62"/>
      <name val="Arial Narrow"/>
      <family val="2"/>
      <charset val="1"/>
    </font>
    <font>
      <sz val="11"/>
      <color indexed="52"/>
      <name val="Arial Narrow"/>
      <family val="2"/>
      <charset val="1"/>
    </font>
    <font>
      <sz val="11"/>
      <color indexed="60"/>
      <name val="Arial Narrow"/>
      <family val="2"/>
      <charset val="1"/>
    </font>
    <font>
      <sz val="10"/>
      <color indexed="8"/>
      <name val="MS Sans Serif"/>
      <family val="2"/>
    </font>
    <font>
      <sz val="10"/>
      <name val="Arial Narrow"/>
      <family val="2"/>
    </font>
    <font>
      <b/>
      <sz val="11"/>
      <color indexed="63"/>
      <name val="Arial Narrow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Arial Narrow"/>
      <family val="2"/>
      <charset val="1"/>
    </font>
    <font>
      <sz val="11"/>
      <color indexed="10"/>
      <name val="Arial Narrow"/>
      <family val="2"/>
      <charset val="1"/>
    </font>
    <font>
      <sz val="11"/>
      <color indexed="60"/>
      <name val="宋体"/>
      <charset val="134"/>
    </font>
    <font>
      <b/>
      <sz val="11"/>
      <color indexed="8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52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sz val="11"/>
      <color indexed="52"/>
      <name val="宋体"/>
      <charset val="134"/>
    </font>
    <font>
      <sz val="12"/>
      <name val="Helv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Courier"/>
      <family val="3"/>
    </font>
    <font>
      <sz val="9"/>
      <name val="Arial Rounded MT Bold"/>
      <family val="2"/>
    </font>
    <font>
      <b/>
      <sz val="9"/>
      <name val="Arial Rounded MT Bold"/>
      <family val="2"/>
    </font>
    <font>
      <sz val="9"/>
      <name val="Segoe UI Emoji"/>
      <family val="2"/>
    </font>
    <font>
      <b/>
      <u/>
      <sz val="9"/>
      <name val="Arial Rounded MT Bold"/>
      <family val="2"/>
    </font>
    <font>
      <sz val="9"/>
      <name val="Nirmala UI"/>
      <family val="2"/>
    </font>
    <font>
      <b/>
      <sz val="10"/>
      <name val="Nirmala UI"/>
      <family val="2"/>
    </font>
    <font>
      <sz val="10"/>
      <name val="Nirmala UI"/>
      <family val="2"/>
    </font>
    <font>
      <i/>
      <sz val="10"/>
      <name val="Nirmala UI"/>
      <family val="2"/>
    </font>
    <font>
      <sz val="9"/>
      <name val="Arial"/>
      <family val="2"/>
    </font>
    <font>
      <b/>
      <sz val="9"/>
      <name val="Arial"/>
      <family val="2"/>
    </font>
    <font>
      <b/>
      <i/>
      <sz val="10"/>
      <name val="Nirmala UI"/>
      <family val="2"/>
    </font>
    <font>
      <b/>
      <sz val="9"/>
      <name val="Nirmala UI"/>
      <family val="2"/>
    </font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14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9"/>
      <color rgb="FFE80000"/>
      <name val="Arial"/>
      <family val="2"/>
    </font>
    <font>
      <b/>
      <sz val="16"/>
      <color rgb="FF800000"/>
      <name val="Times New Roman"/>
      <family val="1"/>
    </font>
    <font>
      <b/>
      <sz val="11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80"/>
      <name val="Arial"/>
      <family val="2"/>
    </font>
    <font>
      <sz val="10"/>
      <color rgb="FFFF0000"/>
      <name val="Arial"/>
      <family val="2"/>
    </font>
    <font>
      <b/>
      <sz val="9"/>
      <color theme="1"/>
      <name val="Nirmala UI"/>
      <family val="2"/>
    </font>
    <font>
      <sz val="9"/>
      <color theme="1"/>
      <name val="Nirmala UI"/>
      <family val="2"/>
    </font>
    <font>
      <sz val="9"/>
      <color theme="1"/>
      <name val="Arial Rounded MT Bold"/>
      <family val="2"/>
    </font>
    <font>
      <sz val="10"/>
      <color theme="1"/>
      <name val="Arial Rounded MT Bold"/>
      <family val="2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3"/>
      </patternFill>
    </fill>
    <fill>
      <patternFill patternType="solid">
        <fgColor indexed="9"/>
        <bgColor indexed="64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34">
    <xf numFmtId="0" fontId="0" fillId="0" borderId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5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NumberFormat="0" applyFill="0" applyBorder="0" applyAlignment="0" applyProtection="0"/>
    <xf numFmtId="41" fontId="1" fillId="0" borderId="0" applyFont="0" applyFill="0" applyBorder="0" applyAlignment="0" applyProtection="0"/>
    <xf numFmtId="41" fontId="46" fillId="0" borderId="0" applyFont="0" applyFill="0" applyBorder="0" applyAlignment="0" applyProtection="0"/>
    <xf numFmtId="43" fontId="5" fillId="0" borderId="0" applyFont="0" applyFill="0" applyBorder="0" applyAlignment="0" applyProtection="0"/>
    <xf numFmtId="165" fontId="9" fillId="0" borderId="0" applyFont="0" applyFill="0" applyBorder="0" applyAlignment="0" applyProtection="0">
      <alignment vertical="center"/>
    </xf>
    <xf numFmtId="165" fontId="9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6" fontId="15" fillId="0" borderId="0" applyFill="0" applyBorder="0" applyProtection="0"/>
    <xf numFmtId="44" fontId="5" fillId="0" borderId="0" applyFont="0" applyFill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14" fontId="3" fillId="22" borderId="3">
      <alignment horizontal="center" vertical="center" wrapText="1"/>
    </xf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0" fillId="0" borderId="0" applyNumberFormat="0" applyFill="0" applyBorder="0" applyAlignment="0" applyProtection="0"/>
    <xf numFmtId="0" fontId="21" fillId="7" borderId="1" applyNumberFormat="0" applyAlignment="0" applyProtection="0"/>
    <xf numFmtId="0" fontId="22" fillId="0" borderId="7" applyNumberFormat="0" applyFill="0" applyAlignment="0" applyProtection="0"/>
    <xf numFmtId="0" fontId="23" fillId="23" borderId="0" applyNumberFormat="0" applyBorder="0" applyAlignment="0" applyProtection="0"/>
    <xf numFmtId="44" fontId="7" fillId="0" borderId="0"/>
    <xf numFmtId="0" fontId="24" fillId="0" borderId="0"/>
    <xf numFmtId="0" fontId="24" fillId="0" borderId="0"/>
    <xf numFmtId="0" fontId="1" fillId="0" borderId="0"/>
    <xf numFmtId="0" fontId="25" fillId="0" borderId="0"/>
    <xf numFmtId="0" fontId="5" fillId="0" borderId="0"/>
    <xf numFmtId="0" fontId="5" fillId="0" borderId="0"/>
    <xf numFmtId="0" fontId="5" fillId="0" borderId="0"/>
    <xf numFmtId="0" fontId="1" fillId="0" borderId="0"/>
    <xf numFmtId="37" fontId="45" fillId="0" borderId="0"/>
    <xf numFmtId="0" fontId="61" fillId="0" borderId="0"/>
    <xf numFmtId="1" fontId="48" fillId="24" borderId="0"/>
    <xf numFmtId="170" fontId="45" fillId="0" borderId="0"/>
    <xf numFmtId="37" fontId="45" fillId="0" borderId="0"/>
    <xf numFmtId="0" fontId="5" fillId="25" borderId="8" applyNumberFormat="0" applyFont="0" applyAlignment="0" applyProtection="0"/>
    <xf numFmtId="0" fontId="26" fillId="20" borderId="9" applyNumberFormat="0" applyAlignment="0" applyProtection="0"/>
    <xf numFmtId="9" fontId="47" fillId="0" borderId="0" applyFont="0" applyFill="0" applyBorder="0" applyAlignment="0" applyProtection="0"/>
    <xf numFmtId="167" fontId="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2" fillId="0" borderId="0">
      <alignment horizontal="left" vertical="top"/>
    </xf>
    <xf numFmtId="0" fontId="63" fillId="0" borderId="0">
      <alignment horizontal="center" vertical="top"/>
    </xf>
    <xf numFmtId="0" fontId="64" fillId="0" borderId="0">
      <alignment horizontal="right" vertical="top"/>
    </xf>
    <xf numFmtId="0" fontId="65" fillId="0" borderId="0">
      <alignment horizontal="left" vertical="top"/>
    </xf>
    <xf numFmtId="0" fontId="65" fillId="0" borderId="0">
      <alignment horizontal="right" vertical="top"/>
    </xf>
    <xf numFmtId="0" fontId="62" fillId="0" borderId="0">
      <alignment horizontal="center" vertical="top"/>
    </xf>
    <xf numFmtId="0" fontId="62" fillId="0" borderId="0">
      <alignment horizontal="right" vertical="top"/>
    </xf>
    <xf numFmtId="0" fontId="66" fillId="0" borderId="0">
      <alignment horizontal="left" vertical="top"/>
    </xf>
    <xf numFmtId="0" fontId="66" fillId="0" borderId="0">
      <alignment horizontal="right" vertical="top"/>
    </xf>
    <xf numFmtId="0" fontId="67" fillId="0" borderId="0">
      <alignment horizontal="center" vertical="top"/>
    </xf>
    <xf numFmtId="0" fontId="68" fillId="0" borderId="0">
      <alignment horizontal="center" vertical="top"/>
    </xf>
    <xf numFmtId="0" fontId="69" fillId="0" borderId="0">
      <alignment horizontal="right" vertical="top"/>
    </xf>
    <xf numFmtId="0" fontId="70" fillId="0" borderId="0">
      <alignment horizontal="left" vertical="top"/>
    </xf>
    <xf numFmtId="0" fontId="69" fillId="0" borderId="0">
      <alignment horizontal="center" vertical="top"/>
    </xf>
    <xf numFmtId="0" fontId="70" fillId="0" borderId="0">
      <alignment horizontal="right" vertical="top"/>
    </xf>
    <xf numFmtId="0" fontId="70" fillId="0" borderId="0">
      <alignment horizontal="center" vertical="top"/>
    </xf>
    <xf numFmtId="0" fontId="64" fillId="0" borderId="0">
      <alignment horizontal="left" vertical="top"/>
    </xf>
    <xf numFmtId="0" fontId="6" fillId="0" borderId="0" applyFill="0" applyBorder="0" applyProtection="0">
      <alignment horizontal="left" vertical="top"/>
    </xf>
    <xf numFmtId="0" fontId="27" fillId="0" borderId="0" applyNumberFormat="0" applyFill="0" applyBorder="0" applyAlignment="0" applyProtection="0"/>
    <xf numFmtId="0" fontId="28" fillId="0" borderId="10" applyNumberFormat="0" applyFill="0" applyAlignment="0" applyProtection="0"/>
    <xf numFmtId="0" fontId="29" fillId="0" borderId="0" applyNumberFormat="0" applyFill="0" applyBorder="0" applyAlignment="0" applyProtection="0"/>
    <xf numFmtId="0" fontId="30" fillId="23" borderId="0" applyNumberFormat="0" applyBorder="0" applyAlignment="0" applyProtection="0">
      <alignment vertical="center"/>
    </xf>
    <xf numFmtId="0" fontId="5" fillId="25" borderId="8" applyNumberFormat="0" applyFont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0" borderId="5" applyNumberFormat="0" applyFill="0" applyAlignment="0" applyProtection="0">
      <alignment vertical="center"/>
    </xf>
    <xf numFmtId="0" fontId="37" fillId="0" borderId="6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21" borderId="2" applyNumberFormat="0" applyAlignment="0" applyProtection="0">
      <alignment vertical="center"/>
    </xf>
    <xf numFmtId="0" fontId="39" fillId="20" borderId="1" applyNumberFormat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2" fillId="7" borderId="1" applyNumberFormat="0" applyAlignment="0" applyProtection="0">
      <alignment vertical="center"/>
    </xf>
    <xf numFmtId="0" fontId="43" fillId="20" borderId="9" applyNumberFormat="0" applyAlignment="0" applyProtection="0">
      <alignment vertical="center"/>
    </xf>
    <xf numFmtId="0" fontId="44" fillId="0" borderId="7" applyNumberFormat="0" applyFill="0" applyAlignment="0" applyProtection="0">
      <alignment vertical="center"/>
    </xf>
  </cellStyleXfs>
  <cellXfs count="642">
    <xf numFmtId="0" fontId="0" fillId="0" borderId="0" xfId="0"/>
    <xf numFmtId="37" fontId="1" fillId="0" borderId="0" xfId="79" applyNumberFormat="1" applyFont="1"/>
    <xf numFmtId="37" fontId="3" fillId="0" borderId="0" xfId="79" quotePrefix="1" applyNumberFormat="1" applyFont="1" applyBorder="1" applyAlignment="1">
      <alignment horizontal="center"/>
    </xf>
    <xf numFmtId="0" fontId="3" fillId="0" borderId="0" xfId="79" quotePrefix="1" applyNumberFormat="1" applyFont="1" applyBorder="1" applyAlignment="1">
      <alignment horizontal="center"/>
    </xf>
    <xf numFmtId="164" fontId="3" fillId="0" borderId="0" xfId="57" quotePrefix="1" applyNumberFormat="1" applyFont="1" applyBorder="1" applyAlignment="1">
      <alignment horizontal="right"/>
    </xf>
    <xf numFmtId="164" fontId="3" fillId="0" borderId="0" xfId="57" quotePrefix="1" applyNumberFormat="1" applyFont="1" applyBorder="1" applyAlignment="1">
      <alignment horizontal="center"/>
    </xf>
    <xf numFmtId="164" fontId="3" fillId="0" borderId="0" xfId="57" applyNumberFormat="1" applyFont="1" applyAlignment="1">
      <alignment horizontal="center"/>
    </xf>
    <xf numFmtId="37" fontId="1" fillId="0" borderId="0" xfId="79" applyNumberFormat="1" applyFont="1" applyAlignment="1">
      <alignment horizontal="center"/>
    </xf>
    <xf numFmtId="37" fontId="3" fillId="0" borderId="0" xfId="79" quotePrefix="1" applyNumberFormat="1" applyFont="1" applyAlignment="1">
      <alignment horizontal="left"/>
    </xf>
    <xf numFmtId="0" fontId="1" fillId="0" borderId="0" xfId="79" applyNumberFormat="1" applyFont="1" applyBorder="1" applyAlignment="1">
      <alignment horizontal="center"/>
    </xf>
    <xf numFmtId="164" fontId="3" fillId="0" borderId="0" xfId="57" applyNumberFormat="1" applyFont="1" applyBorder="1" applyAlignment="1">
      <alignment horizontal="right"/>
    </xf>
    <xf numFmtId="0" fontId="1" fillId="0" borderId="0" xfId="79" applyNumberFormat="1" applyFont="1" applyAlignment="1">
      <alignment horizontal="center"/>
    </xf>
    <xf numFmtId="164" fontId="1" fillId="0" borderId="0" xfId="57" applyNumberFormat="1" applyFont="1" applyAlignment="1">
      <alignment horizontal="right"/>
    </xf>
    <xf numFmtId="37" fontId="1" fillId="0" borderId="0" xfId="79" applyNumberFormat="1" applyFont="1" applyAlignment="1">
      <alignment horizontal="left"/>
    </xf>
    <xf numFmtId="164" fontId="1" fillId="0" borderId="11" xfId="57" applyNumberFormat="1" applyFont="1" applyBorder="1" applyAlignment="1">
      <alignment horizontal="right"/>
    </xf>
    <xf numFmtId="164" fontId="1" fillId="0" borderId="0" xfId="57" applyNumberFormat="1" applyFont="1" applyBorder="1"/>
    <xf numFmtId="164" fontId="1" fillId="0" borderId="0" xfId="57" applyNumberFormat="1" applyFont="1" applyBorder="1" applyAlignment="1">
      <alignment horizontal="right"/>
    </xf>
    <xf numFmtId="37" fontId="3" fillId="0" borderId="0" xfId="79" applyNumberFormat="1" applyFont="1" applyAlignment="1">
      <alignment horizontal="left"/>
    </xf>
    <xf numFmtId="164" fontId="1" fillId="0" borderId="12" xfId="57" applyNumberFormat="1" applyFont="1" applyBorder="1" applyAlignment="1">
      <alignment horizontal="right"/>
    </xf>
    <xf numFmtId="164" fontId="1" fillId="0" borderId="0" xfId="57" applyNumberFormat="1" applyFont="1"/>
    <xf numFmtId="37" fontId="3" fillId="0" borderId="0" xfId="79" applyNumberFormat="1" applyFont="1"/>
    <xf numFmtId="37" fontId="1" fillId="0" borderId="0" xfId="79" quotePrefix="1" applyNumberFormat="1" applyFont="1" applyAlignment="1">
      <alignment horizontal="left"/>
    </xf>
    <xf numFmtId="164" fontId="1" fillId="0" borderId="0" xfId="57" quotePrefix="1" applyNumberFormat="1" applyFont="1" applyAlignment="1">
      <alignment horizontal="right"/>
    </xf>
    <xf numFmtId="164" fontId="1" fillId="0" borderId="13" xfId="57" applyNumberFormat="1" applyFont="1" applyBorder="1" applyAlignment="1">
      <alignment horizontal="right"/>
    </xf>
    <xf numFmtId="37" fontId="1" fillId="0" borderId="0" xfId="79" quotePrefix="1" applyNumberFormat="1" applyFont="1" applyAlignment="1">
      <alignment horizontal="center"/>
    </xf>
    <xf numFmtId="37" fontId="3" fillId="0" borderId="0" xfId="83" applyFont="1" applyBorder="1" applyAlignment="1">
      <alignment horizontal="left"/>
    </xf>
    <xf numFmtId="164" fontId="1" fillId="0" borderId="0" xfId="57" applyNumberFormat="1" applyFont="1" applyBorder="1" applyAlignment="1" applyProtection="1">
      <alignment horizontal="right"/>
    </xf>
    <xf numFmtId="37" fontId="3" fillId="0" borderId="0" xfId="79" quotePrefix="1" applyNumberFormat="1" applyFont="1" applyAlignment="1"/>
    <xf numFmtId="37" fontId="1" fillId="0" borderId="0" xfId="83" applyFont="1"/>
    <xf numFmtId="41" fontId="1" fillId="0" borderId="0" xfId="49" applyFont="1"/>
    <xf numFmtId="37" fontId="1" fillId="0" borderId="0" xfId="83" applyFont="1" applyAlignment="1">
      <alignment horizontal="center"/>
    </xf>
    <xf numFmtId="37" fontId="3" fillId="0" borderId="0" xfId="83" applyFont="1"/>
    <xf numFmtId="37" fontId="3" fillId="0" borderId="0" xfId="83" applyFont="1" applyAlignment="1">
      <alignment horizontal="left"/>
    </xf>
    <xf numFmtId="0" fontId="1" fillId="0" borderId="0" xfId="83" applyNumberFormat="1" applyFont="1" applyAlignment="1">
      <alignment horizontal="center"/>
    </xf>
    <xf numFmtId="37" fontId="1" fillId="0" borderId="0" xfId="83" applyFont="1" applyAlignment="1">
      <alignment horizontal="left"/>
    </xf>
    <xf numFmtId="164" fontId="1" fillId="0" borderId="11" xfId="57" applyNumberFormat="1" applyFont="1" applyBorder="1" applyAlignment="1" applyProtection="1">
      <alignment horizontal="right"/>
    </xf>
    <xf numFmtId="37" fontId="3" fillId="0" borderId="0" xfId="83" quotePrefix="1" applyFont="1" applyAlignment="1">
      <alignment horizontal="left"/>
    </xf>
    <xf numFmtId="37" fontId="1" fillId="0" borderId="0" xfId="83" quotePrefix="1" applyFont="1" applyAlignment="1">
      <alignment horizontal="left"/>
    </xf>
    <xf numFmtId="37" fontId="1" fillId="0" borderId="0" xfId="83" applyFont="1" applyBorder="1" applyAlignment="1">
      <alignment horizontal="center"/>
    </xf>
    <xf numFmtId="164" fontId="1" fillId="0" borderId="12" xfId="57" applyNumberFormat="1" applyFont="1" applyBorder="1" applyAlignment="1" applyProtection="1">
      <alignment horizontal="right"/>
    </xf>
    <xf numFmtId="164" fontId="3" fillId="0" borderId="11" xfId="57" quotePrefix="1" applyNumberFormat="1" applyFont="1" applyBorder="1" applyAlignment="1">
      <alignment horizontal="center"/>
    </xf>
    <xf numFmtId="164" fontId="1" fillId="0" borderId="0" xfId="57" applyNumberFormat="1" applyFont="1" applyAlignment="1">
      <alignment horizontal="center"/>
    </xf>
    <xf numFmtId="164" fontId="1" fillId="0" borderId="0" xfId="57" quotePrefix="1" applyNumberFormat="1" applyFont="1" applyBorder="1" applyAlignment="1" applyProtection="1">
      <alignment horizontal="center"/>
    </xf>
    <xf numFmtId="164" fontId="1" fillId="0" borderId="11" xfId="57" quotePrefix="1" applyNumberFormat="1" applyFont="1" applyBorder="1" applyAlignment="1" applyProtection="1">
      <alignment horizontal="center"/>
    </xf>
    <xf numFmtId="164" fontId="1" fillId="0" borderId="0" xfId="57" applyNumberFormat="1" applyFont="1" applyBorder="1" applyAlignment="1">
      <alignment horizontal="center"/>
    </xf>
    <xf numFmtId="164" fontId="1" fillId="0" borderId="11" xfId="57" quotePrefix="1" applyNumberFormat="1" applyFont="1" applyBorder="1" applyAlignment="1">
      <alignment horizontal="center"/>
    </xf>
    <xf numFmtId="164" fontId="1" fillId="0" borderId="0" xfId="57" quotePrefix="1" applyNumberFormat="1" applyFont="1" applyAlignment="1">
      <alignment horizontal="center"/>
    </xf>
    <xf numFmtId="164" fontId="1" fillId="0" borderId="0" xfId="57" quotePrefix="1" applyNumberFormat="1" applyFont="1" applyBorder="1" applyAlignment="1">
      <alignment horizontal="center"/>
    </xf>
    <xf numFmtId="0" fontId="1" fillId="0" borderId="0" xfId="79" applyNumberFormat="1" applyFont="1" applyFill="1" applyAlignment="1">
      <alignment horizontal="center"/>
    </xf>
    <xf numFmtId="164" fontId="1" fillId="0" borderId="11" xfId="57" applyNumberFormat="1" applyFont="1" applyFill="1" applyBorder="1" applyAlignment="1">
      <alignment horizontal="right"/>
    </xf>
    <xf numFmtId="37" fontId="1" fillId="0" borderId="0" xfId="79" applyNumberFormat="1" applyFont="1" applyBorder="1"/>
    <xf numFmtId="37" fontId="1" fillId="0" borderId="11" xfId="83" applyFont="1" applyBorder="1"/>
    <xf numFmtId="164" fontId="1" fillId="0" borderId="11" xfId="57" applyNumberFormat="1" applyFont="1" applyBorder="1"/>
    <xf numFmtId="164" fontId="1" fillId="0" borderId="11" xfId="57" quotePrefix="1" applyNumberFormat="1" applyFont="1" applyFill="1" applyBorder="1" applyAlignment="1">
      <alignment horizontal="right"/>
    </xf>
    <xf numFmtId="164" fontId="3" fillId="0" borderId="0" xfId="57" applyNumberFormat="1" applyFont="1" applyBorder="1" applyAlignment="1">
      <alignment horizontal="center"/>
    </xf>
    <xf numFmtId="0" fontId="1" fillId="0" borderId="0" xfId="72" applyFont="1" applyAlignment="1">
      <alignment horizontal="left"/>
    </xf>
    <xf numFmtId="0" fontId="3" fillId="0" borderId="11" xfId="79" applyNumberFormat="1" applyFont="1" applyBorder="1" applyAlignment="1">
      <alignment horizontal="center"/>
    </xf>
    <xf numFmtId="0" fontId="3" fillId="0" borderId="0" xfId="72" applyFont="1" applyAlignment="1">
      <alignment horizontal="left"/>
    </xf>
    <xf numFmtId="37" fontId="1" fillId="0" borderId="12" xfId="83" applyFont="1" applyBorder="1"/>
    <xf numFmtId="37" fontId="1" fillId="0" borderId="11" xfId="83" quotePrefix="1" applyFont="1" applyBorder="1" applyAlignment="1">
      <alignment horizontal="center"/>
    </xf>
    <xf numFmtId="37" fontId="1" fillId="0" borderId="0" xfId="79" applyNumberFormat="1" applyFont="1" applyFill="1"/>
    <xf numFmtId="37" fontId="1" fillId="0" borderId="12" xfId="79" applyNumberFormat="1" applyFont="1" applyBorder="1"/>
    <xf numFmtId="164" fontId="1" fillId="0" borderId="12" xfId="57" applyNumberFormat="1" applyFont="1" applyFill="1" applyBorder="1" applyAlignment="1">
      <alignment horizontal="right"/>
    </xf>
    <xf numFmtId="37" fontId="1" fillId="0" borderId="0" xfId="83" quotePrefix="1" applyFont="1" applyAlignment="1"/>
    <xf numFmtId="164" fontId="1" fillId="0" borderId="14" xfId="57" applyNumberFormat="1" applyFont="1" applyFill="1" applyBorder="1" applyAlignment="1">
      <alignment horizontal="right"/>
    </xf>
    <xf numFmtId="37" fontId="49" fillId="0" borderId="0" xfId="79" applyNumberFormat="1" applyFont="1"/>
    <xf numFmtId="37" fontId="3" fillId="0" borderId="0" xfId="79" applyNumberFormat="1" applyFont="1" applyAlignment="1"/>
    <xf numFmtId="41" fontId="1" fillId="24" borderId="0" xfId="51" applyFont="1" applyFill="1"/>
    <xf numFmtId="41" fontId="3" fillId="0" borderId="11" xfId="49" applyFont="1" applyBorder="1" applyAlignment="1">
      <alignment horizontal="center"/>
    </xf>
    <xf numFmtId="41" fontId="3" fillId="0" borderId="0" xfId="49" applyFont="1" applyBorder="1" applyAlignment="1">
      <alignment horizontal="center"/>
    </xf>
    <xf numFmtId="37" fontId="3" fillId="0" borderId="11" xfId="79" quotePrefix="1" applyNumberFormat="1" applyFont="1" applyBorder="1" applyAlignment="1"/>
    <xf numFmtId="41" fontId="3" fillId="0" borderId="0" xfId="49" applyFont="1" applyAlignment="1">
      <alignment horizontal="center"/>
    </xf>
    <xf numFmtId="41" fontId="3" fillId="24" borderId="11" xfId="51" applyFont="1" applyFill="1" applyBorder="1"/>
    <xf numFmtId="164" fontId="3" fillId="0" borderId="13" xfId="57" applyNumberFormat="1" applyFont="1" applyBorder="1" applyAlignment="1">
      <alignment horizontal="center"/>
    </xf>
    <xf numFmtId="41" fontId="71" fillId="0" borderId="0" xfId="49" applyFont="1" applyAlignment="1">
      <alignment horizontal="left"/>
    </xf>
    <xf numFmtId="41" fontId="1" fillId="0" borderId="0" xfId="49" applyFont="1" applyAlignment="1">
      <alignment horizontal="left"/>
    </xf>
    <xf numFmtId="37" fontId="1" fillId="0" borderId="0" xfId="79" quotePrefix="1" applyNumberFormat="1" applyFont="1"/>
    <xf numFmtId="9" fontId="1" fillId="0" borderId="0" xfId="89" applyFont="1" applyBorder="1"/>
    <xf numFmtId="10" fontId="1" fillId="0" borderId="0" xfId="89" applyNumberFormat="1" applyFont="1" applyBorder="1"/>
    <xf numFmtId="164" fontId="1" fillId="0" borderId="15" xfId="57" applyNumberFormat="1" applyFont="1" applyBorder="1" applyAlignment="1">
      <alignment horizontal="right"/>
    </xf>
    <xf numFmtId="43" fontId="1" fillId="0" borderId="0" xfId="57" applyFont="1"/>
    <xf numFmtId="37" fontId="3" fillId="0" borderId="0" xfId="83" quotePrefix="1" applyFont="1" applyBorder="1" applyAlignment="1">
      <alignment horizontal="center"/>
    </xf>
    <xf numFmtId="37" fontId="1" fillId="0" borderId="11" xfId="79" applyNumberFormat="1" applyFont="1" applyBorder="1"/>
    <xf numFmtId="37" fontId="1" fillId="0" borderId="11" xfId="79" applyNumberFormat="1" applyFont="1" applyFill="1" applyBorder="1"/>
    <xf numFmtId="43" fontId="1" fillId="0" borderId="11" xfId="46" applyFont="1" applyFill="1" applyBorder="1"/>
    <xf numFmtId="43" fontId="1" fillId="0" borderId="0" xfId="46" applyFont="1"/>
    <xf numFmtId="0" fontId="52" fillId="0" borderId="0" xfId="0" applyFont="1" applyFill="1"/>
    <xf numFmtId="0" fontId="50" fillId="0" borderId="0" xfId="0" applyFont="1" applyFill="1"/>
    <xf numFmtId="164" fontId="50" fillId="0" borderId="0" xfId="0" applyNumberFormat="1" applyFont="1" applyFill="1"/>
    <xf numFmtId="0" fontId="50" fillId="0" borderId="0" xfId="0" applyFont="1" applyFill="1" applyAlignment="1">
      <alignment horizontal="left"/>
    </xf>
    <xf numFmtId="15" fontId="50" fillId="0" borderId="0" xfId="0" applyNumberFormat="1" applyFont="1" applyFill="1"/>
    <xf numFmtId="164" fontId="50" fillId="0" borderId="0" xfId="53" applyNumberFormat="1" applyFont="1" applyFill="1"/>
    <xf numFmtId="164" fontId="50" fillId="0" borderId="0" xfId="53" applyNumberFormat="1" applyFont="1" applyFill="1" applyBorder="1"/>
    <xf numFmtId="0" fontId="50" fillId="0" borderId="16" xfId="0" applyFont="1" applyFill="1" applyBorder="1" applyAlignment="1">
      <alignment horizontal="center" vertical="center" wrapText="1"/>
    </xf>
    <xf numFmtId="15" fontId="50" fillId="0" borderId="16" xfId="0" applyNumberFormat="1" applyFont="1" applyFill="1" applyBorder="1" applyAlignment="1">
      <alignment horizontal="center" vertical="center" wrapText="1"/>
    </xf>
    <xf numFmtId="164" fontId="50" fillId="0" borderId="16" xfId="53" applyNumberFormat="1" applyFont="1" applyFill="1" applyBorder="1" applyAlignment="1">
      <alignment horizontal="center" vertical="center" wrapText="1"/>
    </xf>
    <xf numFmtId="0" fontId="49" fillId="0" borderId="17" xfId="0" applyFont="1" applyFill="1" applyBorder="1" applyAlignment="1">
      <alignment horizontal="center"/>
    </xf>
    <xf numFmtId="0" fontId="49" fillId="0" borderId="17" xfId="0" applyFont="1" applyFill="1" applyBorder="1"/>
    <xf numFmtId="175" fontId="49" fillId="0" borderId="17" xfId="49" applyNumberFormat="1" applyFont="1" applyFill="1" applyBorder="1"/>
    <xf numFmtId="164" fontId="49" fillId="0" borderId="17" xfId="53" applyNumberFormat="1" applyFont="1" applyFill="1" applyBorder="1"/>
    <xf numFmtId="49" fontId="49" fillId="0" borderId="17" xfId="49" applyNumberFormat="1" applyFont="1" applyFill="1" applyBorder="1" applyAlignment="1">
      <alignment horizontal="center"/>
    </xf>
    <xf numFmtId="41" fontId="49" fillId="0" borderId="17" xfId="49" applyFont="1" applyFill="1" applyBorder="1"/>
    <xf numFmtId="0" fontId="49" fillId="0" borderId="17" xfId="49" applyNumberFormat="1" applyFont="1" applyFill="1" applyBorder="1" applyAlignment="1">
      <alignment horizontal="center"/>
    </xf>
    <xf numFmtId="164" fontId="49" fillId="0" borderId="17" xfId="49" applyNumberFormat="1" applyFont="1" applyFill="1" applyBorder="1"/>
    <xf numFmtId="0" fontId="49" fillId="0" borderId="18" xfId="0" applyFont="1" applyFill="1" applyBorder="1" applyAlignment="1">
      <alignment horizontal="center"/>
    </xf>
    <xf numFmtId="0" fontId="49" fillId="0" borderId="19" xfId="0" applyFont="1" applyFill="1" applyBorder="1" applyAlignment="1">
      <alignment horizontal="center"/>
    </xf>
    <xf numFmtId="0" fontId="49" fillId="0" borderId="19" xfId="0" applyFont="1" applyFill="1" applyBorder="1"/>
    <xf numFmtId="164" fontId="49" fillId="0" borderId="19" xfId="53" applyNumberFormat="1" applyFont="1" applyFill="1" applyBorder="1"/>
    <xf numFmtId="175" fontId="49" fillId="0" borderId="19" xfId="49" applyNumberFormat="1" applyFont="1" applyFill="1" applyBorder="1"/>
    <xf numFmtId="164" fontId="49" fillId="0" borderId="19" xfId="49" applyNumberFormat="1" applyFont="1" applyFill="1" applyBorder="1"/>
    <xf numFmtId="0" fontId="49" fillId="0" borderId="16" xfId="0" applyFont="1" applyFill="1" applyBorder="1" applyAlignment="1">
      <alignment horizontal="center"/>
    </xf>
    <xf numFmtId="0" fontId="49" fillId="0" borderId="16" xfId="0" applyFont="1" applyFill="1" applyBorder="1"/>
    <xf numFmtId="15" fontId="49" fillId="0" borderId="16" xfId="0" applyNumberFormat="1" applyFont="1" applyFill="1" applyBorder="1"/>
    <xf numFmtId="164" fontId="49" fillId="0" borderId="16" xfId="53" applyNumberFormat="1" applyFont="1" applyFill="1" applyBorder="1"/>
    <xf numFmtId="0" fontId="49" fillId="0" borderId="20" xfId="0" applyFont="1" applyFill="1" applyBorder="1" applyAlignment="1">
      <alignment horizontal="center" vertical="center" wrapText="1"/>
    </xf>
    <xf numFmtId="15" fontId="49" fillId="0" borderId="20" xfId="0" applyNumberFormat="1" applyFont="1" applyFill="1" applyBorder="1" applyAlignment="1">
      <alignment horizontal="center" vertical="center" wrapText="1"/>
    </xf>
    <xf numFmtId="164" fontId="49" fillId="0" borderId="20" xfId="53" applyNumberFormat="1" applyFont="1" applyFill="1" applyBorder="1" applyAlignment="1">
      <alignment horizontal="center" vertical="center" wrapText="1"/>
    </xf>
    <xf numFmtId="0" fontId="49" fillId="0" borderId="18" xfId="0" applyFont="1" applyFill="1" applyBorder="1"/>
    <xf numFmtId="175" fontId="49" fillId="0" borderId="18" xfId="49" applyNumberFormat="1" applyFont="1" applyFill="1" applyBorder="1"/>
    <xf numFmtId="0" fontId="72" fillId="0" borderId="0" xfId="0" applyFont="1" applyFill="1"/>
    <xf numFmtId="0" fontId="73" fillId="0" borderId="0" xfId="0" applyFont="1" applyFill="1"/>
    <xf numFmtId="41" fontId="73" fillId="0" borderId="0" xfId="47" applyFont="1" applyFill="1"/>
    <xf numFmtId="164" fontId="73" fillId="0" borderId="0" xfId="46" applyNumberFormat="1" applyFont="1" applyFill="1"/>
    <xf numFmtId="0" fontId="53" fillId="0" borderId="0" xfId="0" applyFont="1"/>
    <xf numFmtId="14" fontId="73" fillId="0" borderId="0" xfId="0" quotePrefix="1" applyNumberFormat="1" applyFont="1" applyFill="1"/>
    <xf numFmtId="14" fontId="73" fillId="0" borderId="0" xfId="0" applyNumberFormat="1" applyFont="1" applyFill="1" applyAlignment="1">
      <alignment horizontal="left"/>
    </xf>
    <xf numFmtId="41" fontId="73" fillId="0" borderId="0" xfId="47" applyFont="1" applyFill="1" applyBorder="1"/>
    <xf numFmtId="164" fontId="73" fillId="0" borderId="0" xfId="46" quotePrefix="1" applyNumberFormat="1" applyFont="1" applyFill="1" applyBorder="1"/>
    <xf numFmtId="0" fontId="53" fillId="0" borderId="0" xfId="0" applyFont="1" applyFill="1" applyAlignment="1"/>
    <xf numFmtId="41" fontId="53" fillId="0" borderId="0" xfId="47" applyFont="1"/>
    <xf numFmtId="14" fontId="53" fillId="0" borderId="0" xfId="0" applyNumberFormat="1" applyFont="1"/>
    <xf numFmtId="0" fontId="53" fillId="0" borderId="0" xfId="0" applyFont="1" applyFill="1"/>
    <xf numFmtId="41" fontId="53" fillId="0" borderId="0" xfId="47" applyFont="1" applyFill="1"/>
    <xf numFmtId="41" fontId="53" fillId="0" borderId="0" xfId="47" applyFont="1" applyAlignment="1">
      <alignment horizontal="center"/>
    </xf>
    <xf numFmtId="174" fontId="53" fillId="0" borderId="0" xfId="47" applyNumberFormat="1" applyFont="1"/>
    <xf numFmtId="37" fontId="55" fillId="0" borderId="0" xfId="79" applyNumberFormat="1" applyFont="1"/>
    <xf numFmtId="37" fontId="54" fillId="0" borderId="0" xfId="79" quotePrefix="1" applyNumberFormat="1" applyFont="1" applyBorder="1" applyAlignment="1">
      <alignment horizontal="center"/>
    </xf>
    <xf numFmtId="0" fontId="54" fillId="0" borderId="0" xfId="79" quotePrefix="1" applyNumberFormat="1" applyFont="1" applyBorder="1" applyAlignment="1">
      <alignment horizontal="center"/>
    </xf>
    <xf numFmtId="41" fontId="54" fillId="0" borderId="0" xfId="47" quotePrefix="1" applyFont="1" applyBorder="1" applyAlignment="1">
      <alignment horizontal="center"/>
    </xf>
    <xf numFmtId="164" fontId="54" fillId="0" borderId="0" xfId="57" quotePrefix="1" applyNumberFormat="1" applyFont="1" applyBorder="1" applyAlignment="1">
      <alignment horizontal="right"/>
    </xf>
    <xf numFmtId="0" fontId="54" fillId="0" borderId="11" xfId="79" applyNumberFormat="1" applyFont="1" applyBorder="1" applyAlignment="1">
      <alignment horizontal="center"/>
    </xf>
    <xf numFmtId="41" fontId="54" fillId="0" borderId="11" xfId="47" quotePrefix="1" applyFont="1" applyBorder="1" applyAlignment="1">
      <alignment horizontal="center"/>
    </xf>
    <xf numFmtId="164" fontId="54" fillId="0" borderId="11" xfId="57" quotePrefix="1" applyNumberFormat="1" applyFont="1" applyBorder="1" applyAlignment="1">
      <alignment horizontal="center"/>
    </xf>
    <xf numFmtId="0" fontId="55" fillId="0" borderId="0" xfId="79" applyNumberFormat="1" applyFont="1" applyBorder="1" applyAlignment="1">
      <alignment horizontal="center"/>
    </xf>
    <xf numFmtId="41" fontId="54" fillId="0" borderId="0" xfId="47" applyFont="1" applyBorder="1" applyAlignment="1">
      <alignment horizontal="center"/>
    </xf>
    <xf numFmtId="164" fontId="54" fillId="0" borderId="0" xfId="57" applyNumberFormat="1" applyFont="1" applyBorder="1" applyAlignment="1">
      <alignment horizontal="center"/>
    </xf>
    <xf numFmtId="37" fontId="54" fillId="0" borderId="0" xfId="79" quotePrefix="1" applyNumberFormat="1" applyFont="1" applyAlignment="1">
      <alignment horizontal="left"/>
    </xf>
    <xf numFmtId="37" fontId="55" fillId="0" borderId="0" xfId="79" applyNumberFormat="1" applyFont="1" applyAlignment="1">
      <alignment horizontal="center"/>
    </xf>
    <xf numFmtId="41" fontId="55" fillId="0" borderId="0" xfId="47" applyFont="1"/>
    <xf numFmtId="164" fontId="54" fillId="0" borderId="0" xfId="57" applyNumberFormat="1" applyFont="1" applyBorder="1" applyAlignment="1">
      <alignment horizontal="right"/>
    </xf>
    <xf numFmtId="37" fontId="55" fillId="0" borderId="0" xfId="79" applyNumberFormat="1" applyFont="1" applyAlignment="1">
      <alignment horizontal="left"/>
    </xf>
    <xf numFmtId="0" fontId="55" fillId="0" borderId="0" xfId="79" applyNumberFormat="1" applyFont="1" applyAlignment="1">
      <alignment horizontal="center"/>
    </xf>
    <xf numFmtId="41" fontId="55" fillId="0" borderId="0" xfId="47" applyFont="1" applyFill="1"/>
    <xf numFmtId="164" fontId="55" fillId="0" borderId="0" xfId="57" applyNumberFormat="1" applyFont="1" applyAlignment="1">
      <alignment horizontal="right"/>
    </xf>
    <xf numFmtId="164" fontId="55" fillId="0" borderId="0" xfId="57" quotePrefix="1" applyNumberFormat="1" applyFont="1" applyAlignment="1">
      <alignment horizontal="center"/>
    </xf>
    <xf numFmtId="41" fontId="55" fillId="0" borderId="0" xfId="47" applyFont="1" applyFill="1" applyBorder="1" applyAlignment="1">
      <alignment horizontal="right"/>
    </xf>
    <xf numFmtId="164" fontId="55" fillId="0" borderId="0" xfId="57" quotePrefix="1" applyNumberFormat="1" applyFont="1" applyBorder="1" applyAlignment="1">
      <alignment horizontal="center"/>
    </xf>
    <xf numFmtId="41" fontId="55" fillId="0" borderId="0" xfId="47" applyFont="1" applyFill="1" applyBorder="1"/>
    <xf numFmtId="41" fontId="55" fillId="0" borderId="11" xfId="47" quotePrefix="1" applyFont="1" applyBorder="1" applyAlignment="1">
      <alignment horizontal="center"/>
    </xf>
    <xf numFmtId="37" fontId="55" fillId="0" borderId="0" xfId="79" applyNumberFormat="1" applyFont="1" applyBorder="1"/>
    <xf numFmtId="164" fontId="55" fillId="0" borderId="11" xfId="57" quotePrefix="1" applyNumberFormat="1" applyFont="1" applyBorder="1" applyAlignment="1">
      <alignment horizontal="center"/>
    </xf>
    <xf numFmtId="164" fontId="55" fillId="0" borderId="0" xfId="57" applyNumberFormat="1" applyFont="1" applyBorder="1" applyAlignment="1">
      <alignment horizontal="right"/>
    </xf>
    <xf numFmtId="37" fontId="54" fillId="0" borderId="0" xfId="79" applyNumberFormat="1" applyFont="1" applyAlignment="1">
      <alignment horizontal="left"/>
    </xf>
    <xf numFmtId="164" fontId="55" fillId="0" borderId="12" xfId="57" applyNumberFormat="1" applyFont="1" applyBorder="1" applyAlignment="1">
      <alignment horizontal="right"/>
    </xf>
    <xf numFmtId="41" fontId="55" fillId="0" borderId="14" xfId="47" applyFont="1" applyFill="1" applyBorder="1" applyAlignment="1">
      <alignment horizontal="right"/>
    </xf>
    <xf numFmtId="37" fontId="54" fillId="0" borderId="0" xfId="79" applyNumberFormat="1" applyFont="1"/>
    <xf numFmtId="0" fontId="55" fillId="0" borderId="0" xfId="79" applyNumberFormat="1" applyFont="1" applyFill="1" applyAlignment="1">
      <alignment horizontal="center"/>
    </xf>
    <xf numFmtId="41" fontId="55" fillId="0" borderId="11" xfId="47" applyFont="1" applyFill="1" applyBorder="1" applyAlignment="1">
      <alignment horizontal="right"/>
    </xf>
    <xf numFmtId="164" fontId="55" fillId="0" borderId="11" xfId="57" applyNumberFormat="1" applyFont="1" applyFill="1" applyBorder="1" applyAlignment="1">
      <alignment horizontal="right"/>
    </xf>
    <xf numFmtId="164" fontId="55" fillId="0" borderId="11" xfId="57" applyNumberFormat="1" applyFont="1" applyBorder="1" applyAlignment="1">
      <alignment horizontal="right"/>
    </xf>
    <xf numFmtId="37" fontId="55" fillId="0" borderId="0" xfId="79" quotePrefix="1" applyNumberFormat="1" applyFont="1" applyAlignment="1">
      <alignment horizontal="left"/>
    </xf>
    <xf numFmtId="164" fontId="55" fillId="0" borderId="13" xfId="57" applyNumberFormat="1" applyFont="1" applyBorder="1" applyAlignment="1">
      <alignment horizontal="right"/>
    </xf>
    <xf numFmtId="41" fontId="55" fillId="0" borderId="11" xfId="47" applyFont="1" applyBorder="1" applyAlignment="1">
      <alignment horizontal="right"/>
    </xf>
    <xf numFmtId="41" fontId="55" fillId="0" borderId="12" xfId="47" applyFont="1" applyBorder="1"/>
    <xf numFmtId="41" fontId="55" fillId="0" borderId="0" xfId="47" applyFont="1" applyBorder="1"/>
    <xf numFmtId="37" fontId="55" fillId="0" borderId="0" xfId="79" quotePrefix="1" applyNumberFormat="1" applyFont="1" applyAlignment="1">
      <alignment horizontal="center"/>
    </xf>
    <xf numFmtId="41" fontId="55" fillId="0" borderId="0" xfId="47" quotePrefix="1" applyFont="1" applyAlignment="1">
      <alignment horizontal="right"/>
    </xf>
    <xf numFmtId="164" fontId="55" fillId="0" borderId="0" xfId="57" quotePrefix="1" applyNumberFormat="1" applyFont="1" applyAlignment="1">
      <alignment horizontal="right"/>
    </xf>
    <xf numFmtId="37" fontId="54" fillId="0" borderId="0" xfId="79" quotePrefix="1" applyNumberFormat="1" applyFont="1" applyAlignment="1"/>
    <xf numFmtId="41" fontId="54" fillId="0" borderId="0" xfId="49" quotePrefix="1" applyFont="1" applyAlignment="1"/>
    <xf numFmtId="37" fontId="55" fillId="0" borderId="0" xfId="83" applyFont="1"/>
    <xf numFmtId="37" fontId="54" fillId="0" borderId="0" xfId="83" quotePrefix="1" applyFont="1" applyAlignment="1"/>
    <xf numFmtId="41" fontId="55" fillId="0" borderId="0" xfId="49" applyFont="1"/>
    <xf numFmtId="37" fontId="54" fillId="0" borderId="11" xfId="83" quotePrefix="1" applyFont="1" applyBorder="1" applyAlignment="1"/>
    <xf numFmtId="37" fontId="55" fillId="0" borderId="0" xfId="83" applyFont="1" applyAlignment="1">
      <alignment horizontal="center"/>
    </xf>
    <xf numFmtId="164" fontId="54" fillId="0" borderId="0" xfId="57" quotePrefix="1" applyNumberFormat="1" applyFont="1" applyBorder="1" applyAlignment="1">
      <alignment horizontal="center"/>
    </xf>
    <xf numFmtId="37" fontId="54" fillId="0" borderId="11" xfId="83" quotePrefix="1" applyFont="1" applyBorder="1" applyAlignment="1">
      <alignment horizontal="center"/>
    </xf>
    <xf numFmtId="164" fontId="54" fillId="0" borderId="0" xfId="57" applyNumberFormat="1" applyFont="1" applyAlignment="1">
      <alignment horizontal="center"/>
    </xf>
    <xf numFmtId="37" fontId="54" fillId="0" borderId="0" xfId="83" applyFont="1" applyAlignment="1">
      <alignment horizontal="left"/>
    </xf>
    <xf numFmtId="37" fontId="55" fillId="0" borderId="0" xfId="83" applyFont="1" applyAlignment="1">
      <alignment horizontal="left"/>
    </xf>
    <xf numFmtId="164" fontId="55" fillId="0" borderId="0" xfId="57" applyNumberFormat="1" applyFont="1" applyAlignment="1">
      <alignment horizontal="center"/>
    </xf>
    <xf numFmtId="37" fontId="55" fillId="0" borderId="0" xfId="83" applyFont="1" applyBorder="1"/>
    <xf numFmtId="41" fontId="55" fillId="0" borderId="11" xfId="47" applyFont="1" applyBorder="1"/>
    <xf numFmtId="37" fontId="55" fillId="0" borderId="11" xfId="83" applyFont="1" applyBorder="1"/>
    <xf numFmtId="37" fontId="54" fillId="0" borderId="0" xfId="83" applyFont="1" applyBorder="1" applyAlignment="1">
      <alignment horizontal="left"/>
    </xf>
    <xf numFmtId="0" fontId="55" fillId="0" borderId="0" xfId="83" applyNumberFormat="1" applyFont="1" applyAlignment="1">
      <alignment horizontal="center"/>
    </xf>
    <xf numFmtId="164" fontId="55" fillId="0" borderId="0" xfId="57" applyNumberFormat="1" applyFont="1"/>
    <xf numFmtId="164" fontId="55" fillId="0" borderId="0" xfId="57" applyNumberFormat="1" applyFont="1" applyBorder="1" applyAlignment="1" applyProtection="1">
      <alignment horizontal="right"/>
    </xf>
    <xf numFmtId="164" fontId="55" fillId="0" borderId="0" xfId="57" applyNumberFormat="1" applyFont="1" applyBorder="1"/>
    <xf numFmtId="164" fontId="55" fillId="0" borderId="0" xfId="57" applyNumberFormat="1" applyFont="1" applyBorder="1" applyAlignment="1" applyProtection="1">
      <alignment horizontal="center"/>
    </xf>
    <xf numFmtId="10" fontId="55" fillId="0" borderId="0" xfId="86" quotePrefix="1" applyNumberFormat="1" applyFont="1" applyBorder="1" applyAlignment="1" applyProtection="1">
      <alignment horizontal="right"/>
    </xf>
    <xf numFmtId="41" fontId="55" fillId="0" borderId="0" xfId="49" applyFont="1" applyBorder="1"/>
    <xf numFmtId="164" fontId="55" fillId="0" borderId="0" xfId="57" quotePrefix="1" applyNumberFormat="1" applyFont="1" applyBorder="1" applyAlignment="1" applyProtection="1">
      <alignment horizontal="center" vertical="center"/>
    </xf>
    <xf numFmtId="164" fontId="55" fillId="0" borderId="0" xfId="57" quotePrefix="1" applyNumberFormat="1" applyFont="1" applyBorder="1" applyAlignment="1" applyProtection="1">
      <alignment horizontal="center"/>
    </xf>
    <xf numFmtId="164" fontId="55" fillId="0" borderId="0" xfId="57" quotePrefix="1" applyNumberFormat="1" applyFont="1" applyBorder="1" applyAlignment="1" applyProtection="1">
      <alignment horizontal="right"/>
    </xf>
    <xf numFmtId="164" fontId="55" fillId="0" borderId="11" xfId="57" applyNumberFormat="1" applyFont="1" applyBorder="1"/>
    <xf numFmtId="164" fontId="55" fillId="0" borderId="11" xfId="57" applyNumberFormat="1" applyFont="1" applyBorder="1" applyAlignment="1" applyProtection="1">
      <alignment horizontal="right"/>
    </xf>
    <xf numFmtId="37" fontId="54" fillId="0" borderId="0" xfId="83" applyFont="1"/>
    <xf numFmtId="37" fontId="54" fillId="0" borderId="0" xfId="83" quotePrefix="1" applyFont="1" applyAlignment="1">
      <alignment horizontal="left"/>
    </xf>
    <xf numFmtId="37" fontId="55" fillId="0" borderId="0" xfId="83" quotePrefix="1" applyFont="1" applyAlignment="1">
      <alignment horizontal="left"/>
    </xf>
    <xf numFmtId="164" fontId="55" fillId="0" borderId="11" xfId="57" quotePrefix="1" applyNumberFormat="1" applyFont="1" applyBorder="1" applyAlignment="1" applyProtection="1">
      <alignment horizontal="center"/>
    </xf>
    <xf numFmtId="164" fontId="55" fillId="0" borderId="11" xfId="57" quotePrefix="1" applyNumberFormat="1" applyFont="1" applyFill="1" applyBorder="1" applyAlignment="1">
      <alignment horizontal="right"/>
    </xf>
    <xf numFmtId="164" fontId="55" fillId="0" borderId="0" xfId="57" quotePrefix="1" applyNumberFormat="1" applyFont="1" applyFill="1" applyAlignment="1">
      <alignment horizontal="right"/>
    </xf>
    <xf numFmtId="164" fontId="55" fillId="0" borderId="0" xfId="57" applyNumberFormat="1" applyFont="1" applyBorder="1" applyAlignment="1">
      <alignment horizontal="center"/>
    </xf>
    <xf numFmtId="164" fontId="55" fillId="0" borderId="13" xfId="57" applyNumberFormat="1" applyFont="1" applyBorder="1" applyAlignment="1" applyProtection="1">
      <alignment horizontal="right"/>
    </xf>
    <xf numFmtId="37" fontId="55" fillId="0" borderId="0" xfId="83" applyFont="1" applyBorder="1" applyAlignment="1">
      <alignment horizontal="center"/>
    </xf>
    <xf numFmtId="0" fontId="55" fillId="0" borderId="0" xfId="72" applyFont="1" applyAlignment="1">
      <alignment horizontal="left"/>
    </xf>
    <xf numFmtId="164" fontId="55" fillId="0" borderId="12" xfId="57" applyNumberFormat="1" applyFont="1" applyBorder="1" applyAlignment="1" applyProtection="1">
      <alignment horizontal="right"/>
    </xf>
    <xf numFmtId="0" fontId="54" fillId="0" borderId="0" xfId="72" applyFont="1" applyAlignment="1">
      <alignment horizontal="left"/>
    </xf>
    <xf numFmtId="41" fontId="55" fillId="0" borderId="0" xfId="47" quotePrefix="1" applyFont="1" applyAlignment="1"/>
    <xf numFmtId="37" fontId="55" fillId="0" borderId="0" xfId="83" quotePrefix="1" applyFont="1" applyAlignment="1"/>
    <xf numFmtId="37" fontId="55" fillId="0" borderId="11" xfId="83" quotePrefix="1" applyFont="1" applyBorder="1" applyAlignment="1">
      <alignment horizontal="center"/>
    </xf>
    <xf numFmtId="37" fontId="55" fillId="0" borderId="12" xfId="83" applyFont="1" applyBorder="1"/>
    <xf numFmtId="43" fontId="55" fillId="0" borderId="0" xfId="46" applyFont="1"/>
    <xf numFmtId="170" fontId="55" fillId="0" borderId="0" xfId="82" applyFont="1"/>
    <xf numFmtId="170" fontId="54" fillId="0" borderId="0" xfId="82" quotePrefix="1" applyFont="1" applyAlignment="1">
      <alignment horizontal="center"/>
    </xf>
    <xf numFmtId="170" fontId="54" fillId="0" borderId="0" xfId="82" applyFont="1"/>
    <xf numFmtId="170" fontId="55" fillId="0" borderId="0" xfId="82" quotePrefix="1" applyFont="1" applyAlignment="1">
      <alignment horizontal="center"/>
    </xf>
    <xf numFmtId="170" fontId="54" fillId="0" borderId="0" xfId="82" applyFont="1" applyAlignment="1">
      <alignment horizontal="center"/>
    </xf>
    <xf numFmtId="170" fontId="55" fillId="0" borderId="0" xfId="82" applyFont="1" applyAlignment="1">
      <alignment horizontal="center"/>
    </xf>
    <xf numFmtId="170" fontId="54" fillId="0" borderId="0" xfId="82" quotePrefix="1" applyFont="1" applyBorder="1" applyAlignment="1"/>
    <xf numFmtId="170" fontId="54" fillId="0" borderId="21" xfId="82" quotePrefix="1" applyFont="1" applyBorder="1" applyAlignment="1">
      <alignment horizontal="center"/>
    </xf>
    <xf numFmtId="170" fontId="55" fillId="0" borderId="0" xfId="82" quotePrefix="1" applyFont="1" applyBorder="1" applyAlignment="1">
      <alignment horizontal="center"/>
    </xf>
    <xf numFmtId="170" fontId="54" fillId="0" borderId="0" xfId="82" quotePrefix="1" applyFont="1" applyBorder="1" applyAlignment="1">
      <alignment horizontal="center"/>
    </xf>
    <xf numFmtId="170" fontId="55" fillId="0" borderId="0" xfId="82" applyFont="1" applyAlignment="1">
      <alignment horizontal="left"/>
    </xf>
    <xf numFmtId="170" fontId="54" fillId="0" borderId="0" xfId="82" applyFont="1" applyAlignment="1">
      <alignment horizontal="left"/>
    </xf>
    <xf numFmtId="41" fontId="55" fillId="0" borderId="0" xfId="49" quotePrefix="1" applyFont="1" applyAlignment="1">
      <alignment horizontal="center"/>
    </xf>
    <xf numFmtId="41" fontId="55" fillId="0" borderId="11" xfId="49" quotePrefix="1" applyFont="1" applyBorder="1" applyAlignment="1">
      <alignment horizontal="center"/>
    </xf>
    <xf numFmtId="41" fontId="55" fillId="0" borderId="11" xfId="49" applyFont="1" applyBorder="1"/>
    <xf numFmtId="170" fontId="54" fillId="0" borderId="0" xfId="82" applyFont="1" applyBorder="1" applyAlignment="1">
      <alignment horizontal="left"/>
    </xf>
    <xf numFmtId="41" fontId="54" fillId="0" borderId="0" xfId="49" applyFont="1" applyBorder="1"/>
    <xf numFmtId="41" fontId="54" fillId="0" borderId="0" xfId="47" applyFont="1"/>
    <xf numFmtId="41" fontId="55" fillId="0" borderId="12" xfId="49" applyFont="1" applyBorder="1"/>
    <xf numFmtId="170" fontId="55" fillId="0" borderId="0" xfId="82" applyFont="1" applyBorder="1" applyAlignment="1">
      <alignment horizontal="left"/>
    </xf>
    <xf numFmtId="172" fontId="54" fillId="0" borderId="0" xfId="82" applyNumberFormat="1" applyFont="1"/>
    <xf numFmtId="37" fontId="54" fillId="0" borderId="0" xfId="80" quotePrefix="1" applyNumberFormat="1" applyFont="1" applyAlignment="1">
      <alignment horizontal="left"/>
    </xf>
    <xf numFmtId="0" fontId="55" fillId="0" borderId="0" xfId="73" applyNumberFormat="1" applyFont="1"/>
    <xf numFmtId="37" fontId="54" fillId="0" borderId="0" xfId="80" applyNumberFormat="1" applyFont="1" applyAlignment="1">
      <alignment horizontal="left"/>
    </xf>
    <xf numFmtId="0" fontId="55" fillId="0" borderId="0" xfId="73" applyNumberFormat="1" applyFont="1" applyBorder="1"/>
    <xf numFmtId="41" fontId="55" fillId="0" borderId="0" xfId="52" applyFont="1"/>
    <xf numFmtId="0" fontId="54" fillId="0" borderId="11" xfId="73" quotePrefix="1" applyNumberFormat="1" applyFont="1" applyBorder="1" applyAlignment="1">
      <alignment horizontal="center"/>
    </xf>
    <xf numFmtId="0" fontId="54" fillId="0" borderId="11" xfId="73" applyNumberFormat="1" applyFont="1" applyBorder="1" applyAlignment="1">
      <alignment horizontal="center"/>
    </xf>
    <xf numFmtId="15" fontId="54" fillId="0" borderId="0" xfId="73" applyNumberFormat="1" applyFont="1" applyAlignment="1">
      <alignment horizontal="center"/>
    </xf>
    <xf numFmtId="0" fontId="54" fillId="0" borderId="0" xfId="73" applyNumberFormat="1" applyFont="1"/>
    <xf numFmtId="41" fontId="55" fillId="0" borderId="0" xfId="73" applyNumberFormat="1" applyFont="1" applyBorder="1"/>
    <xf numFmtId="41" fontId="55" fillId="0" borderId="0" xfId="73" quotePrefix="1" applyNumberFormat="1" applyFont="1" applyBorder="1" applyAlignment="1">
      <alignment horizontal="center"/>
    </xf>
    <xf numFmtId="41" fontId="55" fillId="0" borderId="11" xfId="73" applyNumberFormat="1" applyFont="1" applyBorder="1"/>
    <xf numFmtId="41" fontId="55" fillId="0" borderId="11" xfId="73" quotePrefix="1" applyNumberFormat="1" applyFont="1" applyBorder="1" applyAlignment="1">
      <alignment horizontal="center"/>
    </xf>
    <xf numFmtId="1" fontId="55" fillId="0" borderId="0" xfId="81" applyFont="1" applyFill="1" applyBorder="1" applyAlignment="1" applyProtection="1">
      <alignment horizontal="left"/>
    </xf>
    <xf numFmtId="1" fontId="54" fillId="0" borderId="0" xfId="81" applyFont="1" applyFill="1" applyBorder="1" applyAlignment="1" applyProtection="1">
      <alignment horizontal="left"/>
    </xf>
    <xf numFmtId="41" fontId="55" fillId="0" borderId="0" xfId="47" quotePrefix="1" applyFont="1" applyAlignment="1">
      <alignment horizontal="center"/>
    </xf>
    <xf numFmtId="41" fontId="55" fillId="0" borderId="0" xfId="49" applyFont="1" applyAlignment="1">
      <alignment horizontal="center"/>
    </xf>
    <xf numFmtId="41" fontId="55" fillId="0" borderId="0" xfId="47" quotePrefix="1" applyFont="1" applyBorder="1" applyAlignment="1">
      <alignment horizontal="center"/>
    </xf>
    <xf numFmtId="41" fontId="55" fillId="0" borderId="0" xfId="52" quotePrefix="1" applyFont="1" applyBorder="1" applyAlignment="1">
      <alignment horizontal="center"/>
    </xf>
    <xf numFmtId="41" fontId="55" fillId="0" borderId="0" xfId="52" applyFont="1" applyBorder="1" applyAlignment="1">
      <alignment horizontal="center"/>
    </xf>
    <xf numFmtId="41" fontId="55" fillId="0" borderId="11" xfId="52" quotePrefix="1" applyFont="1" applyBorder="1" applyAlignment="1">
      <alignment horizontal="center"/>
    </xf>
    <xf numFmtId="41" fontId="55" fillId="0" borderId="11" xfId="52" quotePrefix="1" applyFont="1" applyBorder="1" applyAlignment="1">
      <alignment horizontal="center" vertical="center"/>
    </xf>
    <xf numFmtId="41" fontId="55" fillId="0" borderId="12" xfId="73" applyNumberFormat="1" applyFont="1" applyBorder="1"/>
    <xf numFmtId="41" fontId="55" fillId="0" borderId="0" xfId="73" applyNumberFormat="1" applyFont="1"/>
    <xf numFmtId="41" fontId="54" fillId="0" borderId="0" xfId="73" applyNumberFormat="1" applyFont="1" applyBorder="1"/>
    <xf numFmtId="41" fontId="54" fillId="0" borderId="0" xfId="52" applyFont="1" applyBorder="1"/>
    <xf numFmtId="0" fontId="54" fillId="0" borderId="0" xfId="0" applyFont="1" applyFill="1" applyBorder="1" applyAlignment="1">
      <alignment horizontal="left" vertical="center"/>
    </xf>
    <xf numFmtId="0" fontId="55" fillId="0" borderId="0" xfId="0" applyFont="1" applyFill="1" applyBorder="1" applyAlignment="1">
      <alignment vertical="center"/>
    </xf>
    <xf numFmtId="164" fontId="55" fillId="0" borderId="0" xfId="57" applyNumberFormat="1" applyFont="1" applyFill="1" applyBorder="1" applyAlignment="1">
      <alignment vertical="center"/>
    </xf>
    <xf numFmtId="41" fontId="55" fillId="0" borderId="0" xfId="47" applyFont="1" applyFill="1" applyBorder="1" applyAlignment="1">
      <alignment vertical="center"/>
    </xf>
    <xf numFmtId="164" fontId="54" fillId="0" borderId="0" xfId="57" applyNumberFormat="1" applyFont="1" applyFill="1" applyBorder="1" applyAlignment="1">
      <alignment horizontal="center" vertical="center"/>
    </xf>
    <xf numFmtId="164" fontId="54" fillId="0" borderId="0" xfId="57" applyNumberFormat="1" applyFont="1" applyFill="1" applyBorder="1" applyAlignment="1">
      <alignment vertical="center"/>
    </xf>
    <xf numFmtId="40" fontId="55" fillId="0" borderId="0" xfId="0" applyNumberFormat="1" applyFont="1" applyFill="1" applyBorder="1" applyAlignment="1">
      <alignment vertical="center"/>
    </xf>
    <xf numFmtId="174" fontId="55" fillId="0" borderId="0" xfId="47" applyNumberFormat="1" applyFont="1" applyFill="1" applyBorder="1" applyAlignment="1">
      <alignment vertical="center"/>
    </xf>
    <xf numFmtId="0" fontId="54" fillId="0" borderId="0" xfId="0" applyFont="1" applyFill="1" applyBorder="1" applyAlignment="1">
      <alignment vertical="center"/>
    </xf>
    <xf numFmtId="164" fontId="55" fillId="0" borderId="0" xfId="0" applyNumberFormat="1" applyFont="1" applyFill="1" applyBorder="1" applyAlignment="1">
      <alignment vertical="center"/>
    </xf>
    <xf numFmtId="164" fontId="54" fillId="0" borderId="22" xfId="57" applyNumberFormat="1" applyFont="1" applyFill="1" applyBorder="1" applyAlignment="1">
      <alignment horizontal="center" vertical="center"/>
    </xf>
    <xf numFmtId="41" fontId="54" fillId="0" borderId="22" xfId="47" applyFont="1" applyFill="1" applyBorder="1" applyAlignment="1">
      <alignment horizontal="center" vertical="center"/>
    </xf>
    <xf numFmtId="164" fontId="54" fillId="0" borderId="23" xfId="57" applyNumberFormat="1" applyFont="1" applyFill="1" applyBorder="1" applyAlignment="1">
      <alignment horizontal="center" vertical="center"/>
    </xf>
    <xf numFmtId="168" fontId="54" fillId="0" borderId="22" xfId="49" applyNumberFormat="1" applyFont="1" applyFill="1" applyBorder="1" applyAlignment="1">
      <alignment horizontal="center" vertical="center"/>
    </xf>
    <xf numFmtId="174" fontId="55" fillId="0" borderId="24" xfId="47" applyNumberFormat="1" applyFont="1" applyFill="1" applyBorder="1" applyAlignment="1">
      <alignment vertical="center"/>
    </xf>
    <xf numFmtId="164" fontId="54" fillId="0" borderId="25" xfId="57" applyNumberFormat="1" applyFont="1" applyFill="1" applyBorder="1" applyAlignment="1">
      <alignment horizontal="center" vertical="center"/>
    </xf>
    <xf numFmtId="41" fontId="54" fillId="0" borderId="25" xfId="47" applyFont="1" applyFill="1" applyBorder="1" applyAlignment="1">
      <alignment horizontal="center" vertical="center"/>
    </xf>
    <xf numFmtId="164" fontId="54" fillId="0" borderId="26" xfId="57" applyNumberFormat="1" applyFont="1" applyFill="1" applyBorder="1" applyAlignment="1">
      <alignment horizontal="center" vertical="center"/>
    </xf>
    <xf numFmtId="40" fontId="54" fillId="0" borderId="26" xfId="0" applyNumberFormat="1" applyFont="1" applyFill="1" applyBorder="1" applyAlignment="1">
      <alignment horizontal="center" vertical="center"/>
    </xf>
    <xf numFmtId="41" fontId="54" fillId="0" borderId="25" xfId="49" applyNumberFormat="1" applyFont="1" applyFill="1" applyBorder="1" applyAlignment="1">
      <alignment horizontal="center" vertical="center"/>
    </xf>
    <xf numFmtId="174" fontId="54" fillId="0" borderId="24" xfId="47" applyNumberFormat="1" applyFont="1" applyFill="1" applyBorder="1" applyAlignment="1">
      <alignment vertical="center"/>
    </xf>
    <xf numFmtId="41" fontId="54" fillId="0" borderId="0" xfId="47" applyFont="1" applyFill="1" applyBorder="1" applyAlignment="1">
      <alignment vertical="center"/>
    </xf>
    <xf numFmtId="173" fontId="54" fillId="0" borderId="27" xfId="57" quotePrefix="1" applyNumberFormat="1" applyFont="1" applyFill="1" applyBorder="1" applyAlignment="1">
      <alignment horizontal="center" vertical="center"/>
    </xf>
    <xf numFmtId="164" fontId="54" fillId="0" borderId="27" xfId="57" applyNumberFormat="1" applyFont="1" applyFill="1" applyBorder="1" applyAlignment="1">
      <alignment horizontal="center" vertical="center"/>
    </xf>
    <xf numFmtId="164" fontId="54" fillId="0" borderId="28" xfId="57" applyNumberFormat="1" applyFont="1" applyFill="1" applyBorder="1" applyAlignment="1">
      <alignment horizontal="center" vertical="center"/>
    </xf>
    <xf numFmtId="169" fontId="54" fillId="0" borderId="27" xfId="0" quotePrefix="1" applyNumberFormat="1" applyFont="1" applyFill="1" applyBorder="1" applyAlignment="1">
      <alignment horizontal="center" vertical="center"/>
    </xf>
    <xf numFmtId="0" fontId="55" fillId="0" borderId="25" xfId="0" applyFont="1" applyFill="1" applyBorder="1" applyAlignment="1">
      <alignment vertical="center"/>
    </xf>
    <xf numFmtId="0" fontId="55" fillId="0" borderId="29" xfId="0" applyFont="1" applyFill="1" applyBorder="1" applyAlignment="1">
      <alignment vertical="center"/>
    </xf>
    <xf numFmtId="0" fontId="55" fillId="0" borderId="30" xfId="0" applyFont="1" applyFill="1" applyBorder="1" applyAlignment="1">
      <alignment vertical="center"/>
    </xf>
    <xf numFmtId="0" fontId="55" fillId="0" borderId="23" xfId="0" applyFont="1" applyFill="1" applyBorder="1" applyAlignment="1">
      <alignment vertical="center"/>
    </xf>
    <xf numFmtId="164" fontId="55" fillId="0" borderId="25" xfId="57" applyNumberFormat="1" applyFont="1" applyFill="1" applyBorder="1" applyAlignment="1">
      <alignment vertical="center"/>
    </xf>
    <xf numFmtId="41" fontId="55" fillId="0" borderId="25" xfId="47" applyFont="1" applyFill="1" applyBorder="1" applyAlignment="1">
      <alignment vertical="center"/>
    </xf>
    <xf numFmtId="164" fontId="55" fillId="0" borderId="22" xfId="57" applyNumberFormat="1" applyFont="1" applyFill="1" applyBorder="1" applyAlignment="1">
      <alignment vertical="center"/>
    </xf>
    <xf numFmtId="164" fontId="54" fillId="0" borderId="22" xfId="57" applyNumberFormat="1" applyFont="1" applyFill="1" applyBorder="1" applyAlignment="1">
      <alignment vertical="center"/>
    </xf>
    <xf numFmtId="40" fontId="55" fillId="0" borderId="25" xfId="0" applyNumberFormat="1" applyFont="1" applyFill="1" applyBorder="1" applyAlignment="1">
      <alignment vertical="center"/>
    </xf>
    <xf numFmtId="0" fontId="54" fillId="0" borderId="25" xfId="0" applyFont="1" applyFill="1" applyBorder="1" applyAlignment="1">
      <alignment vertical="center"/>
    </xf>
    <xf numFmtId="0" fontId="54" fillId="0" borderId="24" xfId="0" applyFont="1" applyFill="1" applyBorder="1" applyAlignment="1">
      <alignment vertical="center"/>
    </xf>
    <xf numFmtId="0" fontId="55" fillId="0" borderId="26" xfId="0" applyFont="1" applyFill="1" applyBorder="1" applyAlignment="1">
      <alignment vertical="center"/>
    </xf>
    <xf numFmtId="164" fontId="54" fillId="0" borderId="25" xfId="57" applyNumberFormat="1" applyFont="1" applyFill="1" applyBorder="1" applyAlignment="1">
      <alignment vertical="center"/>
    </xf>
    <xf numFmtId="0" fontId="54" fillId="0" borderId="25" xfId="0" quotePrefix="1" applyFont="1" applyFill="1" applyBorder="1" applyAlignment="1">
      <alignment vertical="center"/>
    </xf>
    <xf numFmtId="0" fontId="54" fillId="0" borderId="24" xfId="0" quotePrefix="1" applyFont="1" applyFill="1" applyBorder="1" applyAlignment="1">
      <alignment vertical="center"/>
    </xf>
    <xf numFmtId="0" fontId="54" fillId="0" borderId="0" xfId="0" quotePrefix="1" applyFont="1" applyFill="1" applyBorder="1" applyAlignment="1">
      <alignment vertical="center"/>
    </xf>
    <xf numFmtId="0" fontId="54" fillId="0" borderId="26" xfId="0" applyFont="1" applyFill="1" applyBorder="1" applyAlignment="1">
      <alignment vertical="center"/>
    </xf>
    <xf numFmtId="0" fontId="54" fillId="0" borderId="31" xfId="0" applyFont="1" applyFill="1" applyBorder="1" applyAlignment="1">
      <alignment vertical="center"/>
    </xf>
    <xf numFmtId="0" fontId="54" fillId="0" borderId="32" xfId="0" applyFont="1" applyFill="1" applyBorder="1" applyAlignment="1">
      <alignment vertical="center"/>
    </xf>
    <xf numFmtId="0" fontId="54" fillId="0" borderId="33" xfId="0" applyFont="1" applyFill="1" applyBorder="1" applyAlignment="1">
      <alignment vertical="center"/>
    </xf>
    <xf numFmtId="0" fontId="55" fillId="0" borderId="34" xfId="0" applyFont="1" applyFill="1" applyBorder="1" applyAlignment="1">
      <alignment vertical="center"/>
    </xf>
    <xf numFmtId="164" fontId="55" fillId="0" borderId="31" xfId="57" applyNumberFormat="1" applyFont="1" applyFill="1" applyBorder="1" applyAlignment="1">
      <alignment vertical="center"/>
    </xf>
    <xf numFmtId="41" fontId="55" fillId="0" borderId="31" xfId="47" applyFont="1" applyFill="1" applyBorder="1" applyAlignment="1">
      <alignment vertical="center"/>
    </xf>
    <xf numFmtId="164" fontId="54" fillId="0" borderId="31" xfId="57" applyNumberFormat="1" applyFont="1" applyFill="1" applyBorder="1" applyAlignment="1">
      <alignment horizontal="center" vertical="center"/>
    </xf>
    <xf numFmtId="164" fontId="54" fillId="0" borderId="31" xfId="57" applyNumberFormat="1" applyFont="1" applyFill="1" applyBorder="1" applyAlignment="1">
      <alignment vertical="center"/>
    </xf>
    <xf numFmtId="0" fontId="55" fillId="0" borderId="33" xfId="0" applyFont="1" applyFill="1" applyBorder="1" applyAlignment="1">
      <alignment vertical="center"/>
    </xf>
    <xf numFmtId="164" fontId="55" fillId="0" borderId="25" xfId="57" applyNumberFormat="1" applyFont="1" applyFill="1" applyBorder="1" applyAlignment="1">
      <alignment horizontal="right" vertical="center"/>
    </xf>
    <xf numFmtId="0" fontId="54" fillId="0" borderId="35" xfId="0" applyFont="1" applyFill="1" applyBorder="1" applyAlignment="1">
      <alignment vertical="center"/>
    </xf>
    <xf numFmtId="0" fontId="54" fillId="0" borderId="36" xfId="0" applyFont="1" applyFill="1" applyBorder="1" applyAlignment="1">
      <alignment vertical="center"/>
    </xf>
    <xf numFmtId="0" fontId="54" fillId="0" borderId="37" xfId="0" applyFont="1" applyFill="1" applyBorder="1" applyAlignment="1">
      <alignment vertical="center"/>
    </xf>
    <xf numFmtId="0" fontId="55" fillId="0" borderId="38" xfId="0" applyFont="1" applyFill="1" applyBorder="1" applyAlignment="1">
      <alignment vertical="center"/>
    </xf>
    <xf numFmtId="164" fontId="55" fillId="0" borderId="35" xfId="57" applyNumberFormat="1" applyFont="1" applyFill="1" applyBorder="1" applyAlignment="1">
      <alignment vertical="center"/>
    </xf>
    <xf numFmtId="41" fontId="55" fillId="0" borderId="35" xfId="47" applyFont="1" applyFill="1" applyBorder="1" applyAlignment="1">
      <alignment vertical="center"/>
    </xf>
    <xf numFmtId="164" fontId="54" fillId="0" borderId="35" xfId="57" applyNumberFormat="1" applyFont="1" applyFill="1" applyBorder="1" applyAlignment="1">
      <alignment horizontal="center" vertical="center"/>
    </xf>
    <xf numFmtId="164" fontId="54" fillId="0" borderId="35" xfId="57" applyNumberFormat="1" applyFont="1" applyFill="1" applyBorder="1" applyAlignment="1">
      <alignment vertical="center"/>
    </xf>
    <xf numFmtId="0" fontId="54" fillId="0" borderId="28" xfId="0" applyFont="1" applyFill="1" applyBorder="1" applyAlignment="1">
      <alignment vertical="center"/>
    </xf>
    <xf numFmtId="0" fontId="54" fillId="0" borderId="39" xfId="0" applyFont="1" applyFill="1" applyBorder="1" applyAlignment="1">
      <alignment vertical="center"/>
    </xf>
    <xf numFmtId="0" fontId="54" fillId="0" borderId="40" xfId="0" applyFont="1" applyFill="1" applyBorder="1" applyAlignment="1">
      <alignment vertical="center"/>
    </xf>
    <xf numFmtId="0" fontId="55" fillId="0" borderId="41" xfId="0" applyFont="1" applyFill="1" applyBorder="1" applyAlignment="1">
      <alignment vertical="center"/>
    </xf>
    <xf numFmtId="164" fontId="54" fillId="0" borderId="28" xfId="57" applyNumberFormat="1" applyFont="1" applyFill="1" applyBorder="1" applyAlignment="1">
      <alignment vertical="center"/>
    </xf>
    <xf numFmtId="41" fontId="54" fillId="0" borderId="28" xfId="47" applyFont="1" applyFill="1" applyBorder="1" applyAlignment="1">
      <alignment vertical="center"/>
    </xf>
    <xf numFmtId="0" fontId="54" fillId="0" borderId="42" xfId="0" applyFont="1" applyFill="1" applyBorder="1" applyAlignment="1">
      <alignment vertical="center"/>
    </xf>
    <xf numFmtId="0" fontId="54" fillId="0" borderId="43" xfId="0" applyFont="1" applyFill="1" applyBorder="1" applyAlignment="1">
      <alignment vertical="center"/>
    </xf>
    <xf numFmtId="0" fontId="54" fillId="0" borderId="11" xfId="0" applyFont="1" applyFill="1" applyBorder="1" applyAlignment="1">
      <alignment vertical="center"/>
    </xf>
    <xf numFmtId="0" fontId="55" fillId="0" borderId="44" xfId="0" applyFont="1" applyFill="1" applyBorder="1" applyAlignment="1">
      <alignment vertical="center"/>
    </xf>
    <xf numFmtId="164" fontId="55" fillId="0" borderId="42" xfId="57" applyNumberFormat="1" applyFont="1" applyFill="1" applyBorder="1" applyAlignment="1">
      <alignment vertical="center"/>
    </xf>
    <xf numFmtId="41" fontId="55" fillId="0" borderId="42" xfId="47" applyFont="1" applyFill="1" applyBorder="1" applyAlignment="1">
      <alignment vertical="center"/>
    </xf>
    <xf numFmtId="164" fontId="54" fillId="0" borderId="42" xfId="57" applyNumberFormat="1" applyFont="1" applyFill="1" applyBorder="1" applyAlignment="1">
      <alignment horizontal="center" vertical="center"/>
    </xf>
    <xf numFmtId="164" fontId="54" fillId="0" borderId="42" xfId="57" applyNumberFormat="1" applyFont="1" applyFill="1" applyBorder="1" applyAlignment="1">
      <alignment vertical="center"/>
    </xf>
    <xf numFmtId="0" fontId="55" fillId="0" borderId="31" xfId="0" applyFont="1" applyFill="1" applyBorder="1" applyAlignment="1">
      <alignment vertical="center"/>
    </xf>
    <xf numFmtId="164" fontId="55" fillId="0" borderId="31" xfId="57" applyNumberFormat="1" applyFont="1" applyFill="1" applyBorder="1" applyAlignment="1">
      <alignment horizontal="right" vertical="center"/>
    </xf>
    <xf numFmtId="0" fontId="55" fillId="0" borderId="35" xfId="0" applyFont="1" applyFill="1" applyBorder="1" applyAlignment="1">
      <alignment vertical="center"/>
    </xf>
    <xf numFmtId="41" fontId="55" fillId="0" borderId="42" xfId="47" applyFont="1" applyFill="1" applyBorder="1" applyAlignment="1">
      <alignment horizontal="right" vertical="center"/>
    </xf>
    <xf numFmtId="0" fontId="55" fillId="0" borderId="37" xfId="0" applyFont="1" applyFill="1" applyBorder="1" applyAlignment="1">
      <alignment vertical="center"/>
    </xf>
    <xf numFmtId="0" fontId="55" fillId="0" borderId="28" xfId="0" applyFont="1" applyFill="1" applyBorder="1" applyAlignment="1">
      <alignment vertical="center"/>
    </xf>
    <xf numFmtId="164" fontId="54" fillId="0" borderId="41" xfId="57" applyNumberFormat="1" applyFont="1" applyFill="1" applyBorder="1" applyAlignment="1">
      <alignment vertical="center"/>
    </xf>
    <xf numFmtId="164" fontId="55" fillId="0" borderId="31" xfId="57" applyNumberFormat="1" applyFont="1" applyFill="1" applyBorder="1" applyAlignment="1" applyProtection="1"/>
    <xf numFmtId="41" fontId="55" fillId="0" borderId="31" xfId="47" applyFont="1" applyFill="1" applyBorder="1" applyAlignment="1" applyProtection="1"/>
    <xf numFmtId="0" fontId="55" fillId="0" borderId="42" xfId="0" applyFont="1" applyFill="1" applyBorder="1" applyAlignment="1">
      <alignment vertical="center"/>
    </xf>
    <xf numFmtId="164" fontId="55" fillId="0" borderId="25" xfId="57" applyNumberFormat="1" applyFont="1" applyFill="1" applyBorder="1" applyAlignment="1" applyProtection="1"/>
    <xf numFmtId="0" fontId="54" fillId="0" borderId="27" xfId="0" applyFont="1" applyFill="1" applyBorder="1" applyAlignment="1">
      <alignment vertical="center"/>
    </xf>
    <xf numFmtId="41" fontId="54" fillId="0" borderId="41" xfId="49" applyFont="1" applyFill="1" applyBorder="1" applyAlignment="1">
      <alignment vertical="center"/>
    </xf>
    <xf numFmtId="0" fontId="54" fillId="0" borderId="22" xfId="0" applyFont="1" applyFill="1" applyBorder="1" applyAlignment="1">
      <alignment vertical="center"/>
    </xf>
    <xf numFmtId="0" fontId="54" fillId="0" borderId="29" xfId="0" applyFont="1" applyFill="1" applyBorder="1" applyAlignment="1">
      <alignment vertical="center"/>
    </xf>
    <xf numFmtId="0" fontId="54" fillId="0" borderId="30" xfId="0" applyFont="1" applyFill="1" applyBorder="1" applyAlignment="1">
      <alignment vertical="center"/>
    </xf>
    <xf numFmtId="41" fontId="55" fillId="0" borderId="22" xfId="47" applyFont="1" applyFill="1" applyBorder="1" applyAlignment="1">
      <alignment vertical="center"/>
    </xf>
    <xf numFmtId="41" fontId="54" fillId="0" borderId="42" xfId="47" applyFont="1" applyFill="1" applyBorder="1" applyAlignment="1">
      <alignment vertical="center"/>
    </xf>
    <xf numFmtId="0" fontId="55" fillId="0" borderId="11" xfId="0" applyFont="1" applyFill="1" applyBorder="1" applyAlignment="1">
      <alignment vertical="center"/>
    </xf>
    <xf numFmtId="0" fontId="55" fillId="0" borderId="42" xfId="0" quotePrefix="1" applyFont="1" applyFill="1" applyBorder="1" applyAlignment="1">
      <alignment vertical="center"/>
    </xf>
    <xf numFmtId="41" fontId="54" fillId="0" borderId="25" xfId="47" applyFont="1" applyFill="1" applyBorder="1" applyAlignment="1">
      <alignment vertical="center"/>
    </xf>
    <xf numFmtId="41" fontId="54" fillId="0" borderId="22" xfId="47" applyFont="1" applyFill="1" applyBorder="1" applyAlignment="1">
      <alignment vertical="center"/>
    </xf>
    <xf numFmtId="0" fontId="55" fillId="0" borderId="31" xfId="0" quotePrefix="1" applyFont="1" applyFill="1" applyBorder="1" applyAlignment="1">
      <alignment vertical="center"/>
    </xf>
    <xf numFmtId="0" fontId="54" fillId="0" borderId="45" xfId="0" applyFont="1" applyFill="1" applyBorder="1" applyAlignment="1">
      <alignment vertical="center"/>
    </xf>
    <xf numFmtId="0" fontId="54" fillId="0" borderId="46" xfId="0" applyFont="1" applyFill="1" applyBorder="1" applyAlignment="1">
      <alignment vertical="center"/>
    </xf>
    <xf numFmtId="0" fontId="55" fillId="0" borderId="47" xfId="0" applyFont="1" applyFill="1" applyBorder="1" applyAlignment="1">
      <alignment vertical="center"/>
    </xf>
    <xf numFmtId="164" fontId="55" fillId="0" borderId="45" xfId="57" applyNumberFormat="1" applyFont="1" applyFill="1" applyBorder="1" applyAlignment="1">
      <alignment vertical="center"/>
    </xf>
    <xf numFmtId="41" fontId="55" fillId="0" borderId="45" xfId="47" applyFont="1" applyFill="1" applyBorder="1" applyAlignment="1">
      <alignment vertical="center"/>
    </xf>
    <xf numFmtId="171" fontId="54" fillId="0" borderId="45" xfId="57" applyNumberFormat="1" applyFont="1" applyFill="1" applyBorder="1" applyAlignment="1">
      <alignment horizontal="center" vertical="center"/>
    </xf>
    <xf numFmtId="0" fontId="54" fillId="0" borderId="48" xfId="0" applyFont="1" applyFill="1" applyBorder="1" applyAlignment="1">
      <alignment vertical="center"/>
    </xf>
    <xf numFmtId="0" fontId="54" fillId="0" borderId="3" xfId="0" applyFont="1" applyFill="1" applyBorder="1" applyAlignment="1">
      <alignment vertical="center"/>
    </xf>
    <xf numFmtId="0" fontId="55" fillId="0" borderId="49" xfId="0" applyFont="1" applyFill="1" applyBorder="1" applyAlignment="1">
      <alignment vertical="center"/>
    </xf>
    <xf numFmtId="164" fontId="54" fillId="0" borderId="27" xfId="57" applyNumberFormat="1" applyFont="1" applyFill="1" applyBorder="1" applyAlignment="1">
      <alignment vertical="center"/>
    </xf>
    <xf numFmtId="41" fontId="54" fillId="0" borderId="27" xfId="47" applyFont="1" applyFill="1" applyBorder="1" applyAlignment="1">
      <alignment vertical="center"/>
    </xf>
    <xf numFmtId="0" fontId="55" fillId="0" borderId="24" xfId="0" applyFont="1" applyFill="1" applyBorder="1" applyAlignment="1">
      <alignment vertical="center"/>
    </xf>
    <xf numFmtId="0" fontId="54" fillId="0" borderId="44" xfId="0" applyFont="1" applyFill="1" applyBorder="1" applyAlignment="1">
      <alignment vertical="center"/>
    </xf>
    <xf numFmtId="0" fontId="55" fillId="0" borderId="32" xfId="0" applyFont="1" applyFill="1" applyBorder="1" applyAlignment="1">
      <alignment vertical="center"/>
    </xf>
    <xf numFmtId="164" fontId="54" fillId="0" borderId="28" xfId="57" applyNumberFormat="1" applyFont="1" applyFill="1" applyBorder="1" applyAlignment="1">
      <alignment horizontal="right" vertical="center"/>
    </xf>
    <xf numFmtId="41" fontId="54" fillId="0" borderId="28" xfId="47" applyFont="1" applyFill="1" applyBorder="1" applyAlignment="1">
      <alignment horizontal="right" vertical="center"/>
    </xf>
    <xf numFmtId="0" fontId="55" fillId="0" borderId="22" xfId="0" applyFont="1" applyFill="1" applyBorder="1" applyAlignment="1">
      <alignment vertical="center"/>
    </xf>
    <xf numFmtId="0" fontId="55" fillId="0" borderId="35" xfId="0" quotePrefix="1" applyFont="1" applyFill="1" applyBorder="1" applyAlignment="1">
      <alignment vertical="center"/>
    </xf>
    <xf numFmtId="0" fontId="55" fillId="0" borderId="50" xfId="0" applyFont="1" applyFill="1" applyBorder="1" applyAlignment="1">
      <alignment vertical="center"/>
    </xf>
    <xf numFmtId="164" fontId="54" fillId="0" borderId="45" xfId="57" applyNumberFormat="1" applyFont="1" applyFill="1" applyBorder="1" applyAlignment="1">
      <alignment horizontal="center" vertical="center"/>
    </xf>
    <xf numFmtId="164" fontId="54" fillId="0" borderId="45" xfId="57" applyNumberFormat="1" applyFont="1" applyFill="1" applyBorder="1" applyAlignment="1">
      <alignment vertical="center"/>
    </xf>
    <xf numFmtId="0" fontId="55" fillId="0" borderId="3" xfId="0" applyFont="1" applyFill="1" applyBorder="1" applyAlignment="1">
      <alignment vertical="center"/>
    </xf>
    <xf numFmtId="164" fontId="55" fillId="0" borderId="27" xfId="57" applyNumberFormat="1" applyFont="1" applyFill="1" applyBorder="1" applyAlignment="1">
      <alignment vertical="center"/>
    </xf>
    <xf numFmtId="41" fontId="55" fillId="0" borderId="27" xfId="47" applyFont="1" applyFill="1" applyBorder="1" applyAlignment="1">
      <alignment vertical="center"/>
    </xf>
    <xf numFmtId="0" fontId="54" fillId="0" borderId="51" xfId="0" applyFont="1" applyFill="1" applyBorder="1" applyAlignment="1">
      <alignment vertical="center"/>
    </xf>
    <xf numFmtId="0" fontId="54" fillId="0" borderId="52" xfId="0" applyFont="1" applyFill="1" applyBorder="1" applyAlignment="1">
      <alignment vertical="center"/>
    </xf>
    <xf numFmtId="0" fontId="55" fillId="0" borderId="53" xfId="0" applyFont="1" applyFill="1" applyBorder="1" applyAlignment="1">
      <alignment vertical="center"/>
    </xf>
    <xf numFmtId="0" fontId="55" fillId="0" borderId="54" xfId="0" applyFont="1" applyFill="1" applyBorder="1" applyAlignment="1">
      <alignment vertical="center"/>
    </xf>
    <xf numFmtId="164" fontId="55" fillId="0" borderId="51" xfId="57" applyNumberFormat="1" applyFont="1" applyFill="1" applyBorder="1" applyAlignment="1">
      <alignment vertical="center"/>
    </xf>
    <xf numFmtId="41" fontId="55" fillId="0" borderId="51" xfId="47" applyFont="1" applyFill="1" applyBorder="1" applyAlignment="1">
      <alignment vertical="center"/>
    </xf>
    <xf numFmtId="164" fontId="54" fillId="0" borderId="51" xfId="57" applyNumberFormat="1" applyFont="1" applyFill="1" applyBorder="1" applyAlignment="1">
      <alignment horizontal="center" vertical="center"/>
    </xf>
    <xf numFmtId="164" fontId="54" fillId="0" borderId="51" xfId="57" applyNumberFormat="1" applyFont="1" applyFill="1" applyBorder="1" applyAlignment="1">
      <alignment vertical="center"/>
    </xf>
    <xf numFmtId="164" fontId="55" fillId="0" borderId="35" xfId="57" applyNumberFormat="1" applyFont="1" applyFill="1" applyBorder="1" applyAlignment="1">
      <alignment horizontal="right" vertical="center"/>
    </xf>
    <xf numFmtId="41" fontId="55" fillId="0" borderId="35" xfId="47" applyFont="1" applyFill="1" applyBorder="1" applyAlignment="1">
      <alignment horizontal="right" vertical="center"/>
    </xf>
    <xf numFmtId="0" fontId="54" fillId="0" borderId="49" xfId="0" applyFont="1" applyFill="1" applyBorder="1" applyAlignment="1">
      <alignment vertical="center"/>
    </xf>
    <xf numFmtId="0" fontId="54" fillId="0" borderId="53" xfId="0" applyFont="1" applyFill="1" applyBorder="1" applyAlignment="1">
      <alignment vertical="center"/>
    </xf>
    <xf numFmtId="0" fontId="54" fillId="0" borderId="54" xfId="0" applyFont="1" applyFill="1" applyBorder="1" applyAlignment="1">
      <alignment vertical="center"/>
    </xf>
    <xf numFmtId="41" fontId="54" fillId="0" borderId="51" xfId="47" applyFont="1" applyFill="1" applyBorder="1" applyAlignment="1">
      <alignment vertical="center"/>
    </xf>
    <xf numFmtId="0" fontId="54" fillId="0" borderId="34" xfId="0" applyFont="1" applyFill="1" applyBorder="1" applyAlignment="1">
      <alignment vertical="center"/>
    </xf>
    <xf numFmtId="41" fontId="54" fillId="0" borderId="31" xfId="47" applyFont="1" applyFill="1" applyBorder="1" applyAlignment="1">
      <alignment vertical="center"/>
    </xf>
    <xf numFmtId="41" fontId="55" fillId="0" borderId="25" xfId="47" applyFont="1" applyFill="1" applyBorder="1" applyAlignment="1">
      <alignment horizontal="right" vertical="center"/>
    </xf>
    <xf numFmtId="0" fontId="54" fillId="0" borderId="41" xfId="0" applyFont="1" applyFill="1" applyBorder="1" applyAlignment="1">
      <alignment vertical="center"/>
    </xf>
    <xf numFmtId="0" fontId="55" fillId="0" borderId="27" xfId="0" applyFont="1" applyFill="1" applyBorder="1" applyAlignment="1">
      <alignment vertical="center"/>
    </xf>
    <xf numFmtId="0" fontId="55" fillId="0" borderId="48" xfId="0" applyFont="1" applyFill="1" applyBorder="1" applyAlignment="1">
      <alignment vertical="center"/>
    </xf>
    <xf numFmtId="0" fontId="54" fillId="0" borderId="49" xfId="0" applyFont="1" applyFill="1" applyBorder="1" applyAlignment="1">
      <alignment horizontal="left" vertical="center"/>
    </xf>
    <xf numFmtId="0" fontId="55" fillId="0" borderId="36" xfId="0" applyFont="1" applyFill="1" applyBorder="1" applyAlignment="1">
      <alignment vertical="center"/>
    </xf>
    <xf numFmtId="41" fontId="55" fillId="0" borderId="31" xfId="47" applyFont="1" applyFill="1" applyBorder="1" applyAlignment="1">
      <alignment horizontal="right" vertical="center"/>
    </xf>
    <xf numFmtId="0" fontId="55" fillId="0" borderId="40" xfId="0" applyFont="1" applyFill="1" applyBorder="1" applyAlignment="1">
      <alignment vertical="center"/>
    </xf>
    <xf numFmtId="0" fontId="55" fillId="0" borderId="45" xfId="0" applyFont="1" applyFill="1" applyBorder="1" applyAlignment="1">
      <alignment vertical="center"/>
    </xf>
    <xf numFmtId="0" fontId="55" fillId="0" borderId="46" xfId="0" applyFont="1" applyFill="1" applyBorder="1" applyAlignment="1">
      <alignment vertical="center"/>
    </xf>
    <xf numFmtId="164" fontId="54" fillId="0" borderId="48" xfId="57" applyNumberFormat="1" applyFont="1" applyFill="1" applyBorder="1" applyAlignment="1">
      <alignment vertical="center"/>
    </xf>
    <xf numFmtId="164" fontId="54" fillId="0" borderId="39" xfId="57" applyNumberFormat="1" applyFont="1" applyFill="1" applyBorder="1" applyAlignment="1">
      <alignment vertical="center"/>
    </xf>
    <xf numFmtId="41" fontId="55" fillId="0" borderId="28" xfId="47" applyFont="1" applyFill="1" applyBorder="1" applyAlignment="1">
      <alignment vertical="center"/>
    </xf>
    <xf numFmtId="164" fontId="55" fillId="0" borderId="28" xfId="57" applyNumberFormat="1" applyFont="1" applyFill="1" applyBorder="1" applyAlignment="1">
      <alignment vertical="center"/>
    </xf>
    <xf numFmtId="0" fontId="55" fillId="0" borderId="32" xfId="0" quotePrefix="1" applyFont="1" applyFill="1" applyBorder="1" applyAlignment="1">
      <alignment vertical="center"/>
    </xf>
    <xf numFmtId="164" fontId="55" fillId="0" borderId="32" xfId="57" applyNumberFormat="1" applyFont="1" applyFill="1" applyBorder="1" applyAlignment="1">
      <alignment vertical="center"/>
    </xf>
    <xf numFmtId="0" fontId="55" fillId="0" borderId="25" xfId="0" quotePrefix="1" applyFont="1" applyFill="1" applyBorder="1" applyAlignment="1">
      <alignment vertical="center"/>
    </xf>
    <xf numFmtId="0" fontId="55" fillId="0" borderId="33" xfId="0" quotePrefix="1" applyFont="1" applyFill="1" applyBorder="1" applyAlignment="1">
      <alignment vertical="center"/>
    </xf>
    <xf numFmtId="41" fontId="55" fillId="0" borderId="11" xfId="47" quotePrefix="1" applyFont="1" applyFill="1" applyBorder="1" applyAlignment="1">
      <alignment horizontal="center" vertical="center"/>
    </xf>
    <xf numFmtId="0" fontId="55" fillId="0" borderId="0" xfId="0" quotePrefix="1" applyFont="1" applyFill="1" applyBorder="1" applyAlignment="1">
      <alignment horizontal="center" vertical="center"/>
    </xf>
    <xf numFmtId="41" fontId="55" fillId="0" borderId="11" xfId="47" applyFont="1" applyFill="1" applyBorder="1" applyAlignment="1">
      <alignment vertical="center"/>
    </xf>
    <xf numFmtId="174" fontId="55" fillId="0" borderId="31" xfId="47" applyNumberFormat="1" applyFont="1" applyFill="1" applyBorder="1" applyAlignment="1">
      <alignment vertical="center"/>
    </xf>
    <xf numFmtId="0" fontId="55" fillId="0" borderId="31" xfId="0" applyFont="1" applyFill="1" applyBorder="1" applyAlignment="1">
      <alignment horizontal="left" vertical="center"/>
    </xf>
    <xf numFmtId="41" fontId="55" fillId="0" borderId="0" xfId="0" applyNumberFormat="1" applyFont="1" applyFill="1" applyBorder="1" applyAlignment="1">
      <alignment vertical="center"/>
    </xf>
    <xf numFmtId="0" fontId="55" fillId="0" borderId="25" xfId="0" quotePrefix="1" applyFont="1" applyFill="1" applyBorder="1"/>
    <xf numFmtId="0" fontId="55" fillId="0" borderId="43" xfId="0" quotePrefix="1" applyFont="1" applyFill="1" applyBorder="1" applyAlignment="1">
      <alignment vertical="center"/>
    </xf>
    <xf numFmtId="164" fontId="55" fillId="0" borderId="42" xfId="57" applyNumberFormat="1" applyFont="1" applyFill="1" applyBorder="1" applyAlignment="1">
      <alignment horizontal="right" vertical="center"/>
    </xf>
    <xf numFmtId="0" fontId="55" fillId="0" borderId="24" xfId="0" quotePrefix="1" applyFont="1" applyFill="1" applyBorder="1" applyAlignment="1">
      <alignment vertical="center"/>
    </xf>
    <xf numFmtId="41" fontId="55" fillId="0" borderId="11" xfId="0" applyNumberFormat="1" applyFont="1" applyFill="1" applyBorder="1" applyAlignment="1">
      <alignment vertical="center"/>
    </xf>
    <xf numFmtId="174" fontId="55" fillId="0" borderId="0" xfId="47" applyNumberFormat="1" applyFont="1" applyFill="1" applyAlignment="1">
      <alignment horizontal="left"/>
    </xf>
    <xf numFmtId="0" fontId="55" fillId="0" borderId="0" xfId="0" quotePrefix="1" applyFont="1" applyFill="1" applyBorder="1" applyAlignment="1">
      <alignment vertical="center"/>
    </xf>
    <xf numFmtId="0" fontId="55" fillId="0" borderId="11" xfId="0" quotePrefix="1" applyFont="1" applyFill="1" applyBorder="1" applyAlignment="1">
      <alignment vertical="center"/>
    </xf>
    <xf numFmtId="174" fontId="55" fillId="0" borderId="0" xfId="47" quotePrefix="1" applyNumberFormat="1" applyFont="1" applyFill="1" applyAlignment="1">
      <alignment horizontal="left"/>
    </xf>
    <xf numFmtId="0" fontId="54" fillId="0" borderId="38" xfId="0" applyFont="1" applyFill="1" applyBorder="1" applyAlignment="1">
      <alignment vertical="center"/>
    </xf>
    <xf numFmtId="0" fontId="54" fillId="0" borderId="26" xfId="0" applyFont="1" applyFill="1" applyBorder="1"/>
    <xf numFmtId="0" fontId="55" fillId="0" borderId="31" xfId="0" applyFont="1" applyFill="1" applyBorder="1"/>
    <xf numFmtId="0" fontId="55" fillId="0" borderId="32" xfId="0" applyFont="1" applyFill="1" applyBorder="1"/>
    <xf numFmtId="0" fontId="55" fillId="0" borderId="33" xfId="0" applyFont="1" applyFill="1" applyBorder="1"/>
    <xf numFmtId="0" fontId="55" fillId="0" borderId="34" xfId="0" applyFont="1" applyFill="1" applyBorder="1"/>
    <xf numFmtId="174" fontId="54" fillId="0" borderId="0" xfId="47" applyNumberFormat="1" applyFont="1" applyFill="1" applyBorder="1" applyAlignment="1">
      <alignment vertical="center"/>
    </xf>
    <xf numFmtId="41" fontId="54" fillId="0" borderId="31" xfId="49" applyFont="1" applyFill="1" applyBorder="1" applyAlignment="1">
      <alignment vertical="center"/>
    </xf>
    <xf numFmtId="41" fontId="54" fillId="0" borderId="35" xfId="47" applyFont="1" applyFill="1" applyBorder="1" applyAlignment="1">
      <alignment vertical="center"/>
    </xf>
    <xf numFmtId="41" fontId="54" fillId="0" borderId="27" xfId="49" applyFont="1" applyFill="1" applyBorder="1" applyAlignment="1">
      <alignment vertical="center"/>
    </xf>
    <xf numFmtId="41" fontId="55" fillId="0" borderId="25" xfId="49" applyFont="1" applyFill="1" applyBorder="1" applyAlignment="1">
      <alignment vertical="center"/>
    </xf>
    <xf numFmtId="40" fontId="55" fillId="0" borderId="0" xfId="0" applyNumberFormat="1" applyFont="1" applyFill="1" applyBorder="1" applyAlignment="1">
      <alignment horizontal="right" vertical="center"/>
    </xf>
    <xf numFmtId="0" fontId="54" fillId="0" borderId="0" xfId="0" applyFont="1" applyFill="1" applyBorder="1" applyAlignment="1">
      <alignment horizontal="right" vertical="center"/>
    </xf>
    <xf numFmtId="41" fontId="55" fillId="0" borderId="0" xfId="49" applyFont="1" applyFill="1" applyBorder="1" applyAlignment="1">
      <alignment vertical="center"/>
    </xf>
    <xf numFmtId="41" fontId="53" fillId="0" borderId="0" xfId="0" applyNumberFormat="1" applyFont="1"/>
    <xf numFmtId="0" fontId="57" fillId="0" borderId="0" xfId="0" applyFont="1"/>
    <xf numFmtId="41" fontId="57" fillId="0" borderId="0" xfId="47" applyFont="1"/>
    <xf numFmtId="0" fontId="58" fillId="0" borderId="0" xfId="0" applyFont="1"/>
    <xf numFmtId="164" fontId="58" fillId="0" borderId="0" xfId="0" applyNumberFormat="1" applyFont="1"/>
    <xf numFmtId="164" fontId="57" fillId="0" borderId="0" xfId="0" applyNumberFormat="1" applyFont="1"/>
    <xf numFmtId="0" fontId="57" fillId="0" borderId="0" xfId="0" applyFont="1" applyFill="1"/>
    <xf numFmtId="43" fontId="53" fillId="0" borderId="0" xfId="46" applyFont="1"/>
    <xf numFmtId="43" fontId="53" fillId="0" borderId="0" xfId="0" applyNumberFormat="1" applyFont="1"/>
    <xf numFmtId="41" fontId="51" fillId="0" borderId="0" xfId="49" applyFont="1"/>
    <xf numFmtId="164" fontId="53" fillId="0" borderId="0" xfId="46" applyNumberFormat="1" applyFont="1"/>
    <xf numFmtId="0" fontId="57" fillId="0" borderId="19" xfId="0" applyFont="1" applyBorder="1"/>
    <xf numFmtId="0" fontId="57" fillId="0" borderId="55" xfId="0" applyFont="1" applyBorder="1"/>
    <xf numFmtId="164" fontId="53" fillId="0" borderId="0" xfId="0" applyNumberFormat="1" applyFont="1"/>
    <xf numFmtId="0" fontId="55" fillId="0" borderId="33" xfId="0" applyFont="1" applyFill="1" applyBorder="1" applyAlignment="1">
      <alignment horizontal="left" vertical="center" indent="2"/>
    </xf>
    <xf numFmtId="0" fontId="55" fillId="0" borderId="11" xfId="0" applyFont="1" applyFill="1" applyBorder="1" applyAlignment="1">
      <alignment horizontal="left" vertical="center" indent="2"/>
    </xf>
    <xf numFmtId="41" fontId="55" fillId="0" borderId="31" xfId="47" applyFont="1" applyFill="1" applyBorder="1"/>
    <xf numFmtId="41" fontId="55" fillId="0" borderId="25" xfId="47" applyFont="1" applyFill="1" applyBorder="1"/>
    <xf numFmtId="0" fontId="49" fillId="0" borderId="0" xfId="0" applyFont="1" applyFill="1" applyBorder="1" applyAlignment="1">
      <alignment horizontal="center"/>
    </xf>
    <xf numFmtId="0" fontId="49" fillId="0" borderId="0" xfId="0" applyFont="1" applyFill="1" applyBorder="1"/>
    <xf numFmtId="15" fontId="49" fillId="0" borderId="0" xfId="0" applyNumberFormat="1" applyFont="1" applyFill="1" applyBorder="1"/>
    <xf numFmtId="164" fontId="49" fillId="0" borderId="0" xfId="53" applyNumberFormat="1" applyFont="1" applyFill="1" applyBorder="1"/>
    <xf numFmtId="37" fontId="54" fillId="0" borderId="0" xfId="79" applyNumberFormat="1" applyFont="1" applyAlignment="1"/>
    <xf numFmtId="37" fontId="54" fillId="0" borderId="11" xfId="79" quotePrefix="1" applyNumberFormat="1" applyFont="1" applyBorder="1" applyAlignment="1"/>
    <xf numFmtId="37" fontId="55" fillId="0" borderId="0" xfId="79" applyNumberFormat="1" applyFont="1" applyAlignment="1">
      <alignment horizontal="right"/>
    </xf>
    <xf numFmtId="37" fontId="56" fillId="0" borderId="0" xfId="79" applyNumberFormat="1" applyFont="1" applyAlignment="1">
      <alignment horizontal="right"/>
    </xf>
    <xf numFmtId="37" fontId="59" fillId="0" borderId="0" xfId="79" applyNumberFormat="1" applyFont="1" applyAlignment="1">
      <alignment horizontal="right"/>
    </xf>
    <xf numFmtId="37" fontId="56" fillId="0" borderId="11" xfId="79" applyNumberFormat="1" applyFont="1" applyBorder="1" applyAlignment="1">
      <alignment horizontal="right"/>
    </xf>
    <xf numFmtId="37" fontId="54" fillId="0" borderId="11" xfId="79" applyNumberFormat="1" applyFont="1" applyBorder="1" applyAlignment="1"/>
    <xf numFmtId="37" fontId="54" fillId="0" borderId="0" xfId="79" applyNumberFormat="1" applyFont="1" applyBorder="1" applyAlignment="1"/>
    <xf numFmtId="37" fontId="59" fillId="0" borderId="0" xfId="79" quotePrefix="1" applyNumberFormat="1" applyFont="1" applyAlignment="1">
      <alignment horizontal="right"/>
    </xf>
    <xf numFmtId="37" fontId="59" fillId="0" borderId="0" xfId="79" applyNumberFormat="1" applyFont="1" applyBorder="1" applyAlignment="1">
      <alignment horizontal="right"/>
    </xf>
    <xf numFmtId="37" fontId="59" fillId="0" borderId="11" xfId="79" applyNumberFormat="1" applyFont="1" applyBorder="1" applyAlignment="1">
      <alignment horizontal="right"/>
    </xf>
    <xf numFmtId="37" fontId="54" fillId="0" borderId="0" xfId="83" applyFont="1" applyBorder="1" applyAlignment="1"/>
    <xf numFmtId="37" fontId="56" fillId="0" borderId="0" xfId="83" applyFont="1" applyAlignment="1">
      <alignment horizontal="right"/>
    </xf>
    <xf numFmtId="37" fontId="56" fillId="0" borderId="0" xfId="83" applyFont="1" applyBorder="1" applyAlignment="1">
      <alignment horizontal="right"/>
    </xf>
    <xf numFmtId="164" fontId="56" fillId="0" borderId="0" xfId="57" applyNumberFormat="1" applyFont="1" applyBorder="1" applyAlignment="1" applyProtection="1">
      <alignment horizontal="right"/>
    </xf>
    <xf numFmtId="37" fontId="59" fillId="0" borderId="0" xfId="83" applyFont="1" applyAlignment="1">
      <alignment horizontal="right"/>
    </xf>
    <xf numFmtId="0" fontId="55" fillId="0" borderId="0" xfId="72" applyFont="1" applyAlignment="1">
      <alignment horizontal="left" indent="2"/>
    </xf>
    <xf numFmtId="37" fontId="56" fillId="0" borderId="0" xfId="83" applyFont="1" applyAlignment="1">
      <alignment horizontal="right" indent="2"/>
    </xf>
    <xf numFmtId="170" fontId="54" fillId="0" borderId="0" xfId="82" applyFont="1" applyAlignment="1" applyProtection="1">
      <protection locked="0"/>
    </xf>
    <xf numFmtId="170" fontId="54" fillId="0" borderId="0" xfId="82" quotePrefix="1" applyFont="1" applyAlignment="1" applyProtection="1">
      <protection locked="0"/>
    </xf>
    <xf numFmtId="170" fontId="54" fillId="0" borderId="0" xfId="82" quotePrefix="1" applyFont="1" applyAlignment="1"/>
    <xf numFmtId="170" fontId="54" fillId="0" borderId="11" xfId="82" quotePrefix="1" applyFont="1" applyBorder="1" applyAlignment="1"/>
    <xf numFmtId="170" fontId="54" fillId="0" borderId="0" xfId="82" applyFont="1" applyBorder="1" applyAlignment="1"/>
    <xf numFmtId="170" fontId="55" fillId="0" borderId="11" xfId="82" applyFont="1" applyBorder="1"/>
    <xf numFmtId="170" fontId="59" fillId="0" borderId="0" xfId="82" applyFont="1" applyAlignment="1" applyProtection="1">
      <alignment horizontal="right"/>
      <protection locked="0"/>
    </xf>
    <xf numFmtId="170" fontId="56" fillId="0" borderId="0" xfId="82" applyFont="1" applyAlignment="1">
      <alignment horizontal="right"/>
    </xf>
    <xf numFmtId="170" fontId="59" fillId="0" borderId="0" xfId="82" applyFont="1" applyAlignment="1">
      <alignment horizontal="right"/>
    </xf>
    <xf numFmtId="170" fontId="59" fillId="0" borderId="21" xfId="82" applyFont="1" applyBorder="1" applyAlignment="1">
      <alignment horizontal="center"/>
    </xf>
    <xf numFmtId="170" fontId="59" fillId="0" borderId="11" xfId="82" applyFont="1" applyBorder="1" applyAlignment="1">
      <alignment horizontal="center"/>
    </xf>
    <xf numFmtId="43" fontId="1" fillId="0" borderId="0" xfId="46" applyFont="1" applyFill="1"/>
    <xf numFmtId="43" fontId="1" fillId="0" borderId="0" xfId="46" applyFont="1" applyAlignment="1">
      <alignment horizontal="right"/>
    </xf>
    <xf numFmtId="43" fontId="1" fillId="0" borderId="0" xfId="46" quotePrefix="1" applyFont="1" applyAlignment="1">
      <alignment horizontal="center"/>
    </xf>
    <xf numFmtId="43" fontId="1" fillId="0" borderId="0" xfId="46" applyFont="1" applyBorder="1"/>
    <xf numFmtId="43" fontId="1" fillId="0" borderId="0" xfId="46" applyFont="1" applyBorder="1" applyAlignment="1">
      <alignment horizontal="right"/>
    </xf>
    <xf numFmtId="43" fontId="1" fillId="0" borderId="11" xfId="46" applyFont="1" applyBorder="1" applyAlignment="1">
      <alignment horizontal="right"/>
    </xf>
    <xf numFmtId="37" fontId="54" fillId="0" borderId="0" xfId="80" applyNumberFormat="1" applyFont="1" applyAlignment="1"/>
    <xf numFmtId="37" fontId="54" fillId="0" borderId="11" xfId="80" applyNumberFormat="1" applyFont="1" applyBorder="1" applyAlignment="1"/>
    <xf numFmtId="37" fontId="59" fillId="0" borderId="0" xfId="80" applyNumberFormat="1" applyFont="1" applyAlignment="1">
      <alignment horizontal="right"/>
    </xf>
    <xf numFmtId="41" fontId="56" fillId="0" borderId="0" xfId="52" applyFont="1" applyBorder="1" applyAlignment="1">
      <alignment horizontal="right"/>
    </xf>
    <xf numFmtId="0" fontId="56" fillId="0" borderId="0" xfId="73" applyNumberFormat="1" applyFont="1" applyAlignment="1">
      <alignment horizontal="right"/>
    </xf>
    <xf numFmtId="41" fontId="59" fillId="0" borderId="0" xfId="52" applyFont="1" applyBorder="1" applyAlignment="1">
      <alignment horizontal="right"/>
    </xf>
    <xf numFmtId="0" fontId="59" fillId="0" borderId="0" xfId="73" applyNumberFormat="1" applyFont="1" applyAlignment="1">
      <alignment horizontal="right"/>
    </xf>
    <xf numFmtId="37" fontId="59" fillId="0" borderId="0" xfId="80" quotePrefix="1" applyNumberFormat="1" applyFont="1" applyAlignment="1">
      <alignment horizontal="right"/>
    </xf>
    <xf numFmtId="37" fontId="59" fillId="0" borderId="11" xfId="80" applyNumberFormat="1" applyFont="1" applyBorder="1" applyAlignment="1">
      <alignment horizontal="right"/>
    </xf>
    <xf numFmtId="41" fontId="56" fillId="0" borderId="0" xfId="52" applyFont="1" applyAlignment="1">
      <alignment horizontal="right"/>
    </xf>
    <xf numFmtId="41" fontId="55" fillId="0" borderId="37" xfId="47" applyFont="1" applyFill="1" applyBorder="1"/>
    <xf numFmtId="0" fontId="53" fillId="26" borderId="0" xfId="0" applyFont="1" applyFill="1"/>
    <xf numFmtId="41" fontId="53" fillId="26" borderId="0" xfId="47" applyFont="1" applyFill="1"/>
    <xf numFmtId="10" fontId="53" fillId="0" borderId="0" xfId="0" applyNumberFormat="1" applyFont="1"/>
    <xf numFmtId="164" fontId="53" fillId="0" borderId="0" xfId="46" applyNumberFormat="1" applyFont="1" applyFill="1"/>
    <xf numFmtId="0" fontId="60" fillId="0" borderId="0" xfId="0" applyFont="1"/>
    <xf numFmtId="178" fontId="53" fillId="0" borderId="0" xfId="0" applyNumberFormat="1" applyFont="1"/>
    <xf numFmtId="0" fontId="60" fillId="0" borderId="0" xfId="0" quotePrefix="1" applyFont="1"/>
    <xf numFmtId="0" fontId="60" fillId="26" borderId="0" xfId="0" applyFont="1" applyFill="1"/>
    <xf numFmtId="0" fontId="60" fillId="26" borderId="0" xfId="0" applyFont="1" applyFill="1" applyAlignment="1">
      <alignment horizontal="center"/>
    </xf>
    <xf numFmtId="164" fontId="55" fillId="0" borderId="0" xfId="46" applyNumberFormat="1" applyFont="1" applyFill="1"/>
    <xf numFmtId="41" fontId="60" fillId="0" borderId="0" xfId="47" applyFont="1"/>
    <xf numFmtId="0" fontId="49" fillId="0" borderId="17" xfId="0" quotePrefix="1" applyFont="1" applyFill="1" applyBorder="1"/>
    <xf numFmtId="0" fontId="49" fillId="0" borderId="16" xfId="0" quotePrefix="1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49" fillId="0" borderId="17" xfId="0" quotePrefix="1" applyFont="1" applyFill="1" applyBorder="1" applyAlignment="1">
      <alignment horizontal="center" vertical="center"/>
    </xf>
    <xf numFmtId="0" fontId="57" fillId="0" borderId="0" xfId="0" applyFont="1" applyAlignment="1">
      <alignment horizontal="center"/>
    </xf>
    <xf numFmtId="43" fontId="53" fillId="0" borderId="0" xfId="46" applyFont="1" applyFill="1"/>
    <xf numFmtId="0" fontId="73" fillId="0" borderId="0" xfId="0" applyFont="1" applyFill="1" applyAlignment="1">
      <alignment horizontal="right"/>
    </xf>
    <xf numFmtId="14" fontId="73" fillId="0" borderId="0" xfId="0" quotePrefix="1" applyNumberFormat="1" applyFont="1" applyFill="1" applyAlignment="1">
      <alignment horizontal="right"/>
    </xf>
    <xf numFmtId="0" fontId="53" fillId="0" borderId="0" xfId="0" applyFont="1" applyAlignment="1">
      <alignment horizontal="right"/>
    </xf>
    <xf numFmtId="0" fontId="53" fillId="26" borderId="0" xfId="0" applyFont="1" applyFill="1" applyAlignment="1">
      <alignment horizontal="right"/>
    </xf>
    <xf numFmtId="14" fontId="53" fillId="0" borderId="0" xfId="0" quotePrefix="1" applyNumberFormat="1" applyFont="1" applyAlignment="1">
      <alignment horizontal="right"/>
    </xf>
    <xf numFmtId="0" fontId="53" fillId="0" borderId="0" xfId="0" quotePrefix="1" applyFont="1"/>
    <xf numFmtId="164" fontId="73" fillId="0" borderId="0" xfId="46" applyNumberFormat="1" applyFont="1" applyFill="1" applyBorder="1"/>
    <xf numFmtId="37" fontId="0" fillId="0" borderId="0" xfId="79" applyNumberFormat="1" applyFont="1" applyAlignment="1">
      <alignment horizontal="left"/>
    </xf>
    <xf numFmtId="164" fontId="54" fillId="0" borderId="11" xfId="57" applyNumberFormat="1" applyFont="1" applyBorder="1" applyAlignment="1">
      <alignment horizontal="center"/>
    </xf>
    <xf numFmtId="164" fontId="1" fillId="0" borderId="0" xfId="46" applyNumberFormat="1" applyFont="1" applyAlignment="1">
      <alignment horizontal="right"/>
    </xf>
    <xf numFmtId="41" fontId="60" fillId="0" borderId="28" xfId="47" applyFont="1" applyBorder="1"/>
    <xf numFmtId="0" fontId="73" fillId="0" borderId="0" xfId="0" quotePrefix="1" applyFont="1" applyFill="1"/>
    <xf numFmtId="164" fontId="60" fillId="0" borderId="28" xfId="0" applyNumberFormat="1" applyFont="1" applyBorder="1"/>
    <xf numFmtId="164" fontId="53" fillId="0" borderId="0" xfId="0" applyNumberFormat="1" applyFont="1" applyFill="1"/>
    <xf numFmtId="41" fontId="53" fillId="0" borderId="0" xfId="49" applyFont="1" applyFill="1"/>
    <xf numFmtId="41" fontId="73" fillId="0" borderId="0" xfId="49" applyFont="1" applyFill="1"/>
    <xf numFmtId="41" fontId="55" fillId="0" borderId="12" xfId="47" applyNumberFormat="1" applyFont="1" applyBorder="1"/>
    <xf numFmtId="41" fontId="55" fillId="0" borderId="12" xfId="47" applyNumberFormat="1" applyFont="1" applyFill="1" applyBorder="1" applyAlignment="1">
      <alignment horizontal="right"/>
    </xf>
    <xf numFmtId="177" fontId="53" fillId="0" borderId="0" xfId="47" applyNumberFormat="1" applyFont="1"/>
    <xf numFmtId="41" fontId="53" fillId="0" borderId="0" xfId="49" applyFont="1"/>
    <xf numFmtId="164" fontId="53" fillId="0" borderId="0" xfId="57" applyNumberFormat="1" applyFont="1" applyFill="1"/>
    <xf numFmtId="164" fontId="73" fillId="0" borderId="0" xfId="57" applyNumberFormat="1" applyFont="1" applyFill="1"/>
    <xf numFmtId="0" fontId="53" fillId="27" borderId="0" xfId="0" applyFont="1" applyFill="1"/>
    <xf numFmtId="41" fontId="53" fillId="27" borderId="0" xfId="47" applyFont="1" applyFill="1"/>
    <xf numFmtId="43" fontId="73" fillId="0" borderId="0" xfId="46" applyFont="1" applyFill="1"/>
    <xf numFmtId="41" fontId="53" fillId="0" borderId="0" xfId="47" applyNumberFormat="1" applyFont="1"/>
    <xf numFmtId="164" fontId="55" fillId="0" borderId="0" xfId="46" applyNumberFormat="1" applyFont="1" applyFill="1" applyBorder="1" applyAlignment="1">
      <alignment vertical="center"/>
    </xf>
    <xf numFmtId="14" fontId="53" fillId="0" borderId="0" xfId="0" quotePrefix="1" applyNumberFormat="1" applyFont="1" applyAlignment="1">
      <alignment horizontal="left"/>
    </xf>
    <xf numFmtId="0" fontId="53" fillId="0" borderId="0" xfId="0" applyFont="1" applyAlignment="1">
      <alignment horizontal="left"/>
    </xf>
    <xf numFmtId="0" fontId="53" fillId="0" borderId="0" xfId="0" quotePrefix="1" applyFont="1" applyAlignment="1">
      <alignment horizontal="left"/>
    </xf>
    <xf numFmtId="14" fontId="53" fillId="0" borderId="0" xfId="0" applyNumberFormat="1" applyFont="1" applyAlignment="1"/>
    <xf numFmtId="41" fontId="51" fillId="0" borderId="0" xfId="49" applyNumberFormat="1" applyFont="1"/>
    <xf numFmtId="164" fontId="55" fillId="0" borderId="0" xfId="57" applyNumberFormat="1" applyFont="1" applyFill="1"/>
    <xf numFmtId="164" fontId="55" fillId="0" borderId="0" xfId="57" quotePrefix="1" applyNumberFormat="1" applyFont="1" applyFill="1" applyAlignment="1">
      <alignment horizontal="center"/>
    </xf>
    <xf numFmtId="164" fontId="55" fillId="0" borderId="11" xfId="57" applyNumberFormat="1" applyFont="1" applyFill="1" applyBorder="1"/>
    <xf numFmtId="41" fontId="54" fillId="0" borderId="33" xfId="47" applyFont="1" applyBorder="1"/>
    <xf numFmtId="37" fontId="54" fillId="0" borderId="11" xfId="83" applyFont="1" applyBorder="1"/>
    <xf numFmtId="164" fontId="54" fillId="0" borderId="11" xfId="57" applyNumberFormat="1" applyFont="1" applyBorder="1" applyAlignment="1" applyProtection="1">
      <alignment horizontal="right"/>
    </xf>
    <xf numFmtId="164" fontId="54" fillId="0" borderId="0" xfId="57" applyNumberFormat="1" applyFont="1"/>
    <xf numFmtId="164" fontId="54" fillId="0" borderId="0" xfId="57" applyNumberFormat="1" applyFont="1" applyBorder="1"/>
    <xf numFmtId="164" fontId="54" fillId="0" borderId="0" xfId="57" applyNumberFormat="1" applyFont="1" applyBorder="1" applyAlignment="1" applyProtection="1">
      <alignment horizontal="right"/>
    </xf>
    <xf numFmtId="164" fontId="54" fillId="0" borderId="12" xfId="57" applyNumberFormat="1" applyFont="1" applyBorder="1" applyAlignment="1" applyProtection="1">
      <alignment horizontal="right"/>
    </xf>
    <xf numFmtId="37" fontId="55" fillId="0" borderId="0" xfId="83" applyFont="1" applyAlignment="1">
      <alignment horizontal="left" indent="2"/>
    </xf>
    <xf numFmtId="41" fontId="73" fillId="0" borderId="0" xfId="49" applyFont="1" applyFill="1" applyBorder="1"/>
    <xf numFmtId="164" fontId="73" fillId="0" borderId="0" xfId="57" applyNumberFormat="1" applyFont="1" applyFill="1" applyBorder="1"/>
    <xf numFmtId="41" fontId="55" fillId="0" borderId="32" xfId="47" applyFont="1" applyFill="1" applyBorder="1" applyAlignment="1">
      <alignment vertical="center"/>
    </xf>
    <xf numFmtId="164" fontId="55" fillId="0" borderId="33" xfId="57" applyNumberFormat="1" applyFont="1" applyFill="1" applyBorder="1" applyAlignment="1">
      <alignment vertical="center"/>
    </xf>
    <xf numFmtId="173" fontId="54" fillId="0" borderId="27" xfId="57" applyNumberFormat="1" applyFont="1" applyFill="1" applyBorder="1" applyAlignment="1">
      <alignment horizontal="center" vertical="center"/>
    </xf>
    <xf numFmtId="14" fontId="73" fillId="28" borderId="0" xfId="0" quotePrefix="1" applyNumberFormat="1" applyFont="1" applyFill="1" applyAlignment="1">
      <alignment horizontal="right"/>
    </xf>
    <xf numFmtId="0" fontId="73" fillId="28" borderId="0" xfId="0" applyFont="1" applyFill="1"/>
    <xf numFmtId="0" fontId="53" fillId="28" borderId="0" xfId="0" applyFont="1" applyFill="1"/>
    <xf numFmtId="41" fontId="53" fillId="28" borderId="0" xfId="49" applyFont="1" applyFill="1"/>
    <xf numFmtId="164" fontId="73" fillId="28" borderId="0" xfId="46" quotePrefix="1" applyNumberFormat="1" applyFont="1" applyFill="1" applyBorder="1"/>
    <xf numFmtId="164" fontId="73" fillId="28" borderId="0" xfId="57" applyNumberFormat="1" applyFont="1" applyFill="1"/>
    <xf numFmtId="41" fontId="73" fillId="28" borderId="0" xfId="49" applyFont="1" applyFill="1"/>
    <xf numFmtId="41" fontId="53" fillId="28" borderId="0" xfId="47" applyFont="1" applyFill="1"/>
    <xf numFmtId="164" fontId="73" fillId="28" borderId="0" xfId="46" applyNumberFormat="1" applyFont="1" applyFill="1"/>
    <xf numFmtId="41" fontId="73" fillId="28" borderId="0" xfId="47" applyFont="1" applyFill="1"/>
    <xf numFmtId="43" fontId="53" fillId="0" borderId="0" xfId="57" applyFont="1" applyFill="1"/>
    <xf numFmtId="0" fontId="53" fillId="0" borderId="0" xfId="0" quotePrefix="1" applyFont="1" applyFill="1"/>
    <xf numFmtId="0" fontId="73" fillId="0" borderId="0" xfId="0" applyFont="1" applyFill="1" applyAlignment="1">
      <alignment horizontal="center"/>
    </xf>
    <xf numFmtId="164" fontId="73" fillId="0" borderId="0" xfId="57" applyNumberFormat="1" applyFont="1" applyFill="1" applyAlignment="1">
      <alignment horizontal="center"/>
    </xf>
    <xf numFmtId="43" fontId="73" fillId="0" borderId="0" xfId="57" applyFont="1" applyFill="1" applyAlignment="1">
      <alignment horizontal="center"/>
    </xf>
    <xf numFmtId="0" fontId="53" fillId="0" borderId="0" xfId="0" applyFont="1" applyFill="1" applyAlignment="1">
      <alignment horizontal="center"/>
    </xf>
    <xf numFmtId="176" fontId="73" fillId="0" borderId="0" xfId="57" applyNumberFormat="1" applyFont="1" applyFill="1"/>
    <xf numFmtId="164" fontId="74" fillId="0" borderId="0" xfId="57" applyNumberFormat="1" applyFont="1" applyFill="1"/>
    <xf numFmtId="43" fontId="73" fillId="0" borderId="0" xfId="57" applyFont="1" applyFill="1"/>
    <xf numFmtId="164" fontId="53" fillId="28" borderId="0" xfId="46" applyNumberFormat="1" applyFont="1" applyFill="1"/>
    <xf numFmtId="0" fontId="53" fillId="28" borderId="0" xfId="0" applyFont="1" applyFill="1" applyAlignment="1"/>
    <xf numFmtId="43" fontId="53" fillId="28" borderId="0" xfId="46" applyFont="1" applyFill="1"/>
    <xf numFmtId="43" fontId="53" fillId="0" borderId="0" xfId="0" applyNumberFormat="1" applyFont="1" applyFill="1"/>
    <xf numFmtId="164" fontId="55" fillId="0" borderId="0" xfId="46" applyNumberFormat="1" applyFont="1" applyBorder="1"/>
    <xf numFmtId="0" fontId="73" fillId="28" borderId="0" xfId="0" applyFont="1" applyFill="1" applyAlignment="1">
      <alignment horizontal="right"/>
    </xf>
    <xf numFmtId="14" fontId="73" fillId="28" borderId="0" xfId="0" applyNumberFormat="1" applyFont="1" applyFill="1" applyAlignment="1">
      <alignment horizontal="left"/>
    </xf>
    <xf numFmtId="164" fontId="53" fillId="28" borderId="0" xfId="57" applyNumberFormat="1" applyFont="1" applyFill="1"/>
    <xf numFmtId="14" fontId="53" fillId="0" borderId="0" xfId="0" quotePrefix="1" applyNumberFormat="1" applyFont="1" applyFill="1"/>
    <xf numFmtId="0" fontId="75" fillId="0" borderId="0" xfId="0" applyFont="1" applyFill="1"/>
    <xf numFmtId="43" fontId="75" fillId="0" borderId="0" xfId="46" applyFont="1" applyFill="1"/>
    <xf numFmtId="164" fontId="75" fillId="0" borderId="0" xfId="46" applyNumberFormat="1" applyFont="1" applyFill="1"/>
    <xf numFmtId="41" fontId="53" fillId="0" borderId="0" xfId="0" applyNumberFormat="1" applyFont="1" applyFill="1"/>
    <xf numFmtId="41" fontId="53" fillId="28" borderId="0" xfId="0" applyNumberFormat="1" applyFont="1" applyFill="1"/>
    <xf numFmtId="43" fontId="75" fillId="0" borderId="0" xfId="0" applyNumberFormat="1" applyFont="1" applyFill="1"/>
    <xf numFmtId="0" fontId="54" fillId="0" borderId="22" xfId="0" applyFont="1" applyFill="1" applyBorder="1" applyAlignment="1">
      <alignment horizontal="center" vertical="center" wrapText="1"/>
    </xf>
    <xf numFmtId="0" fontId="54" fillId="0" borderId="25" xfId="0" applyFont="1" applyFill="1" applyBorder="1" applyAlignment="1">
      <alignment horizontal="center" vertical="center" wrapText="1"/>
    </xf>
    <xf numFmtId="0" fontId="54" fillId="0" borderId="27" xfId="0" applyFont="1" applyFill="1" applyBorder="1" applyAlignment="1">
      <alignment horizontal="center" vertical="center" wrapText="1"/>
    </xf>
    <xf numFmtId="0" fontId="54" fillId="0" borderId="22" xfId="0" applyFont="1" applyFill="1" applyBorder="1" applyAlignment="1">
      <alignment horizontal="center" vertical="center"/>
    </xf>
    <xf numFmtId="0" fontId="54" fillId="0" borderId="25" xfId="0" applyFont="1" applyFill="1" applyBorder="1" applyAlignment="1">
      <alignment horizontal="center" vertical="center"/>
    </xf>
    <xf numFmtId="0" fontId="54" fillId="0" borderId="27" xfId="0" applyFont="1" applyFill="1" applyBorder="1" applyAlignment="1">
      <alignment horizontal="center" vertical="center"/>
    </xf>
    <xf numFmtId="164" fontId="54" fillId="0" borderId="39" xfId="57" applyNumberFormat="1" applyFont="1" applyFill="1" applyBorder="1" applyAlignment="1">
      <alignment horizontal="center" vertical="center"/>
    </xf>
    <xf numFmtId="164" fontId="54" fillId="0" borderId="40" xfId="57" applyNumberFormat="1" applyFont="1" applyFill="1" applyBorder="1" applyAlignment="1">
      <alignment horizontal="center" vertical="center"/>
    </xf>
    <xf numFmtId="164" fontId="54" fillId="0" borderId="41" xfId="57" applyNumberFormat="1" applyFont="1" applyFill="1" applyBorder="1" applyAlignment="1">
      <alignment horizontal="center" vertical="center"/>
    </xf>
    <xf numFmtId="37" fontId="55" fillId="0" borderId="0" xfId="79" applyNumberFormat="1" applyFont="1" applyAlignment="1">
      <alignment horizontal="center"/>
    </xf>
    <xf numFmtId="37" fontId="55" fillId="0" borderId="0" xfId="83" applyFont="1" applyAlignment="1">
      <alignment horizontal="center"/>
    </xf>
    <xf numFmtId="37" fontId="55" fillId="0" borderId="0" xfId="83" quotePrefix="1" applyFont="1" applyAlignment="1">
      <alignment horizontal="center"/>
    </xf>
    <xf numFmtId="170" fontId="55" fillId="0" borderId="0" xfId="82" applyFont="1" applyBorder="1" applyAlignment="1">
      <alignment horizontal="center"/>
    </xf>
    <xf numFmtId="170" fontId="55" fillId="0" borderId="0" xfId="82" applyFont="1" applyFill="1" applyAlignment="1">
      <alignment horizontal="center"/>
    </xf>
    <xf numFmtId="41" fontId="3" fillId="0" borderId="11" xfId="49" applyFont="1" applyBorder="1" applyAlignment="1">
      <alignment horizontal="center"/>
    </xf>
    <xf numFmtId="37" fontId="1" fillId="0" borderId="0" xfId="79" applyNumberFormat="1" applyFont="1" applyAlignment="1">
      <alignment horizontal="center"/>
    </xf>
    <xf numFmtId="37" fontId="3" fillId="0" borderId="0" xfId="79" applyNumberFormat="1" applyFont="1" applyAlignment="1">
      <alignment horizontal="center"/>
    </xf>
    <xf numFmtId="37" fontId="3" fillId="0" borderId="0" xfId="79" quotePrefix="1" applyNumberFormat="1" applyFont="1" applyAlignment="1">
      <alignment horizontal="center"/>
    </xf>
    <xf numFmtId="37" fontId="3" fillId="0" borderId="11" xfId="79" quotePrefix="1" applyNumberFormat="1" applyFont="1" applyBorder="1" applyAlignment="1">
      <alignment horizontal="center"/>
    </xf>
  </cellXfs>
  <cellStyles count="13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20% - 輔色1" xfId="7"/>
    <cellStyle name="20% - 輔色2" xfId="8"/>
    <cellStyle name="20% - 輔色3" xfId="9"/>
    <cellStyle name="20% - 輔色4" xfId="10"/>
    <cellStyle name="20% - 輔色5" xfId="11"/>
    <cellStyle name="20% - 輔色6" xfId="12"/>
    <cellStyle name="40% - Accent1" xfId="13" builtinId="31" customBuiltin="1"/>
    <cellStyle name="40% - Accent2" xfId="14" builtinId="35" customBuiltin="1"/>
    <cellStyle name="40% - Accent3" xfId="15" builtinId="39" customBuiltin="1"/>
    <cellStyle name="40% - Accent4" xfId="16" builtinId="43" customBuiltin="1"/>
    <cellStyle name="40% - Accent5" xfId="17" builtinId="47" customBuiltin="1"/>
    <cellStyle name="40% - Accent6" xfId="18" builtinId="51" customBuiltin="1"/>
    <cellStyle name="40% - 輔色1" xfId="19"/>
    <cellStyle name="40% - 輔色2" xfId="20"/>
    <cellStyle name="40% - 輔色3" xfId="21"/>
    <cellStyle name="40% - 輔色4" xfId="22"/>
    <cellStyle name="40% - 輔色5" xfId="23"/>
    <cellStyle name="40% - 輔色6" xfId="24"/>
    <cellStyle name="60% - Accent1" xfId="25" builtinId="32" customBuiltin="1"/>
    <cellStyle name="60% - Accent2" xfId="26" builtinId="36" customBuiltin="1"/>
    <cellStyle name="60% - Accent3" xfId="27" builtinId="40" customBuiltin="1"/>
    <cellStyle name="60% - Accent4" xfId="28" builtinId="44" customBuiltin="1"/>
    <cellStyle name="60% - Accent5" xfId="29" builtinId="48" customBuiltin="1"/>
    <cellStyle name="60% - Accent6" xfId="30" builtinId="52" customBuiltin="1"/>
    <cellStyle name="60% - 輔色1" xfId="31"/>
    <cellStyle name="60% - 輔色2" xfId="32"/>
    <cellStyle name="60% - 輔色3" xfId="33"/>
    <cellStyle name="60% - 輔色4" xfId="34"/>
    <cellStyle name="60% - 輔色5" xfId="35"/>
    <cellStyle name="60% - 輔色6" xfId="36"/>
    <cellStyle name="Accent1" xfId="37" builtinId="29" customBuiltin="1"/>
    <cellStyle name="Accent2" xfId="38" builtinId="33" customBuiltin="1"/>
    <cellStyle name="Accent3" xfId="39" builtinId="37" customBuiltin="1"/>
    <cellStyle name="Accent4" xfId="40" builtinId="41" customBuiltin="1"/>
    <cellStyle name="Accent5" xfId="41" builtinId="45" customBuiltin="1"/>
    <cellStyle name="Accent6" xfId="42" builtinId="49" customBuiltin="1"/>
    <cellStyle name="Bad" xfId="43" builtinId="27" customBuiltin="1"/>
    <cellStyle name="Calculation" xfId="44" builtinId="22" customBuiltin="1"/>
    <cellStyle name="Check Cell" xfId="45" builtinId="23" customBuiltin="1"/>
    <cellStyle name="Comma" xfId="46" builtinId="3"/>
    <cellStyle name="Comma [0]" xfId="47" builtinId="6"/>
    <cellStyle name="Comma [0] 2" xfId="48"/>
    <cellStyle name="Comma [0] 2 2" xfId="49"/>
    <cellStyle name="Comma [0] 3" xfId="50"/>
    <cellStyle name="Comma [0] 4" xfId="51"/>
    <cellStyle name="Comma [0] 5" xfId="52"/>
    <cellStyle name="Comma 2" xfId="53"/>
    <cellStyle name="Comma 2 2" xfId="54"/>
    <cellStyle name="Comma 3" xfId="55"/>
    <cellStyle name="Comma 4" xfId="56"/>
    <cellStyle name="Comma 5" xfId="57"/>
    <cellStyle name="CR Comma" xfId="58"/>
    <cellStyle name="Currency 2" xfId="59"/>
    <cellStyle name="Explanatory Text" xfId="60" builtinId="53" customBuiltin="1"/>
    <cellStyle name="Good" xfId="61" builtinId="26" customBuiltin="1"/>
    <cellStyle name="Heading" xfId="62"/>
    <cellStyle name="Heading 1" xfId="63" builtinId="16" customBuiltin="1"/>
    <cellStyle name="Heading 2" xfId="64" builtinId="17" customBuiltin="1"/>
    <cellStyle name="Heading 3" xfId="65" builtinId="18" customBuiltin="1"/>
    <cellStyle name="Heading 4" xfId="66" builtinId="19" customBuiltin="1"/>
    <cellStyle name="Input" xfId="67" builtinId="20" customBuiltin="1"/>
    <cellStyle name="Linked Cell" xfId="68" builtinId="24" customBuiltin="1"/>
    <cellStyle name="Neutral" xfId="69" builtinId="28" customBuiltin="1"/>
    <cellStyle name="Normal" xfId="0" builtinId="0"/>
    <cellStyle name="Normal - Style1" xfId="70"/>
    <cellStyle name="Normal 14" xfId="71"/>
    <cellStyle name="Normal 2" xfId="72"/>
    <cellStyle name="Normal 2 2" xfId="73"/>
    <cellStyle name="Normal 3" xfId="74"/>
    <cellStyle name="Normal 4" xfId="75"/>
    <cellStyle name="Normal 5" xfId="76"/>
    <cellStyle name="Normal 6" xfId="77"/>
    <cellStyle name="Normal 7" xfId="78"/>
    <cellStyle name="Normal 8" xfId="79"/>
    <cellStyle name="Normal 8 2" xfId="80"/>
    <cellStyle name="Normal_ARUS-KAS" xfId="81"/>
    <cellStyle name="Normal_EKUITAS" xfId="82"/>
    <cellStyle name="Normal_Gabungan05" xfId="83"/>
    <cellStyle name="Note" xfId="84" builtinId="10" customBuiltin="1"/>
    <cellStyle name="Output" xfId="85" builtinId="21" customBuiltin="1"/>
    <cellStyle name="Percent" xfId="86" builtinId="5"/>
    <cellStyle name="Percent (0)" xfId="87"/>
    <cellStyle name="Percent 2" xfId="88"/>
    <cellStyle name="Percent 3" xfId="89"/>
    <cellStyle name="S0" xfId="90"/>
    <cellStyle name="S1" xfId="91"/>
    <cellStyle name="S10" xfId="92"/>
    <cellStyle name="S11" xfId="93"/>
    <cellStyle name="S12" xfId="94"/>
    <cellStyle name="S13" xfId="95"/>
    <cellStyle name="S14" xfId="96"/>
    <cellStyle name="S15" xfId="97"/>
    <cellStyle name="S16" xfId="98"/>
    <cellStyle name="S2" xfId="99"/>
    <cellStyle name="S3" xfId="100"/>
    <cellStyle name="S4" xfId="101"/>
    <cellStyle name="S5" xfId="102"/>
    <cellStyle name="S6" xfId="103"/>
    <cellStyle name="S7" xfId="104"/>
    <cellStyle name="S8" xfId="105"/>
    <cellStyle name="S9" xfId="106"/>
    <cellStyle name="Tickmark" xfId="107"/>
    <cellStyle name="Title" xfId="108" builtinId="15" customBuiltin="1"/>
    <cellStyle name="Total" xfId="109" builtinId="25" customBuiltin="1"/>
    <cellStyle name="Warning Text" xfId="110" builtinId="11" customBuiltin="1"/>
    <cellStyle name="中等" xfId="111"/>
    <cellStyle name="備註" xfId="112"/>
    <cellStyle name="合計" xfId="113"/>
    <cellStyle name="壞" xfId="114"/>
    <cellStyle name="好" xfId="115"/>
    <cellStyle name="標題" xfId="116"/>
    <cellStyle name="標題 1" xfId="117"/>
    <cellStyle name="標題 2" xfId="118"/>
    <cellStyle name="標題 3" xfId="119"/>
    <cellStyle name="標題 4" xfId="120"/>
    <cellStyle name="檢查儲存格" xfId="121"/>
    <cellStyle name="計算方式" xfId="122"/>
    <cellStyle name="說明文字" xfId="123"/>
    <cellStyle name="警告文字" xfId="124"/>
    <cellStyle name="輔色1" xfId="125"/>
    <cellStyle name="輔色2" xfId="126"/>
    <cellStyle name="輔色3" xfId="127"/>
    <cellStyle name="輔色4" xfId="128"/>
    <cellStyle name="輔色5" xfId="129"/>
    <cellStyle name="輔色6" xfId="130"/>
    <cellStyle name="輸入" xfId="131"/>
    <cellStyle name="輸出" xfId="132"/>
    <cellStyle name="連結的儲存格" xfId="13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oshiba/Application%20Data/Microsoft/Excel/Gabungan%20REPORT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/Ahan/Term%20Project/Fortius/Des-03/Indo/Ga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ccounting/Laporan%20Keuangan/Financial%20Report/2018/0918/Laporan%20keuangan%20Ayers%202018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"/>
      <sheetName val="Ekuitas"/>
      <sheetName val="Laporan Arus Kas"/>
      <sheetName val="WP CF"/>
      <sheetName val="Komisaris"/>
      <sheetName val="Kas dan Setara Kas"/>
      <sheetName val="Piutang Reverse Repo"/>
      <sheetName val="Penyertaan modal"/>
      <sheetName val="Transaksi Pihak Berelasi"/>
      <sheetName val="Arus kas"/>
      <sheetName val="pemegang saham setela perubahan"/>
      <sheetName val="tdk mempengaruhi arus kas"/>
      <sheetName val="Pajak Kini"/>
    </sheetNames>
    <sheetDataSet>
      <sheetData sheetId="0" refreshError="1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ABA"/>
      <sheetName val="EKUITAS"/>
      <sheetName val="KAS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  <sheetName val="Neraca"/>
      <sheetName val="Laba"/>
      <sheetName val="Ekuitas"/>
      <sheetName val="Laporan Arus Kas"/>
      <sheetName val="Arus Kas"/>
      <sheetName val="Journal IDR 474"/>
      <sheetName val="Journal IDR 399"/>
      <sheetName val="BCA IDR"/>
      <sheetName val="Journal USD"/>
      <sheetName val="LIst Asse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6">
          <cell r="G46">
            <v>1961748783.7323604</v>
          </cell>
        </row>
      </sheetData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62"/>
  <sheetViews>
    <sheetView zoomScale="80" zoomScaleNormal="80" workbookViewId="0">
      <pane xSplit="5" ySplit="8" topLeftCell="G282" activePane="bottomRight" state="frozen"/>
      <selection pane="topRight" activeCell="F1" sqref="F1"/>
      <selection pane="bottomLeft" activeCell="A9" sqref="A9"/>
      <selection pane="bottomRight" activeCell="O312" sqref="O312"/>
    </sheetView>
  </sheetViews>
  <sheetFormatPr defaultRowHeight="14.25"/>
  <cols>
    <col min="1" max="1" width="9.7109375" style="272" customWidth="1"/>
    <col min="2" max="2" width="3" style="272" customWidth="1"/>
    <col min="3" max="3" width="7.7109375" style="272" customWidth="1"/>
    <col min="4" max="4" width="52.7109375" style="272" customWidth="1"/>
    <col min="5" max="5" width="17.7109375" style="273" hidden="1" customWidth="1"/>
    <col min="6" max="6" width="17.7109375" style="274" customWidth="1"/>
    <col min="7" max="7" width="7" style="275" customWidth="1"/>
    <col min="8" max="8" width="15.7109375" style="273" customWidth="1"/>
    <col min="9" max="9" width="8.7109375" style="275" customWidth="1"/>
    <col min="10" max="10" width="15.7109375" style="273" customWidth="1"/>
    <col min="11" max="11" width="5.7109375" style="275" customWidth="1"/>
    <col min="12" max="12" width="15.7109375" style="273" customWidth="1"/>
    <col min="13" max="13" width="5.7109375" style="276" customWidth="1"/>
    <col min="14" max="14" width="15.7109375" style="273" customWidth="1"/>
    <col min="15" max="15" width="20.140625" style="273" bestFit="1" customWidth="1"/>
    <col min="16" max="16" width="16.42578125" style="277" hidden="1" customWidth="1"/>
    <col min="17" max="17" width="17.7109375" style="277" hidden="1" customWidth="1"/>
    <col min="18" max="18" width="37.140625" style="278" bestFit="1" customWidth="1"/>
    <col min="19" max="19" width="15.85546875" style="274" bestFit="1" customWidth="1"/>
    <col min="20" max="20" width="16.28515625" style="272" bestFit="1" customWidth="1"/>
    <col min="21" max="21" width="15.85546875" style="272" bestFit="1" customWidth="1"/>
    <col min="22" max="16384" width="9.140625" style="272"/>
  </cols>
  <sheetData>
    <row r="1" spans="1:19">
      <c r="A1" s="271" t="s">
        <v>339</v>
      </c>
      <c r="B1" s="271"/>
      <c r="C1" s="271"/>
    </row>
    <row r="2" spans="1:19">
      <c r="A2" s="271" t="s">
        <v>857</v>
      </c>
      <c r="B2" s="271"/>
      <c r="C2" s="271"/>
    </row>
    <row r="3" spans="1:19">
      <c r="A3" s="279" t="s">
        <v>140</v>
      </c>
      <c r="B3" s="279"/>
      <c r="C3" s="279"/>
      <c r="D3" s="280"/>
    </row>
    <row r="5" spans="1:19" ht="15" thickBot="1">
      <c r="E5" s="273" t="e">
        <f>E115-E167</f>
        <v>#REF!</v>
      </c>
      <c r="F5" s="567">
        <f>F115-F167</f>
        <v>5.0159454345703125E-2</v>
      </c>
      <c r="O5" s="567">
        <f>O115-O167</f>
        <v>2.9850006103515625E-3</v>
      </c>
      <c r="P5" s="273">
        <f>P115-P167</f>
        <v>0</v>
      </c>
      <c r="Q5" s="273">
        <f>Q115-Q167</f>
        <v>0</v>
      </c>
    </row>
    <row r="6" spans="1:19" ht="15" thickBot="1">
      <c r="A6" s="623" t="s">
        <v>141</v>
      </c>
      <c r="B6" s="626" t="s">
        <v>142</v>
      </c>
      <c r="C6" s="626"/>
      <c r="D6" s="626"/>
      <c r="E6" s="281" t="s">
        <v>143</v>
      </c>
      <c r="F6" s="282" t="s">
        <v>401</v>
      </c>
      <c r="G6" s="629" t="s">
        <v>338</v>
      </c>
      <c r="H6" s="630"/>
      <c r="I6" s="630"/>
      <c r="J6" s="630"/>
      <c r="K6" s="630"/>
      <c r="L6" s="630"/>
      <c r="M6" s="630"/>
      <c r="N6" s="631"/>
      <c r="O6" s="282" t="s">
        <v>401</v>
      </c>
      <c r="P6" s="283" t="s">
        <v>143</v>
      </c>
      <c r="Q6" s="284" t="s">
        <v>143</v>
      </c>
      <c r="R6" s="285"/>
    </row>
    <row r="7" spans="1:19" s="279" customFormat="1" ht="15" thickBot="1">
      <c r="A7" s="624"/>
      <c r="B7" s="627"/>
      <c r="C7" s="627"/>
      <c r="D7" s="627"/>
      <c r="E7" s="286" t="s">
        <v>144</v>
      </c>
      <c r="F7" s="287" t="s">
        <v>402</v>
      </c>
      <c r="G7" s="629" t="s">
        <v>145</v>
      </c>
      <c r="H7" s="630"/>
      <c r="I7" s="630"/>
      <c r="J7" s="631"/>
      <c r="K7" s="629" t="s">
        <v>146</v>
      </c>
      <c r="L7" s="630"/>
      <c r="M7" s="630"/>
      <c r="N7" s="631"/>
      <c r="O7" s="288" t="s">
        <v>403</v>
      </c>
      <c r="P7" s="289" t="s">
        <v>147</v>
      </c>
      <c r="Q7" s="290"/>
      <c r="R7" s="291"/>
      <c r="S7" s="292"/>
    </row>
    <row r="8" spans="1:19" s="279" customFormat="1" ht="15" thickBot="1">
      <c r="A8" s="625"/>
      <c r="B8" s="628"/>
      <c r="C8" s="628"/>
      <c r="D8" s="628"/>
      <c r="E8" s="293">
        <v>42674</v>
      </c>
      <c r="F8" s="588">
        <v>43373</v>
      </c>
      <c r="G8" s="294"/>
      <c r="H8" s="294" t="s">
        <v>148</v>
      </c>
      <c r="I8" s="294"/>
      <c r="J8" s="294" t="s">
        <v>149</v>
      </c>
      <c r="K8" s="294"/>
      <c r="L8" s="294" t="s">
        <v>148</v>
      </c>
      <c r="M8" s="294"/>
      <c r="N8" s="295" t="s">
        <v>149</v>
      </c>
      <c r="O8" s="588">
        <v>43404</v>
      </c>
      <c r="P8" s="296">
        <v>42735</v>
      </c>
      <c r="Q8" s="293">
        <v>42490</v>
      </c>
      <c r="R8" s="291"/>
      <c r="S8" s="292"/>
    </row>
    <row r="9" spans="1:19">
      <c r="A9" s="297"/>
      <c r="B9" s="298"/>
      <c r="C9" s="299"/>
      <c r="D9" s="300"/>
      <c r="E9" s="301"/>
      <c r="F9" s="302"/>
      <c r="G9" s="281"/>
      <c r="H9" s="303"/>
      <c r="I9" s="281"/>
      <c r="J9" s="303"/>
      <c r="K9" s="281"/>
      <c r="L9" s="303"/>
      <c r="M9" s="304"/>
      <c r="N9" s="303"/>
      <c r="O9" s="303"/>
      <c r="P9" s="305"/>
      <c r="Q9" s="305"/>
    </row>
    <row r="10" spans="1:19">
      <c r="A10" s="306"/>
      <c r="B10" s="307"/>
      <c r="C10" s="279"/>
      <c r="D10" s="308"/>
      <c r="E10" s="301"/>
      <c r="F10" s="302"/>
      <c r="G10" s="286"/>
      <c r="H10" s="301"/>
      <c r="I10" s="286"/>
      <c r="J10" s="301"/>
      <c r="K10" s="286"/>
      <c r="L10" s="301"/>
      <c r="M10" s="309"/>
      <c r="N10" s="301"/>
      <c r="O10" s="301"/>
      <c r="P10" s="301"/>
      <c r="Q10" s="301"/>
    </row>
    <row r="11" spans="1:19">
      <c r="A11" s="310"/>
      <c r="B11" s="311" t="s">
        <v>2</v>
      </c>
      <c r="C11" s="312"/>
      <c r="D11" s="313"/>
      <c r="E11" s="301"/>
      <c r="F11" s="302"/>
      <c r="G11" s="286"/>
      <c r="H11" s="301"/>
      <c r="I11" s="286"/>
      <c r="J11" s="301"/>
      <c r="K11" s="286"/>
      <c r="L11" s="301"/>
      <c r="M11" s="309"/>
      <c r="N11" s="301"/>
      <c r="O11" s="301"/>
      <c r="P11" s="301"/>
      <c r="Q11" s="301"/>
    </row>
    <row r="12" spans="1:19">
      <c r="A12" s="310"/>
      <c r="B12" s="311"/>
      <c r="C12" s="312"/>
      <c r="D12" s="313"/>
      <c r="E12" s="301"/>
      <c r="F12" s="302"/>
      <c r="G12" s="286"/>
      <c r="H12" s="301"/>
      <c r="I12" s="286"/>
      <c r="J12" s="301"/>
      <c r="K12" s="286"/>
      <c r="L12" s="301"/>
      <c r="M12" s="309"/>
      <c r="N12" s="301"/>
      <c r="O12" s="301"/>
      <c r="P12" s="301"/>
      <c r="Q12" s="301"/>
    </row>
    <row r="13" spans="1:19">
      <c r="A13" s="306"/>
      <c r="B13" s="307" t="s">
        <v>150</v>
      </c>
      <c r="C13" s="279"/>
      <c r="D13" s="308"/>
      <c r="E13" s="301"/>
      <c r="F13" s="302"/>
      <c r="G13" s="286"/>
      <c r="H13" s="301"/>
      <c r="I13" s="286"/>
      <c r="J13" s="301"/>
      <c r="K13" s="286"/>
      <c r="L13" s="301"/>
      <c r="M13" s="309"/>
      <c r="N13" s="301"/>
      <c r="O13" s="301"/>
      <c r="P13" s="301"/>
      <c r="Q13" s="301"/>
    </row>
    <row r="14" spans="1:19">
      <c r="A14" s="306"/>
      <c r="B14" s="307"/>
      <c r="C14" s="279"/>
      <c r="D14" s="308"/>
      <c r="E14" s="301"/>
      <c r="F14" s="302"/>
      <c r="G14" s="286"/>
      <c r="H14" s="301"/>
      <c r="I14" s="286"/>
      <c r="J14" s="301"/>
      <c r="K14" s="286"/>
      <c r="L14" s="301"/>
      <c r="M14" s="309"/>
      <c r="N14" s="301"/>
      <c r="O14" s="301"/>
      <c r="P14" s="301"/>
      <c r="Q14" s="301"/>
    </row>
    <row r="15" spans="1:19">
      <c r="A15" s="306"/>
      <c r="B15" s="307" t="s">
        <v>151</v>
      </c>
      <c r="C15" s="279"/>
      <c r="D15" s="308"/>
      <c r="E15" s="301"/>
      <c r="F15" s="302"/>
      <c r="G15" s="286"/>
      <c r="H15" s="301"/>
      <c r="I15" s="286"/>
      <c r="J15" s="301"/>
      <c r="K15" s="286"/>
      <c r="L15" s="301"/>
      <c r="M15" s="309"/>
      <c r="N15" s="301"/>
      <c r="O15" s="301"/>
      <c r="P15" s="301"/>
      <c r="Q15" s="301"/>
    </row>
    <row r="16" spans="1:19">
      <c r="A16" s="314"/>
      <c r="B16" s="315" t="s">
        <v>152</v>
      </c>
      <c r="C16" s="316"/>
      <c r="D16" s="317"/>
      <c r="E16" s="318"/>
      <c r="F16" s="319"/>
      <c r="G16" s="320"/>
      <c r="H16" s="318"/>
      <c r="I16" s="320"/>
      <c r="J16" s="318"/>
      <c r="K16" s="320"/>
      <c r="L16" s="318"/>
      <c r="M16" s="321"/>
      <c r="N16" s="318"/>
      <c r="O16" s="318"/>
      <c r="P16" s="318"/>
      <c r="Q16" s="318"/>
    </row>
    <row r="17" spans="1:20">
      <c r="A17" s="314"/>
      <c r="B17" s="315"/>
      <c r="C17" s="322" t="s">
        <v>153</v>
      </c>
      <c r="D17" s="317"/>
      <c r="E17" s="323">
        <v>2000000</v>
      </c>
      <c r="F17" s="319">
        <v>11742168</v>
      </c>
      <c r="G17" s="320"/>
      <c r="H17" s="318">
        <f>'BCA IDR'!F97+'BCA IDR'!F207</f>
        <v>19685431</v>
      </c>
      <c r="I17" s="320"/>
      <c r="J17" s="318">
        <f>'Journal IDR 399'!G56+'BCA IDR'!G90+'BCA IDR'!G205+'Journal IDR 399'!G59+'Journal IDR 399'!G62</f>
        <v>21138176</v>
      </c>
      <c r="K17" s="320"/>
      <c r="L17" s="318"/>
      <c r="M17" s="321"/>
      <c r="N17" s="318"/>
      <c r="O17" s="318">
        <f>F17+H17-J17+L17-N17</f>
        <v>10289423</v>
      </c>
      <c r="P17" s="318">
        <v>0</v>
      </c>
      <c r="Q17" s="318">
        <v>0</v>
      </c>
    </row>
    <row r="18" spans="1:20" ht="15" thickBot="1">
      <c r="A18" s="324"/>
      <c r="B18" s="325"/>
      <c r="C18" s="326"/>
      <c r="D18" s="327"/>
      <c r="E18" s="328"/>
      <c r="F18" s="329"/>
      <c r="G18" s="330"/>
      <c r="H18" s="328"/>
      <c r="I18" s="330"/>
      <c r="J18" s="328"/>
      <c r="K18" s="330"/>
      <c r="L18" s="328"/>
      <c r="M18" s="331"/>
      <c r="N18" s="328"/>
      <c r="O18" s="328"/>
      <c r="P18" s="328"/>
      <c r="Q18" s="328"/>
    </row>
    <row r="19" spans="1:20" ht="15" thickBot="1">
      <c r="A19" s="332"/>
      <c r="B19" s="333" t="s">
        <v>154</v>
      </c>
      <c r="C19" s="334"/>
      <c r="D19" s="335"/>
      <c r="E19" s="336">
        <f>SUM(E17:E18)</f>
        <v>2000000</v>
      </c>
      <c r="F19" s="337">
        <f>SUM(F17:F18)</f>
        <v>11742168</v>
      </c>
      <c r="G19" s="295"/>
      <c r="H19" s="336">
        <f>SUM(H17:H18)</f>
        <v>19685431</v>
      </c>
      <c r="I19" s="295"/>
      <c r="J19" s="336">
        <f>SUM(J17:J18)</f>
        <v>21138176</v>
      </c>
      <c r="K19" s="295"/>
      <c r="L19" s="336">
        <f>SUM(L17:L18)</f>
        <v>0</v>
      </c>
      <c r="M19" s="336"/>
      <c r="N19" s="336">
        <f>SUM(N17:N18)</f>
        <v>0</v>
      </c>
      <c r="O19" s="336">
        <f>SUM(O17:O18)</f>
        <v>10289423</v>
      </c>
      <c r="P19" s="336">
        <f>SUM(P17:P18)</f>
        <v>0</v>
      </c>
      <c r="Q19" s="336">
        <f>SUM(Q17:Q18)</f>
        <v>0</v>
      </c>
    </row>
    <row r="20" spans="1:20">
      <c r="A20" s="338"/>
      <c r="B20" s="339"/>
      <c r="C20" s="340"/>
      <c r="D20" s="341"/>
      <c r="E20" s="342"/>
      <c r="F20" s="343"/>
      <c r="G20" s="344"/>
      <c r="H20" s="342"/>
      <c r="I20" s="344"/>
      <c r="J20" s="342"/>
      <c r="K20" s="344"/>
      <c r="L20" s="342"/>
      <c r="M20" s="345"/>
      <c r="N20" s="342"/>
      <c r="O20" s="342"/>
      <c r="P20" s="342"/>
      <c r="Q20" s="342"/>
    </row>
    <row r="21" spans="1:20">
      <c r="A21" s="314"/>
      <c r="B21" s="315" t="s">
        <v>155</v>
      </c>
      <c r="C21" s="316"/>
      <c r="D21" s="317"/>
      <c r="E21" s="318"/>
      <c r="F21" s="319"/>
      <c r="G21" s="320"/>
      <c r="H21" s="318"/>
      <c r="I21" s="320"/>
      <c r="J21" s="318"/>
      <c r="K21" s="320"/>
      <c r="L21" s="318"/>
      <c r="M21" s="321"/>
      <c r="N21" s="318"/>
      <c r="O21" s="318"/>
      <c r="P21" s="318"/>
      <c r="Q21" s="318"/>
    </row>
    <row r="22" spans="1:20">
      <c r="A22" s="314"/>
      <c r="B22" s="315" t="s">
        <v>156</v>
      </c>
      <c r="C22" s="316"/>
      <c r="D22" s="317"/>
      <c r="E22" s="318"/>
      <c r="F22" s="319"/>
      <c r="G22" s="320"/>
      <c r="H22" s="318"/>
      <c r="I22" s="320"/>
      <c r="J22" s="318"/>
      <c r="K22" s="320"/>
      <c r="L22" s="318"/>
      <c r="M22" s="321"/>
      <c r="N22" s="318"/>
      <c r="O22" s="318"/>
      <c r="P22" s="318"/>
      <c r="Q22" s="318"/>
    </row>
    <row r="23" spans="1:20">
      <c r="A23" s="346"/>
      <c r="B23" s="315"/>
      <c r="C23" s="322" t="s">
        <v>342</v>
      </c>
      <c r="D23" s="317"/>
      <c r="E23" s="347">
        <v>138180802</v>
      </c>
      <c r="F23" s="472">
        <v>98532385.860000134</v>
      </c>
      <c r="G23" s="320"/>
      <c r="H23" s="318">
        <f>'Journal USD'!F30+'Journal USD'!J27+'Journal USD'!F37+'Journal USD'!F45</f>
        <v>341401.91999986657</v>
      </c>
      <c r="I23" s="320"/>
      <c r="J23" s="318">
        <f>'Journal USD'!J9+'Journal USD'!J11+'Journal USD'!J14</f>
        <v>86568240</v>
      </c>
      <c r="K23" s="320"/>
      <c r="L23" s="318"/>
      <c r="M23" s="321"/>
      <c r="N23" s="318"/>
      <c r="O23" s="318">
        <f>F23+H23-J23+L23-N23</f>
        <v>12305547.780000001</v>
      </c>
      <c r="P23" s="318">
        <v>0</v>
      </c>
      <c r="Q23" s="318">
        <v>0</v>
      </c>
      <c r="R23" s="278">
        <v>808.14</v>
      </c>
      <c r="S23" s="274">
        <v>15227</v>
      </c>
      <c r="T23" s="274">
        <f>R23*S23</f>
        <v>12305547.779999999</v>
      </c>
    </row>
    <row r="24" spans="1:20">
      <c r="A24" s="348"/>
      <c r="B24" s="325"/>
      <c r="C24" s="322" t="s">
        <v>343</v>
      </c>
      <c r="D24" s="327"/>
      <c r="E24" s="347"/>
      <c r="F24" s="349">
        <v>11219854</v>
      </c>
      <c r="G24" s="330"/>
      <c r="H24" s="318">
        <f>'Journal IDR 474'!F8</f>
        <v>3689</v>
      </c>
      <c r="I24" s="320"/>
      <c r="J24" s="318">
        <f>'Journal IDR 474'!G7</f>
        <v>25000</v>
      </c>
      <c r="K24" s="330"/>
      <c r="L24" s="328"/>
      <c r="M24" s="331"/>
      <c r="N24" s="328"/>
      <c r="O24" s="318">
        <f>F24+H24-J24+L24-N24</f>
        <v>11198543</v>
      </c>
      <c r="P24" s="328"/>
      <c r="Q24" s="328"/>
      <c r="T24" s="280">
        <f>O23-T23</f>
        <v>0</v>
      </c>
    </row>
    <row r="25" spans="1:20">
      <c r="A25" s="348"/>
      <c r="B25" s="315"/>
      <c r="C25" s="322" t="s">
        <v>353</v>
      </c>
      <c r="D25" s="327"/>
      <c r="E25" s="347"/>
      <c r="F25" s="349">
        <v>850310916.23636389</v>
      </c>
      <c r="G25" s="330"/>
      <c r="H25" s="342">
        <f>'Journal IDR 399'!F10+'Journal IDR 399'!F13+'Journal IDR 399'!F16+'Journal IDR 399'!F19+'Journal IDR 399'!F22+'Journal IDR 399'!F37+'Journal IDR 399'!F48</f>
        <v>1016686053</v>
      </c>
      <c r="I25" s="344"/>
      <c r="J25" s="342">
        <f>'Journal IDR 399'!G6+'Journal IDR 399'!G8+'Journal IDR 399'!G26+'Journal IDR 399'!G28+'Journal IDR 399'!G31+'Journal IDR 399'!G33+'Journal IDR 399'!G36</f>
        <v>850080000</v>
      </c>
      <c r="K25" s="330"/>
      <c r="L25" s="328"/>
      <c r="M25" s="331"/>
      <c r="N25" s="328"/>
      <c r="O25" s="318">
        <f>F25+H25-J25+L25-N25</f>
        <v>1016916969.2363639</v>
      </c>
      <c r="P25" s="328"/>
      <c r="Q25" s="328"/>
    </row>
    <row r="26" spans="1:20">
      <c r="A26" s="348"/>
      <c r="B26" s="325"/>
      <c r="C26" s="322" t="s">
        <v>676</v>
      </c>
      <c r="D26" s="327"/>
      <c r="E26" s="347">
        <v>3319113</v>
      </c>
      <c r="F26" s="473">
        <v>26639109.87226522</v>
      </c>
      <c r="G26" s="330"/>
      <c r="H26" s="328">
        <f>'Journal IDR 399'!F5+'Journal IDR 399'!F25+'BCA IDR'!F45+'Journal IDR 399'!F30+'BCA IDR'!F236</f>
        <v>850227625.16999996</v>
      </c>
      <c r="I26" s="330"/>
      <c r="J26" s="328">
        <f>'BCA IDR'!G6+'BCA IDR'!G9+'BCA IDR'!G16+'BCA IDR'!G22+'BCA IDR'!G27+'BCA IDR'!G32+'BCA IDR'!G36+'BCA IDR'!G43+'BCA IDR'!G49+'BCA IDR'!G99+'BCA IDR'!G102+'BCA IDR'!G106+'BCA IDR'!G109+'BCA IDR'!G112+'BCA IDR'!G116+'BCA IDR'!G119+'BCA IDR'!G122+'BCA IDR'!G125+'BCA IDR'!G129+'BCA IDR'!G132+'BCA IDR'!G135+'BCA IDR'!G139+'BCA IDR'!G142+'BCA IDR'!G145+'BCA IDR'!G149+'BCA IDR'!G214+'BCA IDR'!G217+'BCA IDR'!G220+'BCA IDR'!G227+'BCA IDR'!G228+'BCA IDR'!G232+'BCA IDR'!G235</f>
        <v>874061634.72727275</v>
      </c>
      <c r="K26" s="330"/>
      <c r="L26" s="328"/>
      <c r="M26" s="331"/>
      <c r="N26" s="328"/>
      <c r="O26" s="318">
        <f>F26+H26-J26+L26-N26</f>
        <v>2805100.3149924278</v>
      </c>
      <c r="P26" s="328">
        <v>0</v>
      </c>
      <c r="Q26" s="328">
        <v>0</v>
      </c>
    </row>
    <row r="27" spans="1:20" ht="15" thickBot="1">
      <c r="A27" s="348"/>
      <c r="B27" s="325"/>
      <c r="C27" s="350"/>
      <c r="D27" s="327"/>
      <c r="E27" s="328"/>
      <c r="F27" s="329"/>
      <c r="G27" s="330"/>
      <c r="H27" s="328"/>
      <c r="I27" s="330"/>
      <c r="J27" s="328"/>
      <c r="K27" s="330"/>
      <c r="L27" s="328"/>
      <c r="M27" s="331"/>
      <c r="N27" s="328"/>
      <c r="O27" s="328"/>
      <c r="P27" s="328"/>
      <c r="Q27" s="328"/>
    </row>
    <row r="28" spans="1:20" ht="15" thickBot="1">
      <c r="A28" s="351"/>
      <c r="B28" s="333" t="s">
        <v>157</v>
      </c>
      <c r="C28" s="334"/>
      <c r="D28" s="335"/>
      <c r="E28" s="336">
        <f>SUM(E23:E27)</f>
        <v>141499915</v>
      </c>
      <c r="F28" s="337">
        <f>SUM(F23:F27)</f>
        <v>986702265.96862924</v>
      </c>
      <c r="G28" s="295"/>
      <c r="H28" s="336">
        <f>SUM(H23:H27)</f>
        <v>1867258769.0899997</v>
      </c>
      <c r="I28" s="295"/>
      <c r="J28" s="336">
        <f>SUM(J23:J27)</f>
        <v>1810734874.7272727</v>
      </c>
      <c r="K28" s="295"/>
      <c r="L28" s="336">
        <f>SUM(L23:L27)</f>
        <v>0</v>
      </c>
      <c r="M28" s="336"/>
      <c r="N28" s="336">
        <f>SUM(N23:N27)</f>
        <v>0</v>
      </c>
      <c r="O28" s="336">
        <f>SUM(O23:O27)</f>
        <v>1043226160.3313563</v>
      </c>
      <c r="P28" s="352">
        <f>SUM(P23:P27)</f>
        <v>0</v>
      </c>
      <c r="Q28" s="352">
        <f>SUM(Q23:Q27)</f>
        <v>0</v>
      </c>
    </row>
    <row r="29" spans="1:20">
      <c r="A29" s="348"/>
      <c r="B29" s="325"/>
      <c r="C29" s="350"/>
      <c r="D29" s="327"/>
      <c r="E29" s="328"/>
      <c r="F29" s="329"/>
      <c r="G29" s="330"/>
      <c r="H29" s="328"/>
      <c r="I29" s="330"/>
      <c r="J29" s="328"/>
      <c r="K29" s="330"/>
      <c r="L29" s="328"/>
      <c r="M29" s="331"/>
      <c r="N29" s="328"/>
      <c r="O29" s="328"/>
      <c r="P29" s="328"/>
      <c r="Q29" s="328"/>
    </row>
    <row r="30" spans="1:20">
      <c r="A30" s="348"/>
      <c r="B30" s="325" t="s">
        <v>158</v>
      </c>
      <c r="C30" s="350"/>
      <c r="D30" s="327"/>
      <c r="E30" s="318"/>
      <c r="F30" s="319"/>
      <c r="G30" s="330"/>
      <c r="H30" s="328"/>
      <c r="I30" s="330"/>
      <c r="J30" s="328"/>
      <c r="K30" s="330"/>
      <c r="L30" s="328"/>
      <c r="M30" s="331"/>
      <c r="N30" s="328"/>
      <c r="O30" s="328"/>
      <c r="P30" s="328"/>
      <c r="Q30" s="328"/>
    </row>
    <row r="31" spans="1:20">
      <c r="A31" s="348"/>
      <c r="B31" s="325"/>
      <c r="C31" s="322" t="s">
        <v>652</v>
      </c>
      <c r="D31" s="327"/>
      <c r="E31" s="353"/>
      <c r="F31" s="354">
        <v>0</v>
      </c>
      <c r="G31" s="330"/>
      <c r="H31" s="328"/>
      <c r="I31" s="330"/>
      <c r="J31" s="328"/>
      <c r="K31" s="330"/>
      <c r="L31" s="328"/>
      <c r="M31" s="331"/>
      <c r="N31" s="328"/>
      <c r="O31" s="318">
        <f>F31+H31-J31+L31-N31</f>
        <v>0</v>
      </c>
      <c r="P31" s="318">
        <v>0</v>
      </c>
      <c r="Q31" s="318">
        <v>0</v>
      </c>
    </row>
    <row r="32" spans="1:20">
      <c r="A32" s="346"/>
      <c r="B32" s="325"/>
      <c r="C32" s="322" t="s">
        <v>653</v>
      </c>
      <c r="D32" s="327"/>
      <c r="E32" s="353"/>
      <c r="F32" s="354">
        <v>0</v>
      </c>
      <c r="G32" s="330"/>
      <c r="H32" s="328"/>
      <c r="I32" s="330"/>
      <c r="J32" s="328"/>
      <c r="K32" s="330"/>
      <c r="L32" s="328"/>
      <c r="M32" s="331"/>
      <c r="N32" s="328"/>
      <c r="O32" s="318">
        <f>F32+H32-J32+L32-N32</f>
        <v>0</v>
      </c>
      <c r="P32" s="318">
        <v>0</v>
      </c>
      <c r="Q32" s="318">
        <v>0</v>
      </c>
    </row>
    <row r="33" spans="1:17">
      <c r="A33" s="346"/>
      <c r="B33" s="325"/>
      <c r="C33" s="322" t="s">
        <v>341</v>
      </c>
      <c r="D33" s="327"/>
      <c r="E33" s="353"/>
      <c r="F33" s="354">
        <v>0</v>
      </c>
      <c r="G33" s="330"/>
      <c r="H33" s="328"/>
      <c r="I33" s="330"/>
      <c r="J33" s="328"/>
      <c r="K33" s="330"/>
      <c r="L33" s="328"/>
      <c r="M33" s="331"/>
      <c r="N33" s="328"/>
      <c r="O33" s="318">
        <f>F33+H33-J33+L33-N33</f>
        <v>0</v>
      </c>
      <c r="P33" s="318">
        <v>0</v>
      </c>
      <c r="Q33" s="318">
        <v>0</v>
      </c>
    </row>
    <row r="34" spans="1:17">
      <c r="A34" s="355"/>
      <c r="B34" s="315"/>
      <c r="C34" s="322" t="s">
        <v>341</v>
      </c>
      <c r="D34" s="317"/>
      <c r="E34" s="356"/>
      <c r="F34" s="354">
        <v>0</v>
      </c>
      <c r="G34" s="330"/>
      <c r="H34" s="328"/>
      <c r="I34" s="330"/>
      <c r="J34" s="328"/>
      <c r="K34" s="330"/>
      <c r="L34" s="328"/>
      <c r="M34" s="331"/>
      <c r="N34" s="328"/>
      <c r="O34" s="318">
        <f>F34+H34-J34+L34-N34</f>
        <v>0</v>
      </c>
      <c r="P34" s="318">
        <v>0</v>
      </c>
      <c r="Q34" s="318">
        <v>0</v>
      </c>
    </row>
    <row r="35" spans="1:17" ht="15" thickBot="1">
      <c r="A35" s="346"/>
      <c r="B35" s="325"/>
      <c r="C35" s="350"/>
      <c r="D35" s="327"/>
      <c r="E35" s="328"/>
      <c r="F35" s="329">
        <v>0</v>
      </c>
      <c r="G35" s="330"/>
      <c r="H35" s="328"/>
      <c r="I35" s="330"/>
      <c r="J35" s="328"/>
      <c r="K35" s="330"/>
      <c r="L35" s="328"/>
      <c r="M35" s="331"/>
      <c r="N35" s="328"/>
      <c r="O35" s="318">
        <f>F35+H35-J35+L35-N35</f>
        <v>0</v>
      </c>
      <c r="P35" s="328">
        <v>0</v>
      </c>
      <c r="Q35" s="328">
        <v>0</v>
      </c>
    </row>
    <row r="36" spans="1:17" ht="15" thickBot="1">
      <c r="A36" s="357"/>
      <c r="B36" s="333" t="s">
        <v>159</v>
      </c>
      <c r="C36" s="334"/>
      <c r="D36" s="335"/>
      <c r="E36" s="336">
        <f>SUM(E31:E34)</f>
        <v>0</v>
      </c>
      <c r="F36" s="337">
        <f>SUM(F31:F34)</f>
        <v>0</v>
      </c>
      <c r="G36" s="295"/>
      <c r="H36" s="336">
        <f>SUM(H31:H34)</f>
        <v>0</v>
      </c>
      <c r="I36" s="295"/>
      <c r="J36" s="336">
        <f>SUM(J31:J34)</f>
        <v>0</v>
      </c>
      <c r="K36" s="295"/>
      <c r="L36" s="336">
        <f>SUM(L31:L34)</f>
        <v>0</v>
      </c>
      <c r="M36" s="336"/>
      <c r="N36" s="336">
        <f>SUM(N31:N34)</f>
        <v>0</v>
      </c>
      <c r="O36" s="336">
        <f>SUM(O31:O34)</f>
        <v>0</v>
      </c>
      <c r="P36" s="358">
        <v>0</v>
      </c>
      <c r="Q36" s="358">
        <v>0</v>
      </c>
    </row>
    <row r="37" spans="1:17" ht="15" thickBot="1">
      <c r="A37" s="359"/>
      <c r="B37" s="360"/>
      <c r="C37" s="361"/>
      <c r="D37" s="300"/>
      <c r="E37" s="303"/>
      <c r="F37" s="362"/>
      <c r="G37" s="281"/>
      <c r="H37" s="303"/>
      <c r="I37" s="281"/>
      <c r="J37" s="303"/>
      <c r="K37" s="281"/>
      <c r="L37" s="303"/>
      <c r="M37" s="304"/>
      <c r="N37" s="303"/>
      <c r="O37" s="303"/>
      <c r="P37" s="303"/>
      <c r="Q37" s="303"/>
    </row>
    <row r="38" spans="1:17" ht="15" thickBot="1">
      <c r="A38" s="332"/>
      <c r="B38" s="333" t="s">
        <v>160</v>
      </c>
      <c r="C38" s="334"/>
      <c r="D38" s="335"/>
      <c r="E38" s="336">
        <f>+E19+E28+E36</f>
        <v>143499915</v>
      </c>
      <c r="F38" s="337">
        <f>+F19+F28+F36</f>
        <v>998444433.96862924</v>
      </c>
      <c r="G38" s="295"/>
      <c r="H38" s="336">
        <f>+H19+H28+H36</f>
        <v>1886944200.0899997</v>
      </c>
      <c r="I38" s="295"/>
      <c r="J38" s="336">
        <f>+J19+J28+J36</f>
        <v>1831873050.7272727</v>
      </c>
      <c r="K38" s="295"/>
      <c r="L38" s="336">
        <f>+L19+L28+L36</f>
        <v>0</v>
      </c>
      <c r="M38" s="336"/>
      <c r="N38" s="336">
        <f>+N19+N28+N36</f>
        <v>0</v>
      </c>
      <c r="O38" s="336">
        <f>+O19+O28+O36</f>
        <v>1053515583.3313563</v>
      </c>
      <c r="P38" s="352">
        <f>+P19+P28+P36</f>
        <v>0</v>
      </c>
      <c r="Q38" s="352">
        <f>+Q19+Q28+Q36</f>
        <v>0</v>
      </c>
    </row>
    <row r="39" spans="1:17">
      <c r="A39" s="306"/>
      <c r="B39" s="307"/>
      <c r="C39" s="279"/>
      <c r="D39" s="308"/>
      <c r="E39" s="301"/>
      <c r="F39" s="302"/>
      <c r="G39" s="286"/>
      <c r="H39" s="301"/>
      <c r="I39" s="286"/>
      <c r="J39" s="301"/>
      <c r="K39" s="286"/>
      <c r="L39" s="301"/>
      <c r="M39" s="309"/>
      <c r="N39" s="301"/>
      <c r="O39" s="301"/>
      <c r="P39" s="301"/>
      <c r="Q39" s="301"/>
    </row>
    <row r="40" spans="1:17">
      <c r="A40" s="338"/>
      <c r="B40" s="339" t="s">
        <v>161</v>
      </c>
      <c r="C40" s="340"/>
      <c r="D40" s="341"/>
      <c r="E40" s="345"/>
      <c r="F40" s="363"/>
      <c r="G40" s="344"/>
      <c r="H40" s="342"/>
      <c r="I40" s="344"/>
      <c r="J40" s="342"/>
      <c r="K40" s="344"/>
      <c r="L40" s="342"/>
      <c r="M40" s="345"/>
      <c r="N40" s="342"/>
      <c r="O40" s="342"/>
      <c r="P40" s="342"/>
      <c r="Q40" s="342"/>
    </row>
    <row r="41" spans="1:17">
      <c r="A41" s="338"/>
      <c r="B41" s="339"/>
      <c r="C41" s="364" t="s">
        <v>162</v>
      </c>
      <c r="D41" s="341"/>
      <c r="E41" s="342">
        <v>19867650000</v>
      </c>
      <c r="F41" s="343"/>
      <c r="G41" s="344"/>
      <c r="H41" s="342"/>
      <c r="I41" s="344"/>
      <c r="J41" s="342"/>
      <c r="K41" s="344"/>
      <c r="L41" s="342"/>
      <c r="M41" s="345"/>
      <c r="N41" s="342"/>
      <c r="O41" s="318">
        <f>F41+H41-J41+L41-N41</f>
        <v>0</v>
      </c>
      <c r="P41" s="318">
        <v>0</v>
      </c>
      <c r="Q41" s="318">
        <v>0</v>
      </c>
    </row>
    <row r="42" spans="1:17">
      <c r="A42" s="338"/>
      <c r="B42" s="339"/>
      <c r="C42" s="364" t="s">
        <v>162</v>
      </c>
      <c r="D42" s="341"/>
      <c r="E42" s="342"/>
      <c r="F42" s="472">
        <v>0</v>
      </c>
      <c r="G42" s="344"/>
      <c r="H42" s="342"/>
      <c r="I42" s="344"/>
      <c r="J42" s="342"/>
      <c r="K42" s="344"/>
      <c r="L42" s="342"/>
      <c r="M42" s="345"/>
      <c r="N42" s="342"/>
      <c r="O42" s="318">
        <f t="shared" ref="O42:O47" si="0">F42+H42-J42+L42-N42</f>
        <v>0</v>
      </c>
      <c r="P42" s="318">
        <v>0</v>
      </c>
      <c r="Q42" s="318">
        <v>0</v>
      </c>
    </row>
    <row r="43" spans="1:17">
      <c r="A43" s="338"/>
      <c r="B43" s="339"/>
      <c r="C43" s="364" t="s">
        <v>162</v>
      </c>
      <c r="D43" s="341"/>
      <c r="E43" s="342"/>
      <c r="F43" s="472">
        <v>0</v>
      </c>
      <c r="G43" s="344"/>
      <c r="H43" s="342"/>
      <c r="I43" s="344"/>
      <c r="J43" s="342"/>
      <c r="K43" s="344"/>
      <c r="L43" s="342"/>
      <c r="M43" s="345"/>
      <c r="N43" s="342"/>
      <c r="O43" s="318">
        <f t="shared" si="0"/>
        <v>0</v>
      </c>
      <c r="P43" s="318">
        <v>0</v>
      </c>
      <c r="Q43" s="318">
        <v>0</v>
      </c>
    </row>
    <row r="44" spans="1:17">
      <c r="A44" s="338"/>
      <c r="B44" s="339"/>
      <c r="C44" s="364" t="s">
        <v>162</v>
      </c>
      <c r="D44" s="341"/>
      <c r="E44" s="342"/>
      <c r="F44" s="472">
        <v>0</v>
      </c>
      <c r="G44" s="344"/>
      <c r="H44" s="342"/>
      <c r="I44" s="344"/>
      <c r="J44" s="342"/>
      <c r="K44" s="344"/>
      <c r="L44" s="342"/>
      <c r="M44" s="345"/>
      <c r="N44" s="342"/>
      <c r="O44" s="318">
        <f t="shared" si="0"/>
        <v>0</v>
      </c>
      <c r="P44" s="318">
        <v>0</v>
      </c>
      <c r="Q44" s="318">
        <v>0</v>
      </c>
    </row>
    <row r="45" spans="1:17">
      <c r="A45" s="338"/>
      <c r="B45" s="339"/>
      <c r="C45" s="364" t="s">
        <v>162</v>
      </c>
      <c r="D45" s="341"/>
      <c r="E45" s="342"/>
      <c r="F45" s="343">
        <v>0</v>
      </c>
      <c r="G45" s="344"/>
      <c r="H45" s="342"/>
      <c r="I45" s="344"/>
      <c r="J45" s="342"/>
      <c r="K45" s="344"/>
      <c r="L45" s="342"/>
      <c r="M45" s="345"/>
      <c r="N45" s="342"/>
      <c r="O45" s="318">
        <f t="shared" si="0"/>
        <v>0</v>
      </c>
      <c r="P45" s="318">
        <v>0</v>
      </c>
      <c r="Q45" s="318">
        <v>0</v>
      </c>
    </row>
    <row r="46" spans="1:17">
      <c r="A46" s="338"/>
      <c r="B46" s="339"/>
      <c r="C46" s="364" t="s">
        <v>162</v>
      </c>
      <c r="D46" s="341"/>
      <c r="E46" s="342"/>
      <c r="F46" s="343">
        <v>0</v>
      </c>
      <c r="G46" s="344"/>
      <c r="H46" s="342"/>
      <c r="I46" s="344"/>
      <c r="J46" s="342"/>
      <c r="K46" s="344"/>
      <c r="L46" s="342"/>
      <c r="M46" s="345"/>
      <c r="N46" s="342"/>
      <c r="O46" s="318">
        <f t="shared" si="0"/>
        <v>0</v>
      </c>
      <c r="P46" s="318">
        <v>0</v>
      </c>
      <c r="Q46" s="318">
        <v>0</v>
      </c>
    </row>
    <row r="47" spans="1:17">
      <c r="A47" s="338"/>
      <c r="B47" s="339"/>
      <c r="C47" s="364" t="s">
        <v>162</v>
      </c>
      <c r="D47" s="341"/>
      <c r="E47" s="342"/>
      <c r="F47" s="343">
        <v>0</v>
      </c>
      <c r="G47" s="344"/>
      <c r="H47" s="342"/>
      <c r="I47" s="344"/>
      <c r="J47" s="342"/>
      <c r="K47" s="344"/>
      <c r="L47" s="342"/>
      <c r="M47" s="345"/>
      <c r="N47" s="342"/>
      <c r="O47" s="318">
        <f t="shared" si="0"/>
        <v>0</v>
      </c>
      <c r="P47" s="318">
        <v>0</v>
      </c>
      <c r="Q47" s="318">
        <v>0</v>
      </c>
    </row>
    <row r="48" spans="1:17">
      <c r="A48" s="338"/>
      <c r="B48" s="339"/>
      <c r="C48" s="364" t="s">
        <v>322</v>
      </c>
      <c r="D48" s="341"/>
      <c r="E48" s="342"/>
      <c r="F48" s="343"/>
      <c r="G48" s="344"/>
      <c r="H48" s="342"/>
      <c r="I48" s="344"/>
      <c r="J48" s="342"/>
      <c r="K48" s="344"/>
      <c r="L48" s="342"/>
      <c r="M48" s="345"/>
      <c r="N48" s="342"/>
      <c r="O48" s="318"/>
      <c r="P48" s="318">
        <v>0</v>
      </c>
      <c r="Q48" s="318">
        <v>0</v>
      </c>
    </row>
    <row r="49" spans="1:17">
      <c r="A49" s="365"/>
      <c r="B49" s="339"/>
      <c r="C49" s="364" t="s">
        <v>163</v>
      </c>
      <c r="D49" s="341"/>
      <c r="E49" s="342">
        <v>6681822422</v>
      </c>
      <c r="F49" s="472">
        <v>9902802430.3676395</v>
      </c>
      <c r="G49" s="344"/>
      <c r="H49" s="342"/>
      <c r="I49" s="344"/>
      <c r="J49" s="342">
        <f>'Journal IDR 399'!G51</f>
        <v>974320975.87807548</v>
      </c>
      <c r="K49" s="344"/>
      <c r="L49" s="342"/>
      <c r="M49" s="345"/>
      <c r="N49" s="342"/>
      <c r="O49" s="318">
        <f>F49+H49-J49+L49-N49</f>
        <v>8928481454.4895649</v>
      </c>
      <c r="P49" s="318">
        <v>0</v>
      </c>
      <c r="Q49" s="318">
        <v>0</v>
      </c>
    </row>
    <row r="50" spans="1:17">
      <c r="A50" s="365"/>
      <c r="B50" s="339"/>
      <c r="C50" s="364" t="s">
        <v>164</v>
      </c>
      <c r="D50" s="341"/>
      <c r="E50" s="342">
        <v>124875634</v>
      </c>
      <c r="F50" s="472">
        <v>218006858</v>
      </c>
      <c r="G50" s="344"/>
      <c r="H50" s="342">
        <f>'Journal IDR 399'!F93</f>
        <v>19497209</v>
      </c>
      <c r="I50" s="344"/>
      <c r="J50" s="342">
        <f>'Journal IDR 399'!G43+'Journal IDR 399'!G96+'Journal IDR 399'!G98</f>
        <v>70309620.971883371</v>
      </c>
      <c r="K50" s="344"/>
      <c r="L50" s="342"/>
      <c r="M50" s="345"/>
      <c r="N50" s="342"/>
      <c r="O50" s="318">
        <f>F50+H50-J50+L50-N50</f>
        <v>167194446.02811664</v>
      </c>
      <c r="P50" s="318">
        <v>0</v>
      </c>
      <c r="Q50" s="318">
        <v>0</v>
      </c>
    </row>
    <row r="51" spans="1:17" ht="15" thickBot="1">
      <c r="A51" s="306"/>
      <c r="B51" s="307"/>
      <c r="C51" s="279"/>
      <c r="D51" s="308"/>
      <c r="E51" s="309"/>
      <c r="F51" s="366"/>
      <c r="G51" s="286"/>
      <c r="H51" s="301"/>
      <c r="I51" s="286"/>
      <c r="J51" s="301"/>
      <c r="K51" s="286"/>
      <c r="L51" s="301"/>
      <c r="M51" s="309"/>
      <c r="N51" s="301"/>
      <c r="O51" s="301"/>
      <c r="P51" s="301"/>
      <c r="Q51" s="301"/>
    </row>
    <row r="52" spans="1:17" ht="15" thickBot="1">
      <c r="A52" s="332"/>
      <c r="B52" s="333" t="s">
        <v>165</v>
      </c>
      <c r="C52" s="334"/>
      <c r="D52" s="335"/>
      <c r="E52" s="336">
        <f>SUM(E41:E51)</f>
        <v>26674348056</v>
      </c>
      <c r="F52" s="337">
        <f>SUM(F41:F51)</f>
        <v>10120809288.36764</v>
      </c>
      <c r="G52" s="336"/>
      <c r="H52" s="336">
        <f>SUM(H41:H51)</f>
        <v>19497209</v>
      </c>
      <c r="I52" s="336"/>
      <c r="J52" s="336">
        <f>SUM(J41:J51)</f>
        <v>1044630596.8499589</v>
      </c>
      <c r="K52" s="336"/>
      <c r="L52" s="336">
        <f>SUM(L41:L51)</f>
        <v>0</v>
      </c>
      <c r="M52" s="336"/>
      <c r="N52" s="336">
        <f>SUM(N41:N51)</f>
        <v>0</v>
      </c>
      <c r="O52" s="336">
        <f>SUM(O41:O51)</f>
        <v>9095675900.5176811</v>
      </c>
      <c r="P52" s="336">
        <f>SUM(P41:P51)</f>
        <v>0</v>
      </c>
      <c r="Q52" s="336">
        <f>SUM(Q41:Q51)</f>
        <v>0</v>
      </c>
    </row>
    <row r="53" spans="1:17">
      <c r="A53" s="359"/>
      <c r="B53" s="360"/>
      <c r="C53" s="361"/>
      <c r="D53" s="300"/>
      <c r="E53" s="304"/>
      <c r="F53" s="367"/>
      <c r="G53" s="304"/>
      <c r="H53" s="304"/>
      <c r="I53" s="304"/>
      <c r="J53" s="304"/>
      <c r="K53" s="304"/>
      <c r="L53" s="304"/>
      <c r="M53" s="304"/>
      <c r="N53" s="304"/>
      <c r="O53" s="304"/>
      <c r="P53" s="304"/>
      <c r="Q53" s="304"/>
    </row>
    <row r="54" spans="1:17">
      <c r="A54" s="338"/>
      <c r="B54" s="339" t="s">
        <v>166</v>
      </c>
      <c r="C54" s="364"/>
      <c r="D54" s="341"/>
      <c r="E54" s="345"/>
      <c r="F54" s="363"/>
      <c r="G54" s="344"/>
      <c r="H54" s="342"/>
      <c r="I54" s="344"/>
      <c r="J54" s="342"/>
      <c r="K54" s="344"/>
      <c r="L54" s="342"/>
      <c r="M54" s="345"/>
      <c r="N54" s="342"/>
      <c r="O54" s="342"/>
      <c r="P54" s="342"/>
      <c r="Q54" s="342"/>
    </row>
    <row r="55" spans="1:17">
      <c r="A55" s="368"/>
      <c r="B55" s="315"/>
      <c r="C55" s="322" t="s">
        <v>320</v>
      </c>
      <c r="D55" s="317"/>
      <c r="E55" s="318">
        <v>616931293</v>
      </c>
      <c r="F55" s="319">
        <v>15924783.910545446</v>
      </c>
      <c r="G55" s="320"/>
      <c r="H55" s="318">
        <f>'Journal IDR 399'!F76+'Journal IDR 399'!F81+'Journal IDR 399'!F86</f>
        <v>19016452.472727269</v>
      </c>
      <c r="I55" s="320"/>
      <c r="J55" s="318">
        <f>'Journal IDR 399'!G11+'Journal IDR 399'!G14+'Journal IDR 399'!G17</f>
        <v>15924784</v>
      </c>
      <c r="K55" s="320"/>
      <c r="L55" s="318"/>
      <c r="M55" s="321"/>
      <c r="N55" s="318"/>
      <c r="O55" s="318">
        <f>F55+H55-J55+L55-N55</f>
        <v>19016452.383272715</v>
      </c>
      <c r="P55" s="318">
        <v>0</v>
      </c>
      <c r="Q55" s="318">
        <v>0</v>
      </c>
    </row>
    <row r="56" spans="1:17" ht="15" thickBot="1">
      <c r="A56" s="369"/>
      <c r="B56" s="370"/>
      <c r="C56" s="322" t="s">
        <v>798</v>
      </c>
      <c r="D56" s="371"/>
      <c r="E56" s="372"/>
      <c r="F56" s="373">
        <v>314183.07272726856</v>
      </c>
      <c r="G56" s="374"/>
      <c r="H56" s="318">
        <f>'Journal IDR 399'!F101+'Journal IDR 399'!F106</f>
        <v>7160400</v>
      </c>
      <c r="I56" s="320"/>
      <c r="J56" s="318">
        <f>'Journal IDR 399'!G20+'Journal IDR 399'!G23</f>
        <v>314182</v>
      </c>
      <c r="K56" s="320"/>
      <c r="L56" s="318"/>
      <c r="M56" s="321"/>
      <c r="N56" s="318"/>
      <c r="O56" s="318">
        <f>F56+H56-J56+L56-N56</f>
        <v>7160401.0727272686</v>
      </c>
      <c r="P56" s="372">
        <v>0</v>
      </c>
      <c r="Q56" s="372">
        <v>0</v>
      </c>
    </row>
    <row r="57" spans="1:17" ht="15" thickBot="1">
      <c r="A57" s="357"/>
      <c r="B57" s="375" t="s">
        <v>167</v>
      </c>
      <c r="C57" s="376"/>
      <c r="D57" s="377"/>
      <c r="E57" s="378">
        <f>SUM(E55:E55)</f>
        <v>616931293</v>
      </c>
      <c r="F57" s="379">
        <f>SUM(F55:F56)</f>
        <v>16238966.983272715</v>
      </c>
      <c r="G57" s="378"/>
      <c r="H57" s="378">
        <f>SUM(H55:H55)</f>
        <v>19016452.472727269</v>
      </c>
      <c r="I57" s="378"/>
      <c r="J57" s="378">
        <f>SUM(J55:J55)</f>
        <v>15924784</v>
      </c>
      <c r="K57" s="378"/>
      <c r="L57" s="378">
        <f>SUM(L55:L55)</f>
        <v>0</v>
      </c>
      <c r="M57" s="378"/>
      <c r="N57" s="378">
        <f>SUM(N55:N55)</f>
        <v>0</v>
      </c>
      <c r="O57" s="378">
        <f>SUM(O55:O56)</f>
        <v>26176853.455999985</v>
      </c>
      <c r="P57" s="378">
        <f>SUM(P55:P56)</f>
        <v>0</v>
      </c>
      <c r="Q57" s="378">
        <f>SUM(Q55:Q56)</f>
        <v>0</v>
      </c>
    </row>
    <row r="58" spans="1:17">
      <c r="A58" s="297"/>
      <c r="B58" s="380"/>
      <c r="D58" s="308"/>
      <c r="E58" s="301"/>
      <c r="F58" s="302"/>
      <c r="G58" s="286"/>
      <c r="H58" s="301"/>
      <c r="I58" s="286"/>
      <c r="J58" s="309"/>
      <c r="K58" s="286"/>
      <c r="L58" s="309"/>
      <c r="M58" s="309"/>
      <c r="N58" s="309"/>
      <c r="O58" s="309"/>
      <c r="P58" s="309"/>
      <c r="Q58" s="309"/>
    </row>
    <row r="59" spans="1:17">
      <c r="A59" s="338"/>
      <c r="B59" s="339" t="s">
        <v>168</v>
      </c>
      <c r="C59" s="340"/>
      <c r="D59" s="381"/>
      <c r="E59" s="345"/>
      <c r="F59" s="363"/>
      <c r="G59" s="344"/>
      <c r="H59" s="345"/>
      <c r="I59" s="344"/>
      <c r="J59" s="345"/>
      <c r="K59" s="344"/>
      <c r="L59" s="345"/>
      <c r="M59" s="345"/>
      <c r="N59" s="345"/>
      <c r="O59" s="345"/>
      <c r="P59" s="345"/>
      <c r="Q59" s="345"/>
    </row>
    <row r="60" spans="1:17">
      <c r="A60" s="346"/>
      <c r="B60" s="382"/>
      <c r="C60" s="322" t="s">
        <v>169</v>
      </c>
      <c r="D60" s="317"/>
      <c r="E60" s="347">
        <v>250442961</v>
      </c>
      <c r="F60" s="472">
        <v>0</v>
      </c>
      <c r="G60" s="320"/>
      <c r="H60" s="318"/>
      <c r="I60" s="320"/>
      <c r="J60" s="318"/>
      <c r="K60" s="320"/>
      <c r="L60" s="321"/>
      <c r="M60" s="321"/>
      <c r="N60" s="318"/>
      <c r="O60" s="318">
        <f>F60+H60-J60+L60-N60</f>
        <v>0</v>
      </c>
      <c r="P60" s="318">
        <v>0</v>
      </c>
      <c r="Q60" s="318">
        <v>0</v>
      </c>
    </row>
    <row r="61" spans="1:17">
      <c r="A61" s="346"/>
      <c r="B61" s="382"/>
      <c r="C61" s="322" t="s">
        <v>17</v>
      </c>
      <c r="D61" s="317"/>
      <c r="E61" s="323" t="s">
        <v>5</v>
      </c>
      <c r="F61" s="472">
        <v>500000</v>
      </c>
      <c r="G61" s="320"/>
      <c r="H61" s="318">
        <f>'Journal IDR 399'!F41</f>
        <v>1000000000</v>
      </c>
      <c r="I61" s="320"/>
      <c r="J61" s="318">
        <f>'BCA IDR'!G226+'Journal IDR 399'!G47</f>
        <v>1000500000</v>
      </c>
      <c r="K61" s="320"/>
      <c r="L61" s="321"/>
      <c r="M61" s="321"/>
      <c r="N61" s="318"/>
      <c r="O61" s="318">
        <f>F61+H61-J61+L61-N61</f>
        <v>0</v>
      </c>
      <c r="P61" s="318">
        <v>0</v>
      </c>
      <c r="Q61" s="318">
        <v>0</v>
      </c>
    </row>
    <row r="62" spans="1:17" ht="15" thickBot="1">
      <c r="A62" s="346"/>
      <c r="B62" s="382"/>
      <c r="C62" s="322"/>
      <c r="D62" s="317"/>
      <c r="E62" s="318"/>
      <c r="F62" s="319"/>
      <c r="G62" s="320"/>
      <c r="H62" s="318"/>
      <c r="I62" s="320"/>
      <c r="J62" s="318"/>
      <c r="K62" s="320"/>
      <c r="L62" s="321"/>
      <c r="M62" s="321"/>
      <c r="N62" s="318"/>
      <c r="O62" s="318"/>
      <c r="P62" s="318"/>
      <c r="Q62" s="318"/>
    </row>
    <row r="63" spans="1:17" ht="15" thickBot="1">
      <c r="A63" s="332"/>
      <c r="B63" s="333" t="s">
        <v>170</v>
      </c>
      <c r="C63" s="334"/>
      <c r="D63" s="335"/>
      <c r="E63" s="383">
        <f>SUM(E60:E62)</f>
        <v>250442961</v>
      </c>
      <c r="F63" s="384">
        <f>SUM(F60:F62)</f>
        <v>500000</v>
      </c>
      <c r="G63" s="295"/>
      <c r="H63" s="383">
        <f>SUM(H60:H62)</f>
        <v>1000000000</v>
      </c>
      <c r="I63" s="295"/>
      <c r="J63" s="383">
        <f>SUM(J60:J62)</f>
        <v>1000500000</v>
      </c>
      <c r="K63" s="295"/>
      <c r="L63" s="383">
        <f>SUM(L60:L62)</f>
        <v>0</v>
      </c>
      <c r="M63" s="336"/>
      <c r="N63" s="383">
        <f>SUM(N60:N62)</f>
        <v>0</v>
      </c>
      <c r="O63" s="383">
        <f>SUM(O60:O62)</f>
        <v>0</v>
      </c>
      <c r="P63" s="383">
        <f>SUM(P60:P62)</f>
        <v>0</v>
      </c>
      <c r="Q63" s="383">
        <f>SUM(Q60:Q62)</f>
        <v>0</v>
      </c>
    </row>
    <row r="64" spans="1:17">
      <c r="A64" s="385"/>
      <c r="B64" s="298"/>
      <c r="C64" s="299"/>
      <c r="D64" s="300"/>
      <c r="E64" s="303"/>
      <c r="F64" s="362"/>
      <c r="G64" s="281"/>
      <c r="H64" s="303"/>
      <c r="I64" s="281"/>
      <c r="J64" s="303"/>
      <c r="K64" s="281"/>
      <c r="L64" s="304"/>
      <c r="M64" s="304"/>
      <c r="N64" s="303"/>
      <c r="O64" s="303"/>
      <c r="P64" s="303"/>
      <c r="Q64" s="303"/>
    </row>
    <row r="65" spans="1:17" ht="15.75" customHeight="1">
      <c r="A65" s="338"/>
      <c r="B65" s="339" t="s">
        <v>171</v>
      </c>
      <c r="C65" s="364"/>
      <c r="D65" s="341"/>
      <c r="E65" s="345"/>
      <c r="F65" s="363"/>
      <c r="G65" s="344"/>
      <c r="H65" s="342"/>
      <c r="I65" s="344"/>
      <c r="J65" s="342"/>
      <c r="K65" s="344"/>
      <c r="L65" s="342"/>
      <c r="M65" s="345"/>
      <c r="N65" s="342"/>
      <c r="O65" s="342"/>
      <c r="P65" s="342"/>
      <c r="Q65" s="342"/>
    </row>
    <row r="66" spans="1:17">
      <c r="A66" s="346"/>
      <c r="B66" s="315"/>
      <c r="C66" s="322" t="s">
        <v>172</v>
      </c>
      <c r="D66" s="317"/>
      <c r="E66" s="318"/>
      <c r="F66" s="319"/>
      <c r="G66" s="320"/>
      <c r="H66" s="318"/>
      <c r="I66" s="320"/>
      <c r="J66" s="318"/>
      <c r="K66" s="320"/>
      <c r="L66" s="318"/>
      <c r="M66" s="321"/>
      <c r="N66" s="318"/>
      <c r="O66" s="318">
        <f>F66+H66-J66+L66-N66</f>
        <v>0</v>
      </c>
      <c r="P66" s="318">
        <v>0</v>
      </c>
      <c r="Q66" s="318">
        <v>0</v>
      </c>
    </row>
    <row r="67" spans="1:17">
      <c r="A67" s="297"/>
      <c r="B67" s="325"/>
      <c r="C67" s="350" t="s">
        <v>173</v>
      </c>
      <c r="D67" s="327"/>
      <c r="E67" s="328"/>
      <c r="F67" s="329">
        <v>296389380.5</v>
      </c>
      <c r="G67" s="330"/>
      <c r="H67" s="328">
        <v>0</v>
      </c>
      <c r="I67" s="330"/>
      <c r="J67" s="328"/>
      <c r="K67" s="330"/>
      <c r="L67" s="328"/>
      <c r="M67" s="331"/>
      <c r="N67" s="328"/>
      <c r="O67" s="318">
        <f>F67+H67-J67+L67-N67</f>
        <v>296389380.5</v>
      </c>
      <c r="P67" s="318">
        <v>0</v>
      </c>
      <c r="Q67" s="318">
        <v>0</v>
      </c>
    </row>
    <row r="68" spans="1:17">
      <c r="A68" s="368"/>
      <c r="B68" s="325"/>
      <c r="C68" s="350" t="s">
        <v>174</v>
      </c>
      <c r="D68" s="327"/>
      <c r="E68" s="328"/>
      <c r="F68" s="472">
        <v>0</v>
      </c>
      <c r="G68" s="330"/>
      <c r="H68" s="328">
        <v>0</v>
      </c>
      <c r="I68" s="330"/>
      <c r="J68" s="328"/>
      <c r="K68" s="330"/>
      <c r="L68" s="328"/>
      <c r="M68" s="331"/>
      <c r="N68" s="328"/>
      <c r="O68" s="318">
        <f>F68+H68-J68+L68-N68</f>
        <v>0</v>
      </c>
      <c r="P68" s="328">
        <v>0</v>
      </c>
      <c r="Q68" s="328">
        <v>0</v>
      </c>
    </row>
    <row r="69" spans="1:17">
      <c r="A69" s="386"/>
      <c r="B69" s="325"/>
      <c r="C69" s="350" t="s">
        <v>175</v>
      </c>
      <c r="D69" s="327"/>
      <c r="E69" s="328"/>
      <c r="F69" s="319">
        <v>0</v>
      </c>
      <c r="G69" s="330"/>
      <c r="H69" s="328">
        <v>0</v>
      </c>
      <c r="I69" s="330"/>
      <c r="J69" s="328"/>
      <c r="K69" s="330"/>
      <c r="L69" s="328"/>
      <c r="M69" s="331"/>
      <c r="N69" s="328"/>
      <c r="O69" s="318">
        <f>F69+H69-J69+L69-N69</f>
        <v>0</v>
      </c>
      <c r="P69" s="328">
        <v>0</v>
      </c>
      <c r="Q69" s="328">
        <v>0</v>
      </c>
    </row>
    <row r="70" spans="1:17">
      <c r="A70" s="386"/>
      <c r="B70" s="325"/>
      <c r="C70" s="350" t="s">
        <v>176</v>
      </c>
      <c r="D70" s="327"/>
      <c r="E70" s="328">
        <v>361170</v>
      </c>
      <c r="F70" s="472">
        <v>0</v>
      </c>
      <c r="G70" s="330"/>
      <c r="H70" s="328">
        <v>0</v>
      </c>
      <c r="I70" s="320"/>
      <c r="J70" s="328"/>
      <c r="K70" s="330"/>
      <c r="L70" s="328"/>
      <c r="M70" s="331"/>
      <c r="N70" s="328"/>
      <c r="O70" s="318">
        <f>F70+H70-J70+L70-N70</f>
        <v>0</v>
      </c>
      <c r="P70" s="328">
        <v>0</v>
      </c>
      <c r="Q70" s="328">
        <v>0</v>
      </c>
    </row>
    <row r="71" spans="1:17" ht="15" thickBot="1">
      <c r="A71" s="369"/>
      <c r="B71" s="370"/>
      <c r="C71" s="387"/>
      <c r="D71" s="371"/>
      <c r="E71" s="372"/>
      <c r="F71" s="373"/>
      <c r="G71" s="388"/>
      <c r="H71" s="372"/>
      <c r="I71" s="374"/>
      <c r="J71" s="372"/>
      <c r="K71" s="388"/>
      <c r="L71" s="372"/>
      <c r="M71" s="389"/>
      <c r="N71" s="372"/>
      <c r="O71" s="372"/>
      <c r="P71" s="372"/>
      <c r="Q71" s="372"/>
    </row>
    <row r="72" spans="1:17" ht="15" thickBot="1">
      <c r="A72" s="357"/>
      <c r="B72" s="375" t="s">
        <v>177</v>
      </c>
      <c r="C72" s="376"/>
      <c r="D72" s="377"/>
      <c r="E72" s="378">
        <f>SUM(E66:E71)</f>
        <v>361170</v>
      </c>
      <c r="F72" s="379">
        <f>SUM(F66:F71)</f>
        <v>296389380.5</v>
      </c>
      <c r="G72" s="378"/>
      <c r="H72" s="378">
        <f>SUM(H66:H71)</f>
        <v>0</v>
      </c>
      <c r="I72" s="378"/>
      <c r="J72" s="378">
        <f>SUM(J66:J71)</f>
        <v>0</v>
      </c>
      <c r="K72" s="378"/>
      <c r="L72" s="378">
        <f>SUM(L66:L71)</f>
        <v>0</v>
      </c>
      <c r="M72" s="378"/>
      <c r="N72" s="378">
        <f>SUM(N66:N71)</f>
        <v>0</v>
      </c>
      <c r="O72" s="378">
        <f>SUM(O66:O71)</f>
        <v>296389380.5</v>
      </c>
      <c r="P72" s="378">
        <f>SUM(P66:P71)</f>
        <v>0</v>
      </c>
      <c r="Q72" s="378">
        <f>SUM(Q66:Q71)</f>
        <v>0</v>
      </c>
    </row>
    <row r="73" spans="1:17" ht="15" thickBot="1">
      <c r="A73" s="385"/>
      <c r="B73" s="298"/>
      <c r="C73" s="299"/>
      <c r="D73" s="300"/>
      <c r="E73" s="303"/>
      <c r="F73" s="421"/>
      <c r="G73" s="281"/>
      <c r="H73" s="303"/>
      <c r="I73" s="281"/>
      <c r="J73" s="304"/>
      <c r="K73" s="281"/>
      <c r="L73" s="304"/>
      <c r="M73" s="304"/>
      <c r="N73" s="304"/>
      <c r="O73" s="336"/>
      <c r="P73" s="304"/>
      <c r="Q73" s="304"/>
    </row>
    <row r="74" spans="1:17" ht="15" thickBot="1">
      <c r="A74" s="385"/>
      <c r="B74" s="360" t="s">
        <v>178</v>
      </c>
      <c r="C74" s="299"/>
      <c r="D74" s="300"/>
      <c r="E74" s="304">
        <v>309800000</v>
      </c>
      <c r="F74" s="473">
        <v>395000000</v>
      </c>
      <c r="G74" s="281"/>
      <c r="H74" s="303"/>
      <c r="I74" s="281"/>
      <c r="J74" s="303"/>
      <c r="K74" s="281"/>
      <c r="L74" s="304"/>
      <c r="M74" s="304"/>
      <c r="N74" s="303"/>
      <c r="O74" s="345">
        <f>F74+H74-J74+L74-N74</f>
        <v>395000000</v>
      </c>
      <c r="P74" s="304">
        <v>0</v>
      </c>
      <c r="Q74" s="304">
        <v>0</v>
      </c>
    </row>
    <row r="75" spans="1:17" ht="15" thickBot="1">
      <c r="A75" s="385"/>
      <c r="B75" s="360"/>
      <c r="C75" s="299"/>
      <c r="D75" s="300"/>
      <c r="E75" s="303"/>
      <c r="F75" s="362"/>
      <c r="G75" s="281"/>
      <c r="H75" s="303"/>
      <c r="I75" s="281"/>
      <c r="J75" s="303"/>
      <c r="K75" s="281"/>
      <c r="L75" s="304"/>
      <c r="M75" s="304"/>
      <c r="N75" s="303"/>
      <c r="O75" s="303"/>
      <c r="P75" s="303"/>
      <c r="Q75" s="303"/>
    </row>
    <row r="76" spans="1:17" ht="15" thickBot="1">
      <c r="A76" s="385"/>
      <c r="B76" s="360" t="s">
        <v>786</v>
      </c>
      <c r="C76" s="299"/>
      <c r="D76" s="300"/>
      <c r="E76" s="304">
        <v>1000000</v>
      </c>
      <c r="F76" s="367">
        <f>12000000+50000000</f>
        <v>62000000</v>
      </c>
      <c r="G76" s="281"/>
      <c r="H76" s="303"/>
      <c r="I76" s="281"/>
      <c r="J76" s="303"/>
      <c r="K76" s="281"/>
      <c r="L76" s="303"/>
      <c r="M76" s="304"/>
      <c r="N76" s="303"/>
      <c r="O76" s="318">
        <f>F76+H76-J76+L76-N76</f>
        <v>62000000</v>
      </c>
      <c r="P76" s="318">
        <v>0</v>
      </c>
      <c r="Q76" s="318">
        <v>0</v>
      </c>
    </row>
    <row r="77" spans="1:17" ht="15" thickBot="1">
      <c r="A77" s="385"/>
      <c r="B77" s="298"/>
      <c r="C77" s="299"/>
      <c r="D77" s="300"/>
      <c r="E77" s="303"/>
      <c r="F77" s="362"/>
      <c r="G77" s="281"/>
      <c r="H77" s="303"/>
      <c r="I77" s="281"/>
      <c r="J77" s="303"/>
      <c r="K77" s="281"/>
      <c r="L77" s="304"/>
      <c r="M77" s="304"/>
      <c r="N77" s="303"/>
      <c r="O77" s="303"/>
      <c r="P77" s="303"/>
      <c r="Q77" s="303"/>
    </row>
    <row r="78" spans="1:17" ht="15" thickBot="1">
      <c r="A78" s="332"/>
      <c r="B78" s="333" t="s">
        <v>179</v>
      </c>
      <c r="C78" s="334"/>
      <c r="D78" s="335"/>
      <c r="E78" s="383" t="e">
        <f>E38+#REF!+E72+E63+E52+E74+E76+E57</f>
        <v>#REF!</v>
      </c>
      <c r="F78" s="384">
        <f>F38+F72+F63+F52+F74+F76+F57</f>
        <v>11889382069.819542</v>
      </c>
      <c r="G78" s="383"/>
      <c r="H78" s="383">
        <f>H38+H72+H63+H52+H74+H76+H57</f>
        <v>2925457861.562727</v>
      </c>
      <c r="I78" s="383"/>
      <c r="J78" s="383">
        <f>J38+J72+J63+J52+J74+J76+J57</f>
        <v>3892928431.5772319</v>
      </c>
      <c r="K78" s="383"/>
      <c r="L78" s="383">
        <f>L38+L72+L63+L52+L74+L76+L57</f>
        <v>0</v>
      </c>
      <c r="M78" s="383"/>
      <c r="N78" s="383">
        <f>N38+N72+N63+N52+N74+N76+N57</f>
        <v>0</v>
      </c>
      <c r="O78" s="383">
        <f>O38+O72+O63+O52+O74+O76+O57</f>
        <v>10928757717.805037</v>
      </c>
      <c r="P78" s="383">
        <f>P38+P72+P63+P52+P74+P76+P57</f>
        <v>0</v>
      </c>
      <c r="Q78" s="383">
        <f>Q38+Q72+Q63+Q52+Q74+Q76+Q57</f>
        <v>0</v>
      </c>
    </row>
    <row r="79" spans="1:17">
      <c r="A79" s="297"/>
      <c r="B79" s="380"/>
      <c r="D79" s="308"/>
      <c r="E79" s="301"/>
      <c r="F79" s="302"/>
      <c r="G79" s="286"/>
      <c r="H79" s="301"/>
      <c r="I79" s="286"/>
      <c r="J79" s="301"/>
      <c r="K79" s="286"/>
      <c r="L79" s="309"/>
      <c r="M79" s="309"/>
      <c r="N79" s="301"/>
      <c r="O79" s="301"/>
      <c r="P79" s="301"/>
      <c r="Q79" s="301"/>
    </row>
    <row r="80" spans="1:17">
      <c r="A80" s="297"/>
      <c r="B80" s="307" t="s">
        <v>180</v>
      </c>
      <c r="D80" s="308"/>
      <c r="E80" s="301"/>
      <c r="F80" s="302"/>
      <c r="G80" s="286"/>
      <c r="H80" s="301"/>
      <c r="I80" s="286"/>
      <c r="J80" s="301"/>
      <c r="K80" s="286"/>
      <c r="L80" s="309"/>
      <c r="M80" s="309"/>
      <c r="N80" s="301"/>
      <c r="O80" s="301"/>
      <c r="P80" s="301"/>
      <c r="Q80" s="301"/>
    </row>
    <row r="81" spans="1:17">
      <c r="A81" s="297"/>
      <c r="B81" s="380"/>
      <c r="D81" s="308"/>
      <c r="E81" s="301"/>
      <c r="F81" s="302"/>
      <c r="G81" s="286"/>
      <c r="H81" s="301"/>
      <c r="I81" s="286"/>
      <c r="J81" s="301"/>
      <c r="K81" s="286"/>
      <c r="L81" s="309"/>
      <c r="M81" s="309"/>
      <c r="N81" s="301"/>
      <c r="O81" s="301"/>
      <c r="P81" s="301"/>
      <c r="Q81" s="301"/>
    </row>
    <row r="82" spans="1:17">
      <c r="A82" s="306"/>
      <c r="B82" s="307" t="s">
        <v>181</v>
      </c>
      <c r="C82" s="279"/>
      <c r="D82" s="313"/>
      <c r="E82" s="309"/>
      <c r="F82" s="366"/>
      <c r="G82" s="286"/>
      <c r="H82" s="309"/>
      <c r="I82" s="286"/>
      <c r="J82" s="309"/>
      <c r="K82" s="286"/>
      <c r="L82" s="309"/>
      <c r="M82" s="309"/>
      <c r="N82" s="309"/>
      <c r="O82" s="309"/>
      <c r="P82" s="309"/>
      <c r="Q82" s="309"/>
    </row>
    <row r="83" spans="1:17">
      <c r="A83" s="368"/>
      <c r="B83" s="382"/>
      <c r="C83" s="322" t="s">
        <v>354</v>
      </c>
      <c r="D83" s="317"/>
      <c r="E83" s="318">
        <v>0</v>
      </c>
      <c r="F83" s="319">
        <v>0</v>
      </c>
      <c r="G83" s="320"/>
      <c r="H83" s="318"/>
      <c r="I83" s="320"/>
      <c r="J83" s="321"/>
      <c r="K83" s="320"/>
      <c r="L83" s="321"/>
      <c r="M83" s="321"/>
      <c r="N83" s="321"/>
      <c r="O83" s="318">
        <f>F83+H83-J83+L83-N83</f>
        <v>0</v>
      </c>
      <c r="P83" s="318">
        <v>0</v>
      </c>
      <c r="Q83" s="318">
        <v>0</v>
      </c>
    </row>
    <row r="84" spans="1:17">
      <c r="A84" s="346"/>
      <c r="B84" s="382"/>
      <c r="C84" s="322" t="s">
        <v>355</v>
      </c>
      <c r="D84" s="317"/>
      <c r="E84" s="318">
        <v>0</v>
      </c>
      <c r="F84" s="319">
        <v>0</v>
      </c>
      <c r="G84" s="320"/>
      <c r="H84" s="318"/>
      <c r="I84" s="320"/>
      <c r="J84" s="318"/>
      <c r="K84" s="320"/>
      <c r="L84" s="321"/>
      <c r="M84" s="321"/>
      <c r="N84" s="318"/>
      <c r="O84" s="318">
        <f>F84+H84-J84+L84-N84</f>
        <v>0</v>
      </c>
      <c r="P84" s="318">
        <v>0</v>
      </c>
      <c r="Q84" s="318">
        <v>0</v>
      </c>
    </row>
    <row r="85" spans="1:17">
      <c r="A85" s="346"/>
      <c r="B85" s="382"/>
      <c r="C85" s="322"/>
      <c r="D85" s="317"/>
      <c r="E85" s="318">
        <v>0</v>
      </c>
      <c r="F85" s="319">
        <v>0</v>
      </c>
      <c r="G85" s="320"/>
      <c r="H85" s="318"/>
      <c r="I85" s="320"/>
      <c r="J85" s="318"/>
      <c r="K85" s="320"/>
      <c r="L85" s="321"/>
      <c r="M85" s="321"/>
      <c r="N85" s="318"/>
      <c r="O85" s="318">
        <f>F85+H85-J85+L85-N85</f>
        <v>0</v>
      </c>
      <c r="P85" s="318">
        <v>0</v>
      </c>
      <c r="Q85" s="318">
        <v>0</v>
      </c>
    </row>
    <row r="86" spans="1:17">
      <c r="A86" s="314"/>
      <c r="B86" s="315"/>
      <c r="C86" s="322"/>
      <c r="D86" s="317"/>
      <c r="E86" s="318">
        <v>0</v>
      </c>
      <c r="F86" s="319">
        <v>0</v>
      </c>
      <c r="G86" s="320"/>
      <c r="H86" s="318"/>
      <c r="I86" s="320"/>
      <c r="J86" s="321"/>
      <c r="K86" s="320"/>
      <c r="L86" s="321"/>
      <c r="M86" s="321"/>
      <c r="N86" s="321"/>
      <c r="O86" s="318">
        <f>F86+H86-J86+L86-N86</f>
        <v>0</v>
      </c>
      <c r="P86" s="318">
        <v>0</v>
      </c>
      <c r="Q86" s="318">
        <v>0</v>
      </c>
    </row>
    <row r="87" spans="1:17" ht="15" thickBot="1">
      <c r="A87" s="357"/>
      <c r="B87" s="375"/>
      <c r="C87" s="390"/>
      <c r="D87" s="377"/>
      <c r="E87" s="391"/>
      <c r="F87" s="392"/>
      <c r="G87" s="294"/>
      <c r="H87" s="391"/>
      <c r="I87" s="294"/>
      <c r="J87" s="378"/>
      <c r="K87" s="294"/>
      <c r="L87" s="378"/>
      <c r="M87" s="378"/>
      <c r="N87" s="378"/>
      <c r="O87" s="378"/>
      <c r="P87" s="378"/>
      <c r="Q87" s="378"/>
    </row>
    <row r="88" spans="1:17" ht="15" thickBot="1">
      <c r="A88" s="357"/>
      <c r="B88" s="375" t="s">
        <v>182</v>
      </c>
      <c r="C88" s="390"/>
      <c r="D88" s="377"/>
      <c r="E88" s="391">
        <f>SUM(E83:E86)</f>
        <v>0</v>
      </c>
      <c r="F88" s="392">
        <f>SUM(F83:F86)</f>
        <v>0</v>
      </c>
      <c r="G88" s="294"/>
      <c r="H88" s="391"/>
      <c r="I88" s="294"/>
      <c r="J88" s="378"/>
      <c r="K88" s="294"/>
      <c r="L88" s="378"/>
      <c r="M88" s="378"/>
      <c r="N88" s="378"/>
      <c r="O88" s="378"/>
      <c r="P88" s="378"/>
      <c r="Q88" s="378"/>
    </row>
    <row r="89" spans="1:17">
      <c r="A89" s="393"/>
      <c r="B89" s="394"/>
      <c r="C89" s="395"/>
      <c r="D89" s="396"/>
      <c r="E89" s="397"/>
      <c r="F89" s="398"/>
      <c r="G89" s="399"/>
      <c r="H89" s="397"/>
      <c r="I89" s="399"/>
      <c r="J89" s="400"/>
      <c r="K89" s="399"/>
      <c r="L89" s="400"/>
      <c r="M89" s="400"/>
      <c r="N89" s="400"/>
      <c r="O89" s="400"/>
      <c r="P89" s="400"/>
      <c r="Q89" s="400"/>
    </row>
    <row r="90" spans="1:17">
      <c r="A90" s="314"/>
      <c r="B90" s="315" t="s">
        <v>183</v>
      </c>
      <c r="C90" s="322"/>
      <c r="D90" s="317"/>
      <c r="E90" s="318"/>
      <c r="F90" s="319"/>
      <c r="G90" s="320"/>
      <c r="H90" s="318"/>
      <c r="I90" s="320"/>
      <c r="J90" s="321"/>
      <c r="K90" s="320"/>
      <c r="L90" s="321"/>
      <c r="M90" s="321"/>
      <c r="N90" s="321"/>
      <c r="O90" s="321"/>
      <c r="P90" s="321"/>
      <c r="Q90" s="321"/>
    </row>
    <row r="91" spans="1:17">
      <c r="A91" s="314"/>
      <c r="B91" s="315" t="s">
        <v>184</v>
      </c>
      <c r="C91" s="322"/>
      <c r="D91" s="317"/>
      <c r="E91" s="318"/>
      <c r="F91" s="319"/>
      <c r="G91" s="320"/>
      <c r="H91" s="318"/>
      <c r="I91" s="320"/>
      <c r="J91" s="321"/>
      <c r="K91" s="320"/>
      <c r="L91" s="321"/>
      <c r="M91" s="321"/>
      <c r="N91" s="321"/>
      <c r="O91" s="321"/>
      <c r="P91" s="321"/>
      <c r="Q91" s="321"/>
    </row>
    <row r="92" spans="1:17">
      <c r="A92" s="368"/>
      <c r="B92" s="315"/>
      <c r="C92" s="322" t="s">
        <v>185</v>
      </c>
      <c r="D92" s="317"/>
      <c r="E92" s="347">
        <v>116527181</v>
      </c>
      <c r="F92" s="473">
        <v>411424620</v>
      </c>
      <c r="G92" s="320"/>
      <c r="H92" s="318"/>
      <c r="I92" s="320"/>
      <c r="J92" s="321"/>
      <c r="K92" s="320"/>
      <c r="L92" s="321"/>
      <c r="M92" s="321"/>
      <c r="N92" s="321"/>
      <c r="O92" s="318">
        <f>F92+H92-J92+L92-N92</f>
        <v>411424620</v>
      </c>
      <c r="P92" s="318">
        <v>0</v>
      </c>
      <c r="Q92" s="318">
        <v>0</v>
      </c>
    </row>
    <row r="93" spans="1:17">
      <c r="A93" s="386"/>
      <c r="B93" s="325"/>
      <c r="C93" s="350" t="s">
        <v>186</v>
      </c>
      <c r="D93" s="327"/>
      <c r="E93" s="401">
        <v>42531900</v>
      </c>
      <c r="F93" s="402">
        <v>267578950</v>
      </c>
      <c r="G93" s="330"/>
      <c r="H93" s="318"/>
      <c r="I93" s="330"/>
      <c r="J93" s="331"/>
      <c r="K93" s="330"/>
      <c r="L93" s="331"/>
      <c r="M93" s="331"/>
      <c r="N93" s="331"/>
      <c r="O93" s="318">
        <f>F93+H93-J93+L93-N93</f>
        <v>267578950</v>
      </c>
      <c r="P93" s="318">
        <v>0</v>
      </c>
      <c r="Q93" s="318">
        <v>0</v>
      </c>
    </row>
    <row r="94" spans="1:17">
      <c r="A94" s="386"/>
      <c r="B94" s="325"/>
      <c r="C94" s="350" t="s">
        <v>187</v>
      </c>
      <c r="D94" s="327"/>
      <c r="E94" s="401">
        <v>250000000</v>
      </c>
      <c r="F94" s="402">
        <v>310000000</v>
      </c>
      <c r="G94" s="330"/>
      <c r="H94" s="328"/>
      <c r="I94" s="330"/>
      <c r="J94" s="331"/>
      <c r="K94" s="330"/>
      <c r="L94" s="331"/>
      <c r="M94" s="331"/>
      <c r="N94" s="331"/>
      <c r="O94" s="318">
        <f>F94+H94-J94+L94-N94</f>
        <v>310000000</v>
      </c>
      <c r="P94" s="328">
        <v>0</v>
      </c>
      <c r="Q94" s="328">
        <v>0</v>
      </c>
    </row>
    <row r="95" spans="1:17">
      <c r="A95" s="386"/>
      <c r="B95" s="325"/>
      <c r="C95" s="350" t="s">
        <v>655</v>
      </c>
      <c r="D95" s="327"/>
      <c r="E95" s="401">
        <v>165275000</v>
      </c>
      <c r="F95" s="402">
        <v>470100430</v>
      </c>
      <c r="G95" s="330"/>
      <c r="H95" s="328"/>
      <c r="I95" s="330"/>
      <c r="J95" s="328"/>
      <c r="K95" s="330"/>
      <c r="L95" s="331"/>
      <c r="M95" s="331"/>
      <c r="N95" s="331"/>
      <c r="O95" s="318">
        <f>F95+H95-J95+L95-N95</f>
        <v>470100430</v>
      </c>
      <c r="P95" s="328">
        <v>0</v>
      </c>
      <c r="Q95" s="328">
        <v>0</v>
      </c>
    </row>
    <row r="96" spans="1:17">
      <c r="A96" s="386"/>
      <c r="B96" s="325"/>
      <c r="C96" s="350" t="s">
        <v>188</v>
      </c>
      <c r="D96" s="327"/>
      <c r="E96" s="401">
        <v>6400000</v>
      </c>
      <c r="F96" s="402">
        <v>0</v>
      </c>
      <c r="G96" s="330"/>
      <c r="H96" s="328"/>
      <c r="I96" s="330"/>
      <c r="J96" s="331"/>
      <c r="K96" s="330"/>
      <c r="L96" s="331"/>
      <c r="M96" s="331"/>
      <c r="N96" s="331"/>
      <c r="O96" s="318">
        <f>F96+H96-J96+L96-N96</f>
        <v>0</v>
      </c>
      <c r="P96" s="328">
        <v>0</v>
      </c>
      <c r="Q96" s="328">
        <v>0</v>
      </c>
    </row>
    <row r="97" spans="1:20" ht="15" thickBot="1">
      <c r="A97" s="369"/>
      <c r="B97" s="370"/>
      <c r="C97" s="387"/>
      <c r="D97" s="371"/>
      <c r="E97" s="372"/>
      <c r="F97" s="373"/>
      <c r="G97" s="388"/>
      <c r="H97" s="372"/>
      <c r="I97" s="388"/>
      <c r="J97" s="389"/>
      <c r="K97" s="388"/>
      <c r="L97" s="389"/>
      <c r="M97" s="389"/>
      <c r="N97" s="389"/>
      <c r="O97" s="372"/>
      <c r="P97" s="372"/>
      <c r="Q97" s="372"/>
    </row>
    <row r="98" spans="1:20" ht="15" thickBot="1">
      <c r="A98" s="357"/>
      <c r="B98" s="375" t="s">
        <v>189</v>
      </c>
      <c r="C98" s="376"/>
      <c r="D98" s="403"/>
      <c r="E98" s="378">
        <f>SUM(E91:E97)</f>
        <v>580734081</v>
      </c>
      <c r="F98" s="379">
        <f>SUM(F91:F97)</f>
        <v>1459104000</v>
      </c>
      <c r="G98" s="294"/>
      <c r="H98" s="378">
        <f>SUM(H91:H97)</f>
        <v>0</v>
      </c>
      <c r="I98" s="294"/>
      <c r="J98" s="378">
        <f>SUM(J91:J97)</f>
        <v>0</v>
      </c>
      <c r="K98" s="294"/>
      <c r="L98" s="378">
        <f>SUM(L91:L97)</f>
        <v>0</v>
      </c>
      <c r="M98" s="378"/>
      <c r="N98" s="378">
        <f>SUM(N91:N97)</f>
        <v>0</v>
      </c>
      <c r="O98" s="378">
        <f>SUM(O91:O97)</f>
        <v>1459104000</v>
      </c>
      <c r="P98" s="378">
        <f>SUM(P91:P97)</f>
        <v>0</v>
      </c>
      <c r="Q98" s="378">
        <f>SUM(Q91:Q97)</f>
        <v>0</v>
      </c>
    </row>
    <row r="99" spans="1:20">
      <c r="A99" s="393"/>
      <c r="B99" s="394"/>
      <c r="C99" s="404"/>
      <c r="D99" s="405"/>
      <c r="E99" s="400"/>
      <c r="F99" s="406"/>
      <c r="G99" s="399"/>
      <c r="H99" s="400"/>
      <c r="I99" s="399"/>
      <c r="J99" s="400"/>
      <c r="K99" s="399"/>
      <c r="L99" s="400"/>
      <c r="M99" s="400"/>
      <c r="N99" s="400"/>
      <c r="O99" s="400"/>
      <c r="P99" s="400"/>
      <c r="Q99" s="400"/>
    </row>
    <row r="100" spans="1:20">
      <c r="A100" s="314"/>
      <c r="B100" s="315" t="s">
        <v>190</v>
      </c>
      <c r="C100" s="316"/>
      <c r="D100" s="407"/>
      <c r="E100" s="321"/>
      <c r="F100" s="408"/>
      <c r="G100" s="320"/>
      <c r="H100" s="321"/>
      <c r="I100" s="320"/>
      <c r="J100" s="321"/>
      <c r="K100" s="320"/>
      <c r="L100" s="321"/>
      <c r="M100" s="321"/>
      <c r="N100" s="321"/>
      <c r="O100" s="321"/>
      <c r="P100" s="321"/>
      <c r="Q100" s="321"/>
    </row>
    <row r="101" spans="1:20">
      <c r="A101" s="368"/>
      <c r="B101" s="382"/>
      <c r="C101" s="322" t="s">
        <v>191</v>
      </c>
      <c r="D101" s="407"/>
      <c r="E101" s="347">
        <v>41445222</v>
      </c>
      <c r="F101" s="472">
        <v>134508148.5</v>
      </c>
      <c r="G101" s="320"/>
      <c r="H101" s="301"/>
      <c r="I101" s="320"/>
      <c r="J101" s="318">
        <f>'Journal IDR 399'!G68</f>
        <v>8571349.25</v>
      </c>
      <c r="K101" s="320"/>
      <c r="L101" s="321"/>
      <c r="M101" s="321"/>
      <c r="N101" s="321"/>
      <c r="O101" s="318">
        <f>F101-H101+J101-L101+N101</f>
        <v>143079497.75</v>
      </c>
      <c r="P101" s="318">
        <v>0</v>
      </c>
      <c r="Q101" s="318">
        <v>0</v>
      </c>
      <c r="R101" s="278">
        <v>112636363</v>
      </c>
      <c r="S101" s="274">
        <f>O101+O103</f>
        <v>259329492.58333331</v>
      </c>
      <c r="T101" s="432">
        <f>S101-R101</f>
        <v>146693129.58333331</v>
      </c>
    </row>
    <row r="102" spans="1:20">
      <c r="A102" s="368"/>
      <c r="B102" s="382"/>
      <c r="C102" s="322" t="s">
        <v>186</v>
      </c>
      <c r="D102" s="407"/>
      <c r="E102" s="347">
        <v>17487116</v>
      </c>
      <c r="F102" s="472">
        <v>84027913.083333313</v>
      </c>
      <c r="G102" s="320"/>
      <c r="H102" s="318"/>
      <c r="I102" s="320"/>
      <c r="J102" s="318">
        <f>'Journal IDR 399'!G70</f>
        <v>5574562.458333334</v>
      </c>
      <c r="K102" s="320"/>
      <c r="L102" s="321"/>
      <c r="M102" s="321"/>
      <c r="N102" s="321"/>
      <c r="O102" s="318">
        <f>F102-H102+J102-L102+N102</f>
        <v>89602475.541666642</v>
      </c>
      <c r="P102" s="318">
        <v>0</v>
      </c>
      <c r="Q102" s="318">
        <v>0</v>
      </c>
      <c r="R102" s="278">
        <v>37386025</v>
      </c>
      <c r="S102" s="274">
        <f>O102</f>
        <v>89602475.541666642</v>
      </c>
      <c r="T102" s="432">
        <f>S102-R102</f>
        <v>52216450.541666642</v>
      </c>
    </row>
    <row r="103" spans="1:20">
      <c r="A103" s="368"/>
      <c r="B103" s="382"/>
      <c r="C103" s="322" t="s">
        <v>192</v>
      </c>
      <c r="D103" s="407"/>
      <c r="E103" s="347">
        <v>98958327</v>
      </c>
      <c r="F103" s="472">
        <v>109791661.49999997</v>
      </c>
      <c r="G103" s="320"/>
      <c r="H103" s="318"/>
      <c r="I103" s="320"/>
      <c r="J103" s="318">
        <f>'Journal IDR 399'!G72</f>
        <v>6458333.333333333</v>
      </c>
      <c r="K103" s="320"/>
      <c r="L103" s="321"/>
      <c r="M103" s="321"/>
      <c r="N103" s="321"/>
      <c r="O103" s="318">
        <f>F103-H103+J103-L103+N103</f>
        <v>116249994.8333333</v>
      </c>
      <c r="P103" s="318">
        <v>0</v>
      </c>
      <c r="Q103" s="318">
        <v>0</v>
      </c>
      <c r="R103" s="278">
        <v>5625000</v>
      </c>
      <c r="S103" s="274">
        <f>O104</f>
        <v>95225071.708333328</v>
      </c>
      <c r="T103" s="432">
        <f>S103-R103</f>
        <v>89600071.708333328</v>
      </c>
    </row>
    <row r="104" spans="1:20">
      <c r="A104" s="368"/>
      <c r="B104" s="382"/>
      <c r="C104" s="322" t="s">
        <v>655</v>
      </c>
      <c r="D104" s="407"/>
      <c r="E104" s="347">
        <v>65421351</v>
      </c>
      <c r="F104" s="472">
        <v>85431312.75</v>
      </c>
      <c r="G104" s="320"/>
      <c r="H104" s="318"/>
      <c r="I104" s="320"/>
      <c r="J104" s="318">
        <f>'Journal IDR 399'!G74</f>
        <v>9793758.958333334</v>
      </c>
      <c r="K104" s="320"/>
      <c r="L104" s="321"/>
      <c r="M104" s="321"/>
      <c r="N104" s="321"/>
      <c r="O104" s="318">
        <f>F104-H104+J104-L104+N104</f>
        <v>95225071.708333328</v>
      </c>
      <c r="P104" s="318">
        <v>0</v>
      </c>
      <c r="Q104" s="318">
        <v>0</v>
      </c>
      <c r="T104" s="432">
        <f>SUM(T101:T103)</f>
        <v>288509651.83333325</v>
      </c>
    </row>
    <row r="105" spans="1:20">
      <c r="A105" s="368"/>
      <c r="B105" s="382"/>
      <c r="C105" s="322" t="s">
        <v>188</v>
      </c>
      <c r="D105" s="407"/>
      <c r="E105" s="347">
        <v>2026665</v>
      </c>
      <c r="F105" s="586">
        <v>0</v>
      </c>
      <c r="G105" s="320"/>
      <c r="H105" s="318"/>
      <c r="I105" s="320"/>
      <c r="J105" s="587"/>
      <c r="K105" s="320"/>
      <c r="L105" s="321"/>
      <c r="M105" s="321"/>
      <c r="N105" s="321"/>
      <c r="O105" s="318">
        <f>F105-H105+J105-L105+N105</f>
        <v>0</v>
      </c>
      <c r="P105" s="318">
        <v>0</v>
      </c>
      <c r="Q105" s="318">
        <v>0</v>
      </c>
    </row>
    <row r="106" spans="1:20" ht="15" thickBot="1">
      <c r="A106" s="297"/>
      <c r="B106" s="380"/>
      <c r="D106" s="313"/>
      <c r="E106" s="323"/>
      <c r="F106" s="409">
        <v>0</v>
      </c>
      <c r="G106" s="286"/>
      <c r="H106" s="309"/>
      <c r="I106" s="286"/>
      <c r="J106" s="309"/>
      <c r="K106" s="286"/>
      <c r="L106" s="309"/>
      <c r="M106" s="309"/>
      <c r="N106" s="309"/>
      <c r="O106" s="309"/>
      <c r="P106" s="309"/>
      <c r="Q106" s="309"/>
    </row>
    <row r="107" spans="1:20" ht="15" thickBot="1">
      <c r="A107" s="332"/>
      <c r="B107" s="333" t="s">
        <v>193</v>
      </c>
      <c r="C107" s="334"/>
      <c r="D107" s="410"/>
      <c r="E107" s="336">
        <f>SUM(E100:E106)</f>
        <v>225338681</v>
      </c>
      <c r="F107" s="337">
        <f>SUM(F100:F106)</f>
        <v>413759035.83333325</v>
      </c>
      <c r="G107" s="295"/>
      <c r="H107" s="336">
        <f>SUM(H100:H106)</f>
        <v>0</v>
      </c>
      <c r="I107" s="295"/>
      <c r="J107" s="336"/>
      <c r="K107" s="295"/>
      <c r="L107" s="336">
        <f>SUM(L100:L106)</f>
        <v>0</v>
      </c>
      <c r="M107" s="336"/>
      <c r="N107" s="336">
        <f>SUM(N100:N106)</f>
        <v>0</v>
      </c>
      <c r="O107" s="336">
        <f>SUM(O100:O106)</f>
        <v>444157039.83333325</v>
      </c>
      <c r="P107" s="336">
        <f>SUM(P100:P106)</f>
        <v>0</v>
      </c>
      <c r="Q107" s="336">
        <f>SUM(Q100:Q106)</f>
        <v>0</v>
      </c>
    </row>
    <row r="108" spans="1:20" ht="15" thickBot="1">
      <c r="A108" s="306"/>
      <c r="B108" s="307"/>
      <c r="C108" s="279"/>
      <c r="D108" s="313"/>
      <c r="E108" s="309"/>
      <c r="F108" s="366"/>
      <c r="G108" s="286"/>
      <c r="H108" s="309"/>
      <c r="I108" s="286"/>
      <c r="J108" s="309"/>
      <c r="K108" s="286"/>
      <c r="L108" s="309"/>
      <c r="M108" s="309"/>
      <c r="N108" s="309"/>
      <c r="O108" s="309"/>
      <c r="P108" s="309"/>
      <c r="Q108" s="309"/>
    </row>
    <row r="109" spans="1:20" ht="15" thickBot="1">
      <c r="A109" s="332"/>
      <c r="B109" s="333" t="s">
        <v>194</v>
      </c>
      <c r="C109" s="334"/>
      <c r="D109" s="410"/>
      <c r="E109" s="336">
        <f>E98-E107</f>
        <v>355395400</v>
      </c>
      <c r="F109" s="337">
        <f>F98-F107</f>
        <v>1045344964.1666667</v>
      </c>
      <c r="G109" s="295"/>
      <c r="H109" s="336">
        <f>H98-H107</f>
        <v>0</v>
      </c>
      <c r="I109" s="295"/>
      <c r="J109" s="336">
        <f>J98-J107</f>
        <v>0</v>
      </c>
      <c r="K109" s="295"/>
      <c r="L109" s="336">
        <f>L98-L107</f>
        <v>0</v>
      </c>
      <c r="M109" s="336"/>
      <c r="N109" s="336">
        <f>N98-N107</f>
        <v>0</v>
      </c>
      <c r="O109" s="336">
        <f>O98-O107</f>
        <v>1014946960.1666667</v>
      </c>
      <c r="P109" s="336">
        <f>P98-P107</f>
        <v>0</v>
      </c>
      <c r="Q109" s="336">
        <f>Q98-Q107</f>
        <v>0</v>
      </c>
    </row>
    <row r="110" spans="1:20" ht="15" thickBot="1">
      <c r="A110" s="306"/>
      <c r="B110" s="307"/>
      <c r="C110" s="279"/>
      <c r="D110" s="313"/>
      <c r="E110" s="309"/>
      <c r="F110" s="366"/>
      <c r="G110" s="286"/>
      <c r="H110" s="309"/>
      <c r="I110" s="286"/>
      <c r="J110" s="309"/>
      <c r="K110" s="286"/>
      <c r="L110" s="309"/>
      <c r="M110" s="309"/>
      <c r="N110" s="309"/>
      <c r="O110" s="309"/>
      <c r="P110" s="309"/>
      <c r="Q110" s="309"/>
    </row>
    <row r="111" spans="1:20" ht="15" thickBot="1">
      <c r="A111" s="332"/>
      <c r="B111" s="333" t="s">
        <v>195</v>
      </c>
      <c r="C111" s="334"/>
      <c r="D111" s="410"/>
      <c r="E111" s="336">
        <v>0</v>
      </c>
      <c r="F111" s="337">
        <v>0</v>
      </c>
      <c r="G111" s="295"/>
      <c r="H111" s="336"/>
      <c r="I111" s="295"/>
      <c r="J111" s="336"/>
      <c r="K111" s="295"/>
      <c r="L111" s="336"/>
      <c r="M111" s="336"/>
      <c r="N111" s="336"/>
      <c r="O111" s="336">
        <f>F111+H111+L111-J111-N111</f>
        <v>0</v>
      </c>
      <c r="P111" s="336">
        <v>0</v>
      </c>
      <c r="Q111" s="336">
        <v>0</v>
      </c>
    </row>
    <row r="112" spans="1:20" ht="15" thickBot="1">
      <c r="A112" s="306"/>
      <c r="B112" s="307"/>
      <c r="C112" s="279"/>
      <c r="D112" s="313"/>
      <c r="E112" s="309"/>
      <c r="F112" s="366"/>
      <c r="G112" s="286"/>
      <c r="H112" s="309"/>
      <c r="I112" s="286"/>
      <c r="J112" s="309"/>
      <c r="K112" s="286"/>
      <c r="L112" s="309"/>
      <c r="M112" s="309"/>
      <c r="N112" s="309"/>
      <c r="O112" s="309"/>
      <c r="P112" s="309"/>
      <c r="Q112" s="309"/>
    </row>
    <row r="113" spans="1:17" ht="15" thickBot="1">
      <c r="A113" s="332"/>
      <c r="B113" s="333" t="s">
        <v>196</v>
      </c>
      <c r="C113" s="334"/>
      <c r="D113" s="410"/>
      <c r="E113" s="336">
        <f>E109+E111</f>
        <v>355395400</v>
      </c>
      <c r="F113" s="337">
        <f>F109+F111</f>
        <v>1045344964.1666667</v>
      </c>
      <c r="G113" s="295"/>
      <c r="H113" s="336">
        <f>H109+H111</f>
        <v>0</v>
      </c>
      <c r="I113" s="295"/>
      <c r="J113" s="336">
        <f>J109+J111</f>
        <v>0</v>
      </c>
      <c r="K113" s="295"/>
      <c r="L113" s="336">
        <f>L109+L111</f>
        <v>0</v>
      </c>
      <c r="M113" s="336"/>
      <c r="N113" s="336">
        <f>N109+N111</f>
        <v>0</v>
      </c>
      <c r="O113" s="336">
        <f>O109+O111</f>
        <v>1014946960.1666667</v>
      </c>
      <c r="P113" s="336">
        <f>P109+P111</f>
        <v>0</v>
      </c>
      <c r="Q113" s="336">
        <f>Q109+Q111</f>
        <v>0</v>
      </c>
    </row>
    <row r="114" spans="1:17">
      <c r="A114" s="306"/>
      <c r="B114" s="307"/>
      <c r="C114" s="279"/>
      <c r="D114" s="313"/>
      <c r="E114" s="309"/>
      <c r="F114" s="366"/>
      <c r="G114" s="286"/>
      <c r="H114" s="309"/>
      <c r="I114" s="286"/>
      <c r="J114" s="309"/>
      <c r="K114" s="286"/>
      <c r="L114" s="309"/>
      <c r="M114" s="309"/>
      <c r="N114" s="309"/>
      <c r="O114" s="309"/>
      <c r="P114" s="309"/>
      <c r="Q114" s="309"/>
    </row>
    <row r="115" spans="1:17" ht="15" thickBot="1">
      <c r="A115" s="411"/>
      <c r="B115" s="412"/>
      <c r="C115" s="376" t="s">
        <v>3</v>
      </c>
      <c r="D115" s="413"/>
      <c r="E115" s="378" t="e">
        <f>E113+E78</f>
        <v>#REF!</v>
      </c>
      <c r="F115" s="379">
        <f>F113+F78</f>
        <v>12934727033.986208</v>
      </c>
      <c r="G115" s="294"/>
      <c r="H115" s="378">
        <f>H113+H78</f>
        <v>2925457861.562727</v>
      </c>
      <c r="I115" s="294"/>
      <c r="J115" s="378">
        <f>J113+J78</f>
        <v>3892928431.5772319</v>
      </c>
      <c r="K115" s="294"/>
      <c r="L115" s="378">
        <f>L113+L78</f>
        <v>0</v>
      </c>
      <c r="M115" s="378"/>
      <c r="N115" s="378">
        <f>N113+N78</f>
        <v>0</v>
      </c>
      <c r="O115" s="378">
        <f>O113+O78</f>
        <v>11943704677.971703</v>
      </c>
      <c r="P115" s="378">
        <f>P113+P78</f>
        <v>0</v>
      </c>
      <c r="Q115" s="378">
        <f>Q113+Q78</f>
        <v>0</v>
      </c>
    </row>
    <row r="116" spans="1:17">
      <c r="A116" s="297"/>
      <c r="B116" s="380"/>
      <c r="D116" s="308"/>
      <c r="E116" s="301"/>
      <c r="F116" s="367"/>
      <c r="G116" s="286"/>
      <c r="H116" s="301"/>
      <c r="I116" s="286"/>
      <c r="J116" s="301"/>
      <c r="K116" s="286"/>
      <c r="L116" s="301"/>
      <c r="M116" s="309"/>
      <c r="N116" s="301"/>
      <c r="O116" s="301"/>
      <c r="P116" s="301"/>
      <c r="Q116" s="301"/>
    </row>
    <row r="117" spans="1:17">
      <c r="A117" s="297"/>
      <c r="B117" s="307" t="s">
        <v>8</v>
      </c>
      <c r="D117" s="308"/>
      <c r="E117" s="301"/>
      <c r="F117" s="302"/>
      <c r="G117" s="286"/>
      <c r="H117" s="301"/>
      <c r="I117" s="286"/>
      <c r="J117" s="301"/>
      <c r="K117" s="286"/>
      <c r="L117" s="301"/>
      <c r="M117" s="309"/>
      <c r="N117" s="301"/>
      <c r="O117" s="301"/>
      <c r="P117" s="301"/>
      <c r="Q117" s="301"/>
    </row>
    <row r="118" spans="1:17">
      <c r="A118" s="297"/>
      <c r="B118" s="380"/>
      <c r="D118" s="308"/>
      <c r="E118" s="301"/>
      <c r="F118" s="302"/>
      <c r="G118" s="286"/>
      <c r="H118" s="301"/>
      <c r="I118" s="286"/>
      <c r="J118" s="301"/>
      <c r="K118" s="286"/>
      <c r="L118" s="301"/>
      <c r="M118" s="309"/>
      <c r="N118" s="301"/>
      <c r="O118" s="301"/>
      <c r="P118" s="301"/>
      <c r="Q118" s="301"/>
    </row>
    <row r="119" spans="1:17">
      <c r="A119" s="297"/>
      <c r="B119" s="307" t="s">
        <v>9</v>
      </c>
      <c r="D119" s="308"/>
      <c r="E119" s="301"/>
      <c r="F119" s="302"/>
      <c r="G119" s="286"/>
      <c r="H119" s="301"/>
      <c r="I119" s="286"/>
      <c r="J119" s="301"/>
      <c r="K119" s="286"/>
      <c r="L119" s="301"/>
      <c r="M119" s="309"/>
      <c r="N119" s="301"/>
      <c r="O119" s="301"/>
      <c r="P119" s="301"/>
      <c r="Q119" s="301"/>
    </row>
    <row r="120" spans="1:17">
      <c r="A120" s="297"/>
      <c r="B120" s="307"/>
      <c r="D120" s="308"/>
      <c r="E120" s="301"/>
      <c r="F120" s="302"/>
      <c r="G120" s="286"/>
      <c r="H120" s="301"/>
      <c r="I120" s="286"/>
      <c r="J120" s="301"/>
      <c r="K120" s="286"/>
      <c r="L120" s="301"/>
      <c r="M120" s="309"/>
      <c r="N120" s="301"/>
      <c r="O120" s="301"/>
      <c r="P120" s="301"/>
      <c r="Q120" s="301"/>
    </row>
    <row r="121" spans="1:17">
      <c r="A121" s="297"/>
      <c r="B121" s="307" t="s">
        <v>197</v>
      </c>
      <c r="D121" s="308"/>
      <c r="E121" s="301"/>
      <c r="F121" s="302"/>
      <c r="G121" s="286"/>
      <c r="H121" s="301"/>
      <c r="I121" s="286"/>
      <c r="J121" s="301"/>
      <c r="K121" s="286"/>
      <c r="L121" s="301"/>
      <c r="M121" s="309"/>
      <c r="N121" s="301"/>
      <c r="O121" s="301"/>
      <c r="P121" s="301"/>
      <c r="Q121" s="301"/>
    </row>
    <row r="122" spans="1:17">
      <c r="A122" s="346"/>
      <c r="B122" s="382"/>
      <c r="C122" s="322" t="s">
        <v>737</v>
      </c>
      <c r="D122" s="317"/>
      <c r="E122" s="318"/>
      <c r="F122" s="319">
        <v>9854925.5018181819</v>
      </c>
      <c r="G122" s="320"/>
      <c r="H122" s="318"/>
      <c r="I122" s="320"/>
      <c r="J122" s="318">
        <f>'Journal IDR 399'!G78+'Journal IDR 399'!G83+'Journal IDR 399'!G88+'Journal IDR 399'!G103+'Journal IDR 399'!G108</f>
        <v>2423782.6363636362</v>
      </c>
      <c r="K122" s="320"/>
      <c r="L122" s="318"/>
      <c r="M122" s="321"/>
      <c r="N122" s="318"/>
      <c r="O122" s="318">
        <f t="shared" ref="O122:O127" si="1">F122+J122-H122+N122-L122</f>
        <v>12278708.138181819</v>
      </c>
      <c r="P122" s="318">
        <v>0</v>
      </c>
      <c r="Q122" s="318">
        <v>0</v>
      </c>
    </row>
    <row r="123" spans="1:17">
      <c r="A123" s="386"/>
      <c r="B123" s="414"/>
      <c r="C123" s="350" t="s">
        <v>198</v>
      </c>
      <c r="D123" s="327"/>
      <c r="E123" s="301">
        <v>10108466</v>
      </c>
      <c r="F123" s="409">
        <v>23205876.099999994</v>
      </c>
      <c r="G123" s="330"/>
      <c r="H123" s="328">
        <f>'BCA IDR'!F41</f>
        <v>23205876</v>
      </c>
      <c r="I123" s="330"/>
      <c r="J123" s="328"/>
      <c r="K123" s="330"/>
      <c r="L123" s="328"/>
      <c r="M123" s="331"/>
      <c r="N123" s="328"/>
      <c r="O123" s="318">
        <f>F123+J123-H123+N123-L123</f>
        <v>9.9999994039535522E-2</v>
      </c>
      <c r="P123" s="318">
        <v>0</v>
      </c>
      <c r="Q123" s="318">
        <v>0</v>
      </c>
    </row>
    <row r="124" spans="1:17">
      <c r="A124" s="386"/>
      <c r="B124" s="414"/>
      <c r="C124" s="350" t="s">
        <v>200</v>
      </c>
      <c r="D124" s="327"/>
      <c r="E124" s="347">
        <v>16427825</v>
      </c>
      <c r="F124" s="415">
        <v>53457488.14335227</v>
      </c>
      <c r="G124" s="330"/>
      <c r="H124" s="328">
        <f>'BCA IDR'!F38+'BCA IDR'!F40</f>
        <v>53457449</v>
      </c>
      <c r="I124" s="330"/>
      <c r="J124" s="328">
        <f>'BCA IDR'!G115+'Journal IDR 399'!G65</f>
        <v>55638148</v>
      </c>
      <c r="K124" s="330"/>
      <c r="L124" s="328"/>
      <c r="M124" s="331"/>
      <c r="N124" s="328"/>
      <c r="O124" s="318">
        <f>F124+J124-H124+N124-L124</f>
        <v>55638187.14335227</v>
      </c>
      <c r="P124" s="318">
        <v>0</v>
      </c>
      <c r="Q124" s="318">
        <v>0</v>
      </c>
    </row>
    <row r="125" spans="1:17">
      <c r="A125" s="386"/>
      <c r="B125" s="414"/>
      <c r="C125" s="350" t="s">
        <v>201</v>
      </c>
      <c r="D125" s="327"/>
      <c r="E125" s="401">
        <v>20335</v>
      </c>
      <c r="F125" s="473">
        <v>480000</v>
      </c>
      <c r="G125" s="330"/>
      <c r="H125" s="328">
        <f>'BCA IDR'!F39</f>
        <v>480000</v>
      </c>
      <c r="I125" s="330"/>
      <c r="J125" s="328"/>
      <c r="K125" s="330"/>
      <c r="L125" s="328"/>
      <c r="M125" s="331"/>
      <c r="N125" s="328"/>
      <c r="O125" s="318">
        <f t="shared" si="1"/>
        <v>0</v>
      </c>
      <c r="P125" s="318">
        <v>0</v>
      </c>
      <c r="Q125" s="318">
        <v>0</v>
      </c>
    </row>
    <row r="126" spans="1:17">
      <c r="A126" s="386"/>
      <c r="B126" s="414"/>
      <c r="C126" s="350" t="s">
        <v>677</v>
      </c>
      <c r="D126" s="327"/>
      <c r="E126" s="401">
        <v>56084661</v>
      </c>
      <c r="F126" s="402">
        <v>0</v>
      </c>
      <c r="G126" s="330"/>
      <c r="H126" s="328"/>
      <c r="I126" s="330"/>
      <c r="J126" s="328">
        <f>'Journal USD'!J7</f>
        <v>9542688</v>
      </c>
      <c r="K126" s="330"/>
      <c r="L126" s="328"/>
      <c r="M126" s="331"/>
      <c r="N126" s="328"/>
      <c r="O126" s="318">
        <f t="shared" si="1"/>
        <v>9542688</v>
      </c>
      <c r="P126" s="328">
        <v>0</v>
      </c>
      <c r="Q126" s="328">
        <v>0</v>
      </c>
    </row>
    <row r="127" spans="1:17" ht="15" thickBot="1">
      <c r="A127" s="348"/>
      <c r="B127" s="414"/>
      <c r="C127" s="350"/>
      <c r="D127" s="327"/>
      <c r="E127" s="328"/>
      <c r="F127" s="329">
        <v>0</v>
      </c>
      <c r="G127" s="330"/>
      <c r="H127" s="328"/>
      <c r="I127" s="330"/>
      <c r="J127" s="328"/>
      <c r="K127" s="330"/>
      <c r="L127" s="328"/>
      <c r="M127" s="331"/>
      <c r="N127" s="328"/>
      <c r="O127" s="318">
        <f t="shared" si="1"/>
        <v>0</v>
      </c>
      <c r="P127" s="328">
        <v>0</v>
      </c>
      <c r="Q127" s="328">
        <v>0</v>
      </c>
    </row>
    <row r="128" spans="1:17" ht="15" thickBot="1">
      <c r="A128" s="351"/>
      <c r="B128" s="333" t="s">
        <v>202</v>
      </c>
      <c r="C128" s="416"/>
      <c r="D128" s="335"/>
      <c r="E128" s="336">
        <f>SUM(E122:E127)</f>
        <v>82641287</v>
      </c>
      <c r="F128" s="337">
        <f>SUM(F122:F127)</f>
        <v>86998289.745170444</v>
      </c>
      <c r="G128" s="295"/>
      <c r="H128" s="336">
        <f>SUM(H122:H127)</f>
        <v>77143325</v>
      </c>
      <c r="I128" s="295"/>
      <c r="J128" s="336">
        <f>SUM(J122:J127)</f>
        <v>67604618.636363626</v>
      </c>
      <c r="K128" s="295"/>
      <c r="L128" s="336">
        <f>SUM(L122:L127)</f>
        <v>0</v>
      </c>
      <c r="M128" s="336"/>
      <c r="N128" s="336">
        <f>SUM(N122:N127)</f>
        <v>0</v>
      </c>
      <c r="O128" s="336">
        <f>SUM(O122:O127)</f>
        <v>77459583.381534085</v>
      </c>
      <c r="P128" s="336">
        <f>SUM(P122:P127)</f>
        <v>0</v>
      </c>
      <c r="Q128" s="336">
        <f>SUM(Q122:Q127)</f>
        <v>0</v>
      </c>
    </row>
    <row r="129" spans="1:17">
      <c r="A129" s="297"/>
      <c r="B129" s="380"/>
      <c r="D129" s="308"/>
      <c r="E129" s="301"/>
      <c r="F129" s="302"/>
      <c r="G129" s="286"/>
      <c r="H129" s="301"/>
      <c r="I129" s="286"/>
      <c r="J129" s="301"/>
      <c r="K129" s="286"/>
      <c r="L129" s="301"/>
      <c r="M129" s="309"/>
      <c r="N129" s="301"/>
      <c r="O129" s="301"/>
      <c r="P129" s="301"/>
      <c r="Q129" s="301"/>
    </row>
    <row r="130" spans="1:17">
      <c r="A130" s="297"/>
      <c r="B130" s="307" t="s">
        <v>203</v>
      </c>
      <c r="D130" s="308"/>
      <c r="E130" s="301"/>
      <c r="F130" s="302"/>
      <c r="G130" s="286"/>
      <c r="H130" s="301"/>
      <c r="I130" s="286"/>
      <c r="J130" s="301"/>
      <c r="K130" s="286"/>
      <c r="L130" s="301"/>
      <c r="M130" s="309"/>
      <c r="N130" s="301"/>
      <c r="O130" s="301"/>
      <c r="P130" s="301"/>
      <c r="Q130" s="301"/>
    </row>
    <row r="131" spans="1:17">
      <c r="A131" s="368"/>
      <c r="B131" s="382"/>
      <c r="C131" s="322" t="s">
        <v>204</v>
      </c>
      <c r="D131" s="317"/>
      <c r="E131" s="318">
        <v>13606794</v>
      </c>
      <c r="F131" s="472">
        <v>129064360</v>
      </c>
      <c r="G131" s="330"/>
      <c r="H131" s="328">
        <f>'BCA IDR'!F8+'BCA IDR'!F30+'Journal IDR 399'!F46</f>
        <v>1026864360</v>
      </c>
      <c r="I131" s="330"/>
      <c r="J131" s="328">
        <f>'BCA IDR'!G225+'Journal IDR 399'!G44</f>
        <v>1020476860</v>
      </c>
      <c r="K131" s="330"/>
      <c r="L131" s="328"/>
      <c r="M131" s="331"/>
      <c r="N131" s="328"/>
      <c r="O131" s="318">
        <f>F131+J131-H131+N131-L131</f>
        <v>122676860</v>
      </c>
      <c r="P131" s="328">
        <v>0</v>
      </c>
      <c r="Q131" s="328">
        <v>0</v>
      </c>
    </row>
    <row r="132" spans="1:17">
      <c r="A132" s="386"/>
      <c r="B132" s="414"/>
      <c r="C132" s="350" t="s">
        <v>205</v>
      </c>
      <c r="D132" s="327"/>
      <c r="E132" s="328">
        <v>91205004</v>
      </c>
      <c r="F132" s="472">
        <v>0</v>
      </c>
      <c r="G132" s="330"/>
      <c r="H132" s="328"/>
      <c r="I132" s="330"/>
      <c r="J132" s="328"/>
      <c r="K132" s="330"/>
      <c r="L132" s="328"/>
      <c r="M132" s="331"/>
      <c r="N132" s="328"/>
      <c r="O132" s="318">
        <f>F132+J132-H132+N132-L132</f>
        <v>0</v>
      </c>
      <c r="P132" s="328">
        <v>0</v>
      </c>
      <c r="Q132" s="328">
        <v>0</v>
      </c>
    </row>
    <row r="133" spans="1:17" ht="15" thickBot="1">
      <c r="A133" s="348"/>
      <c r="B133" s="414"/>
      <c r="C133" s="350"/>
      <c r="D133" s="327"/>
      <c r="E133" s="328"/>
      <c r="F133" s="329"/>
      <c r="G133" s="330"/>
      <c r="H133" s="328"/>
      <c r="I133" s="330"/>
      <c r="J133" s="328"/>
      <c r="K133" s="330"/>
      <c r="L133" s="328"/>
      <c r="M133" s="331"/>
      <c r="N133" s="328"/>
      <c r="O133" s="328"/>
      <c r="P133" s="328"/>
      <c r="Q133" s="328"/>
    </row>
    <row r="134" spans="1:17" ht="15" thickBot="1">
      <c r="A134" s="351"/>
      <c r="B134" s="333" t="s">
        <v>206</v>
      </c>
      <c r="C134" s="416"/>
      <c r="D134" s="335"/>
      <c r="E134" s="336">
        <f>SUM(E131:E133)</f>
        <v>104811798</v>
      </c>
      <c r="F134" s="337">
        <f>SUM(F131:F133)</f>
        <v>129064360</v>
      </c>
      <c r="G134" s="295"/>
      <c r="H134" s="336">
        <f>SUM(H131:H133)</f>
        <v>1026864360</v>
      </c>
      <c r="I134" s="295"/>
      <c r="J134" s="336">
        <f>SUM(J131:J133)</f>
        <v>1020476860</v>
      </c>
      <c r="K134" s="295"/>
      <c r="L134" s="336">
        <f>SUM(L131:L133)</f>
        <v>0</v>
      </c>
      <c r="M134" s="336"/>
      <c r="N134" s="336">
        <f>SUM(N131:N133)</f>
        <v>0</v>
      </c>
      <c r="O134" s="336">
        <f>SUM(O131:O133)</f>
        <v>122676860</v>
      </c>
      <c r="P134" s="336">
        <f>SUM(P131:P133)</f>
        <v>0</v>
      </c>
      <c r="Q134" s="336">
        <f>SUM(Q131:Q133)</f>
        <v>0</v>
      </c>
    </row>
    <row r="135" spans="1:17">
      <c r="A135" s="297"/>
      <c r="B135" s="307"/>
      <c r="D135" s="308"/>
      <c r="E135" s="309"/>
      <c r="F135" s="366"/>
      <c r="G135" s="286"/>
      <c r="H135" s="301"/>
      <c r="I135" s="286"/>
      <c r="J135" s="301"/>
      <c r="K135" s="286"/>
      <c r="L135" s="301"/>
      <c r="M135" s="309"/>
      <c r="N135" s="301"/>
      <c r="O135" s="301"/>
      <c r="P135" s="301"/>
      <c r="Q135" s="301"/>
    </row>
    <row r="136" spans="1:17">
      <c r="A136" s="355"/>
      <c r="B136" s="339" t="s">
        <v>207</v>
      </c>
      <c r="C136" s="364"/>
      <c r="D136" s="341"/>
      <c r="E136" s="309"/>
      <c r="F136" s="366"/>
      <c r="G136" s="344"/>
      <c r="H136" s="342"/>
      <c r="I136" s="344"/>
      <c r="J136" s="342"/>
      <c r="K136" s="344"/>
      <c r="L136" s="342"/>
      <c r="M136" s="345"/>
      <c r="N136" s="342"/>
      <c r="O136" s="342"/>
      <c r="P136" s="342"/>
      <c r="Q136" s="342"/>
    </row>
    <row r="137" spans="1:17" ht="15" thickBot="1">
      <c r="A137" s="346"/>
      <c r="B137" s="382"/>
      <c r="C137" s="322" t="s">
        <v>208</v>
      </c>
      <c r="D137" s="317"/>
      <c r="E137" s="347">
        <v>118363252</v>
      </c>
      <c r="F137" s="472">
        <v>0</v>
      </c>
      <c r="G137" s="320"/>
      <c r="H137" s="318"/>
      <c r="I137" s="388"/>
      <c r="J137" s="372"/>
      <c r="K137" s="320"/>
      <c r="L137" s="318"/>
      <c r="M137" s="321"/>
      <c r="N137" s="318"/>
      <c r="O137" s="318">
        <f>F137+J137-H137+N137-L137</f>
        <v>0</v>
      </c>
      <c r="P137" s="318">
        <v>0</v>
      </c>
      <c r="Q137" s="318">
        <v>0</v>
      </c>
    </row>
    <row r="138" spans="1:17" ht="15" thickBot="1">
      <c r="A138" s="417"/>
      <c r="B138" s="418"/>
      <c r="C138" s="387"/>
      <c r="D138" s="371"/>
      <c r="E138" s="372"/>
      <c r="F138" s="373"/>
      <c r="G138" s="388"/>
      <c r="H138" s="372"/>
      <c r="I138" s="388"/>
      <c r="J138" s="372"/>
      <c r="K138" s="388"/>
      <c r="L138" s="372"/>
      <c r="M138" s="389"/>
      <c r="N138" s="372"/>
      <c r="O138" s="372"/>
      <c r="P138" s="372"/>
      <c r="Q138" s="372"/>
    </row>
    <row r="139" spans="1:17" ht="15" thickBot="1">
      <c r="A139" s="411"/>
      <c r="B139" s="375" t="s">
        <v>209</v>
      </c>
      <c r="C139" s="390"/>
      <c r="D139" s="377"/>
      <c r="E139" s="378">
        <f>E137</f>
        <v>118363252</v>
      </c>
      <c r="F139" s="379">
        <f>F137</f>
        <v>0</v>
      </c>
      <c r="G139" s="294"/>
      <c r="H139" s="378">
        <f>H137</f>
        <v>0</v>
      </c>
      <c r="I139" s="294"/>
      <c r="J139" s="378">
        <f>J137</f>
        <v>0</v>
      </c>
      <c r="K139" s="294"/>
      <c r="L139" s="378">
        <f>L137</f>
        <v>0</v>
      </c>
      <c r="M139" s="378"/>
      <c r="N139" s="378">
        <f>N137</f>
        <v>0</v>
      </c>
      <c r="O139" s="378">
        <f>O137</f>
        <v>0</v>
      </c>
      <c r="P139" s="419">
        <f>P137</f>
        <v>0</v>
      </c>
      <c r="Q139" s="419">
        <f>Q137</f>
        <v>0</v>
      </c>
    </row>
    <row r="140" spans="1:17">
      <c r="A140" s="297"/>
      <c r="B140" s="380"/>
      <c r="D140" s="308"/>
      <c r="E140" s="301"/>
      <c r="F140" s="302"/>
      <c r="G140" s="286"/>
      <c r="H140" s="301"/>
      <c r="I140" s="286"/>
      <c r="J140" s="301"/>
      <c r="K140" s="286"/>
      <c r="L140" s="301"/>
      <c r="M140" s="309"/>
      <c r="N140" s="301"/>
      <c r="O140" s="301"/>
      <c r="P140" s="301"/>
      <c r="Q140" s="301"/>
    </row>
    <row r="141" spans="1:17">
      <c r="A141" s="297"/>
      <c r="B141" s="307" t="s">
        <v>210</v>
      </c>
      <c r="D141" s="308"/>
      <c r="E141" s="301"/>
      <c r="F141" s="302"/>
      <c r="G141" s="286"/>
      <c r="H141" s="301"/>
      <c r="I141" s="286"/>
      <c r="J141" s="301"/>
      <c r="K141" s="286"/>
      <c r="L141" s="301"/>
      <c r="M141" s="309"/>
      <c r="N141" s="301"/>
      <c r="O141" s="318"/>
      <c r="P141" s="301"/>
      <c r="Q141" s="301"/>
    </row>
    <row r="142" spans="1:17">
      <c r="A142" s="368"/>
      <c r="B142" s="382"/>
      <c r="C142" s="322" t="s">
        <v>355</v>
      </c>
      <c r="D142" s="317"/>
      <c r="E142" s="347"/>
      <c r="F142" s="415">
        <v>0</v>
      </c>
      <c r="G142" s="320"/>
      <c r="H142" s="318"/>
      <c r="I142" s="320"/>
      <c r="J142" s="318"/>
      <c r="K142" s="320"/>
      <c r="L142" s="318"/>
      <c r="M142" s="321"/>
      <c r="N142" s="318"/>
      <c r="O142" s="318">
        <f>F142+J142-H142+N142-L142</f>
        <v>0</v>
      </c>
      <c r="P142" s="318">
        <v>0</v>
      </c>
      <c r="Q142" s="318">
        <v>0</v>
      </c>
    </row>
    <row r="143" spans="1:17">
      <c r="A143" s="386"/>
      <c r="B143" s="414"/>
      <c r="C143" s="350" t="s">
        <v>404</v>
      </c>
      <c r="D143" s="327"/>
      <c r="E143" s="401"/>
      <c r="F143" s="402">
        <v>3733066300</v>
      </c>
      <c r="G143" s="330"/>
      <c r="H143" s="328"/>
      <c r="I143" s="330"/>
      <c r="J143" s="318"/>
      <c r="K143" s="330"/>
      <c r="L143" s="328"/>
      <c r="M143" s="331"/>
      <c r="N143" s="328"/>
      <c r="O143" s="318">
        <f>F143+J143-H143+N143-L143</f>
        <v>3733066300</v>
      </c>
      <c r="P143" s="328">
        <v>0</v>
      </c>
      <c r="Q143" s="328">
        <v>0</v>
      </c>
    </row>
    <row r="144" spans="1:17" ht="15" thickBot="1">
      <c r="A144" s="417"/>
      <c r="B144" s="418"/>
      <c r="C144" s="387"/>
      <c r="D144" s="371"/>
      <c r="E144" s="372"/>
      <c r="F144" s="373"/>
      <c r="G144" s="388"/>
      <c r="H144" s="372"/>
      <c r="I144" s="388"/>
      <c r="J144" s="372"/>
      <c r="K144" s="388"/>
      <c r="L144" s="372"/>
      <c r="M144" s="389"/>
      <c r="N144" s="372"/>
      <c r="O144" s="372"/>
      <c r="P144" s="372"/>
      <c r="Q144" s="372"/>
    </row>
    <row r="145" spans="1:17" ht="15" thickBot="1">
      <c r="A145" s="411"/>
      <c r="B145" s="375" t="s">
        <v>211</v>
      </c>
      <c r="C145" s="390"/>
      <c r="D145" s="377"/>
      <c r="E145" s="336">
        <f>E142</f>
        <v>0</v>
      </c>
      <c r="F145" s="337">
        <f>SUM(F142:F144)</f>
        <v>3733066300</v>
      </c>
      <c r="G145" s="295"/>
      <c r="H145" s="336">
        <f>H142</f>
        <v>0</v>
      </c>
      <c r="I145" s="294"/>
      <c r="J145" s="336">
        <f>J143</f>
        <v>0</v>
      </c>
      <c r="K145" s="294"/>
      <c r="L145" s="336">
        <f>L142</f>
        <v>0</v>
      </c>
      <c r="M145" s="378"/>
      <c r="N145" s="336">
        <f>N142</f>
        <v>0</v>
      </c>
      <c r="O145" s="336">
        <f>SUM(O142:O144)</f>
        <v>3733066300</v>
      </c>
      <c r="P145" s="420">
        <f>SUM(P142:P144)</f>
        <v>0</v>
      </c>
      <c r="Q145" s="420">
        <f>SUM(Q142:Q144)</f>
        <v>0</v>
      </c>
    </row>
    <row r="146" spans="1:17">
      <c r="A146" s="297"/>
      <c r="B146" s="307"/>
      <c r="D146" s="308"/>
      <c r="E146" s="309"/>
      <c r="F146" s="366"/>
      <c r="G146" s="286"/>
      <c r="H146" s="301"/>
      <c r="I146" s="286"/>
      <c r="J146" s="301"/>
      <c r="K146" s="286"/>
      <c r="L146" s="301"/>
      <c r="M146" s="309"/>
      <c r="N146" s="301"/>
      <c r="O146" s="301"/>
      <c r="P146" s="301"/>
      <c r="Q146" s="301"/>
    </row>
    <row r="147" spans="1:17">
      <c r="A147" s="297"/>
      <c r="B147" s="307" t="s">
        <v>212</v>
      </c>
      <c r="D147" s="308"/>
      <c r="E147" s="301"/>
      <c r="F147" s="302"/>
      <c r="G147" s="286"/>
      <c r="H147" s="301"/>
      <c r="I147" s="286"/>
      <c r="J147" s="301"/>
      <c r="K147" s="286"/>
      <c r="L147" s="301"/>
      <c r="M147" s="309"/>
      <c r="N147" s="301"/>
      <c r="O147" s="301"/>
      <c r="P147" s="301"/>
      <c r="Q147" s="301"/>
    </row>
    <row r="148" spans="1:17">
      <c r="A148" s="368"/>
      <c r="B148" s="382"/>
      <c r="C148" s="322" t="s">
        <v>39</v>
      </c>
      <c r="D148" s="317"/>
      <c r="E148" s="347">
        <v>120954354</v>
      </c>
      <c r="F148" s="415">
        <v>0</v>
      </c>
      <c r="G148" s="320" t="s">
        <v>213</v>
      </c>
      <c r="H148" s="318"/>
      <c r="I148" s="320"/>
      <c r="J148" s="318"/>
      <c r="K148" s="320"/>
      <c r="L148" s="318"/>
      <c r="M148" s="321"/>
      <c r="N148" s="318"/>
      <c r="O148" s="318">
        <f>F148+J148-H148+N148-L148</f>
        <v>0</v>
      </c>
      <c r="P148" s="318">
        <v>0</v>
      </c>
      <c r="Q148" s="318">
        <v>0</v>
      </c>
    </row>
    <row r="149" spans="1:17" ht="15" thickBot="1">
      <c r="A149" s="417"/>
      <c r="B149" s="418"/>
      <c r="C149" s="387"/>
      <c r="D149" s="371"/>
      <c r="E149" s="372"/>
      <c r="F149" s="373"/>
      <c r="G149" s="388"/>
      <c r="H149" s="372"/>
      <c r="I149" s="388"/>
      <c r="J149" s="372"/>
      <c r="K149" s="388"/>
      <c r="L149" s="372"/>
      <c r="M149" s="389"/>
      <c r="N149" s="372"/>
      <c r="O149" s="372"/>
      <c r="P149" s="372"/>
      <c r="Q149" s="372"/>
    </row>
    <row r="150" spans="1:17" ht="15" thickBot="1">
      <c r="A150" s="411"/>
      <c r="B150" s="375" t="s">
        <v>214</v>
      </c>
      <c r="C150" s="390"/>
      <c r="D150" s="377"/>
      <c r="E150" s="336">
        <f>E148</f>
        <v>120954354</v>
      </c>
      <c r="F150" s="337">
        <f>SUM(F148:F149)</f>
        <v>0</v>
      </c>
      <c r="G150" s="295"/>
      <c r="H150" s="336">
        <f>H148</f>
        <v>0</v>
      </c>
      <c r="I150" s="294"/>
      <c r="J150" s="336">
        <f>J148</f>
        <v>0</v>
      </c>
      <c r="K150" s="294"/>
      <c r="L150" s="336">
        <f>L148</f>
        <v>0</v>
      </c>
      <c r="M150" s="378"/>
      <c r="N150" s="336">
        <f>N148</f>
        <v>0</v>
      </c>
      <c r="O150" s="336">
        <f>O148</f>
        <v>0</v>
      </c>
      <c r="P150" s="420">
        <f>P148</f>
        <v>0</v>
      </c>
      <c r="Q150" s="420">
        <f>Q148</f>
        <v>0</v>
      </c>
    </row>
    <row r="151" spans="1:17" ht="15" thickBot="1">
      <c r="A151" s="297"/>
      <c r="B151" s="307"/>
      <c r="D151" s="308"/>
      <c r="E151" s="309"/>
      <c r="F151" s="366"/>
      <c r="G151" s="286"/>
      <c r="H151" s="301"/>
      <c r="I151" s="286"/>
      <c r="J151" s="301"/>
      <c r="K151" s="286"/>
      <c r="L151" s="301"/>
      <c r="M151" s="309"/>
      <c r="N151" s="301"/>
      <c r="O151" s="301"/>
      <c r="P151" s="301"/>
      <c r="Q151" s="301"/>
    </row>
    <row r="152" spans="1:17" ht="15" thickBot="1">
      <c r="A152" s="351"/>
      <c r="B152" s="333" t="s">
        <v>215</v>
      </c>
      <c r="C152" s="416"/>
      <c r="D152" s="335"/>
      <c r="E152" s="336">
        <v>0</v>
      </c>
      <c r="F152" s="421"/>
      <c r="G152" s="295"/>
      <c r="H152" s="422"/>
      <c r="I152" s="295"/>
      <c r="J152" s="422"/>
      <c r="K152" s="295"/>
      <c r="L152" s="422"/>
      <c r="M152" s="336"/>
      <c r="N152" s="422"/>
      <c r="O152" s="422">
        <f>F152+J152-H152+N152-L152</f>
        <v>0</v>
      </c>
      <c r="P152" s="422"/>
      <c r="Q152" s="422"/>
    </row>
    <row r="153" spans="1:17" ht="15" thickBot="1">
      <c r="A153" s="297"/>
      <c r="B153" s="307"/>
      <c r="D153" s="308"/>
      <c r="E153" s="309"/>
      <c r="F153" s="366"/>
      <c r="G153" s="286"/>
      <c r="H153" s="301"/>
      <c r="I153" s="286"/>
      <c r="J153" s="301"/>
      <c r="K153" s="286"/>
      <c r="L153" s="301"/>
      <c r="M153" s="309"/>
      <c r="N153" s="301"/>
      <c r="O153" s="301"/>
      <c r="P153" s="301"/>
      <c r="Q153" s="301"/>
    </row>
    <row r="154" spans="1:17" ht="15" thickBot="1">
      <c r="A154" s="351"/>
      <c r="B154" s="333" t="s">
        <v>216</v>
      </c>
      <c r="C154" s="416"/>
      <c r="D154" s="335"/>
      <c r="E154" s="336">
        <f>E128+E134+E139+E150</f>
        <v>426770691</v>
      </c>
      <c r="F154" s="336">
        <f>F128+F134+F139+F150+F145</f>
        <v>3949128949.7451706</v>
      </c>
      <c r="G154" s="295"/>
      <c r="H154" s="336">
        <f>H128+H134+H139+H150+H145</f>
        <v>1104007685</v>
      </c>
      <c r="I154" s="295"/>
      <c r="J154" s="336">
        <f>J128+J134+J139+J150+J145</f>
        <v>1088081478.6363635</v>
      </c>
      <c r="K154" s="295"/>
      <c r="L154" s="336">
        <f>L128+L134+L139+L150+L145</f>
        <v>0</v>
      </c>
      <c r="M154" s="336"/>
      <c r="N154" s="336">
        <f>N128+N134+N139+N150+N145</f>
        <v>0</v>
      </c>
      <c r="O154" s="336">
        <f>O128+O134+O139+O150+O145</f>
        <v>3933202743.3815341</v>
      </c>
      <c r="P154" s="420">
        <f>P128+P134+P139+P150+P145</f>
        <v>0</v>
      </c>
      <c r="Q154" s="420">
        <f>Q128+Q134+Q139+Q150+Q145</f>
        <v>0</v>
      </c>
    </row>
    <row r="155" spans="1:17">
      <c r="A155" s="297"/>
      <c r="B155" s="380"/>
      <c r="D155" s="308"/>
      <c r="E155" s="301"/>
      <c r="F155" s="302"/>
      <c r="G155" s="286"/>
      <c r="H155" s="301"/>
      <c r="I155" s="286"/>
      <c r="J155" s="301"/>
      <c r="K155" s="286"/>
      <c r="L155" s="301"/>
      <c r="M155" s="309"/>
      <c r="N155" s="301"/>
      <c r="O155" s="301"/>
      <c r="P155" s="301"/>
      <c r="Q155" s="301"/>
    </row>
    <row r="156" spans="1:17">
      <c r="A156" s="297"/>
      <c r="B156" s="307" t="s">
        <v>1</v>
      </c>
      <c r="D156" s="313"/>
      <c r="E156" s="342"/>
      <c r="F156" s="343"/>
      <c r="G156" s="286"/>
      <c r="H156" s="301"/>
      <c r="I156" s="286"/>
      <c r="J156" s="301"/>
      <c r="K156" s="286"/>
      <c r="L156" s="301"/>
      <c r="M156" s="309"/>
      <c r="N156" s="301"/>
      <c r="O156" s="301"/>
      <c r="P156" s="301"/>
      <c r="Q156" s="301"/>
    </row>
    <row r="157" spans="1:17">
      <c r="A157" s="368"/>
      <c r="B157" s="423"/>
      <c r="C157" s="322" t="s">
        <v>217</v>
      </c>
      <c r="D157" s="317"/>
      <c r="E157" s="347">
        <v>25000000000</v>
      </c>
      <c r="F157" s="415">
        <v>25000000000</v>
      </c>
      <c r="G157" s="320"/>
      <c r="H157" s="318"/>
      <c r="I157" s="320"/>
      <c r="J157" s="318"/>
      <c r="K157" s="320"/>
      <c r="L157" s="318"/>
      <c r="M157" s="321"/>
      <c r="N157" s="318"/>
      <c r="O157" s="318">
        <f>F157+J157-H157+N157-L157</f>
        <v>25000000000</v>
      </c>
      <c r="P157" s="318">
        <v>0</v>
      </c>
      <c r="Q157" s="318">
        <v>0</v>
      </c>
    </row>
    <row r="158" spans="1:17">
      <c r="A158" s="368"/>
      <c r="B158" s="423"/>
      <c r="C158" s="322" t="s">
        <v>97</v>
      </c>
      <c r="D158" s="317"/>
      <c r="E158" s="323">
        <v>0</v>
      </c>
      <c r="F158" s="409">
        <v>0</v>
      </c>
      <c r="G158" s="320"/>
      <c r="H158" s="318"/>
      <c r="I158" s="320"/>
      <c r="J158" s="318"/>
      <c r="K158" s="320"/>
      <c r="L158" s="318"/>
      <c r="M158" s="321"/>
      <c r="N158" s="318"/>
      <c r="O158" s="318">
        <f>F158+J158-H158+N158-L158</f>
        <v>0</v>
      </c>
      <c r="P158" s="318">
        <v>0</v>
      </c>
      <c r="Q158" s="318">
        <v>0</v>
      </c>
    </row>
    <row r="159" spans="1:17">
      <c r="A159" s="368"/>
      <c r="B159" s="423"/>
      <c r="C159" s="322" t="s">
        <v>397</v>
      </c>
      <c r="D159" s="317"/>
      <c r="E159" s="347">
        <v>8776640</v>
      </c>
      <c r="F159" s="415">
        <v>0</v>
      </c>
      <c r="G159" s="320"/>
      <c r="H159" s="318"/>
      <c r="I159" s="320"/>
      <c r="J159" s="318"/>
      <c r="K159" s="320"/>
      <c r="L159" s="318"/>
      <c r="M159" s="321"/>
      <c r="N159" s="318"/>
      <c r="O159" s="318">
        <f>F159+J159-H159+N159-L159</f>
        <v>0</v>
      </c>
      <c r="P159" s="318">
        <v>0</v>
      </c>
      <c r="Q159" s="318">
        <v>0</v>
      </c>
    </row>
    <row r="160" spans="1:17">
      <c r="A160" s="368"/>
      <c r="B160" s="423"/>
      <c r="C160" s="322" t="s">
        <v>321</v>
      </c>
      <c r="D160" s="317"/>
      <c r="E160" s="347"/>
      <c r="F160" s="415">
        <v>0</v>
      </c>
      <c r="G160" s="320"/>
      <c r="H160" s="318"/>
      <c r="I160" s="320"/>
      <c r="J160" s="318"/>
      <c r="K160" s="320"/>
      <c r="L160" s="318"/>
      <c r="M160" s="321"/>
      <c r="N160" s="318"/>
      <c r="O160" s="318">
        <f>F160+J160-H160+N160-L160</f>
        <v>0</v>
      </c>
      <c r="P160" s="318">
        <v>0</v>
      </c>
      <c r="Q160" s="318">
        <v>0</v>
      </c>
    </row>
    <row r="161" spans="1:20">
      <c r="A161" s="368"/>
      <c r="B161" s="423"/>
      <c r="C161" s="322" t="s">
        <v>218</v>
      </c>
      <c r="D161" s="317"/>
      <c r="E161" s="318">
        <v>1980856999</v>
      </c>
      <c r="F161" s="319">
        <v>-3659291587</v>
      </c>
      <c r="G161" s="320" t="s">
        <v>219</v>
      </c>
      <c r="H161" s="318"/>
      <c r="I161" s="320"/>
      <c r="J161" s="318"/>
      <c r="K161" s="320"/>
      <c r="L161" s="318"/>
      <c r="M161" s="321"/>
      <c r="N161" s="318"/>
      <c r="O161" s="318">
        <f>F161+J161-H161+N161-L161</f>
        <v>-3659291587</v>
      </c>
      <c r="P161" s="318">
        <v>0</v>
      </c>
      <c r="Q161" s="318">
        <v>0</v>
      </c>
    </row>
    <row r="162" spans="1:20">
      <c r="A162" s="368"/>
      <c r="B162" s="423"/>
      <c r="C162" s="322" t="s">
        <v>220</v>
      </c>
      <c r="D162" s="317"/>
      <c r="E162" s="318">
        <f>E303</f>
        <v>1097624465</v>
      </c>
      <c r="F162" s="319">
        <f>F312</f>
        <v>-12355110328.809122</v>
      </c>
      <c r="G162" s="320"/>
      <c r="H162" s="318"/>
      <c r="I162" s="320"/>
      <c r="J162" s="318"/>
      <c r="K162" s="320"/>
      <c r="L162" s="318"/>
      <c r="M162" s="321"/>
      <c r="N162" s="318"/>
      <c r="O162" s="318">
        <f>O303</f>
        <v>-13330206478.412817</v>
      </c>
      <c r="P162" s="424">
        <v>0</v>
      </c>
      <c r="Q162" s="424">
        <v>0</v>
      </c>
    </row>
    <row r="163" spans="1:20">
      <c r="A163" s="368"/>
      <c r="B163" s="423"/>
      <c r="C163" s="322" t="s">
        <v>221</v>
      </c>
      <c r="D163" s="317"/>
      <c r="E163" s="318"/>
      <c r="F163" s="319"/>
      <c r="G163" s="320"/>
      <c r="H163" s="318"/>
      <c r="I163" s="320"/>
      <c r="J163" s="318"/>
      <c r="K163" s="320"/>
      <c r="L163" s="318"/>
      <c r="M163" s="321"/>
      <c r="N163" s="318"/>
      <c r="O163" s="318">
        <f>F163+J163-H163+N163-L163</f>
        <v>0</v>
      </c>
      <c r="P163" s="318">
        <v>0</v>
      </c>
      <c r="Q163" s="318">
        <v>0</v>
      </c>
    </row>
    <row r="164" spans="1:20">
      <c r="A164" s="297"/>
      <c r="B164" s="380"/>
      <c r="D164" s="308"/>
      <c r="E164" s="301"/>
      <c r="F164" s="302"/>
      <c r="G164" s="286"/>
      <c r="H164" s="301"/>
      <c r="I164" s="286"/>
      <c r="J164" s="301"/>
      <c r="K164" s="286"/>
      <c r="L164" s="301"/>
      <c r="M164" s="309"/>
      <c r="N164" s="301"/>
      <c r="O164" s="301"/>
      <c r="P164" s="301"/>
      <c r="Q164" s="301"/>
    </row>
    <row r="165" spans="1:20" ht="15" thickBot="1">
      <c r="A165" s="357"/>
      <c r="B165" s="375"/>
      <c r="C165" s="376" t="s">
        <v>222</v>
      </c>
      <c r="D165" s="413"/>
      <c r="E165" s="378">
        <f>SUM(E157:E163)</f>
        <v>28087258104</v>
      </c>
      <c r="F165" s="379">
        <f>SUM(F157:F163)</f>
        <v>8985598084.1908779</v>
      </c>
      <c r="G165" s="294"/>
      <c r="H165" s="378">
        <f>SUM(H157:H163)</f>
        <v>0</v>
      </c>
      <c r="I165" s="294"/>
      <c r="J165" s="378">
        <f>SUM(J157:J163)</f>
        <v>0</v>
      </c>
      <c r="K165" s="294"/>
      <c r="L165" s="378">
        <f>SUM(L157:L163)</f>
        <v>0</v>
      </c>
      <c r="M165" s="378"/>
      <c r="N165" s="378">
        <f>SUM(N157:N163)</f>
        <v>0</v>
      </c>
      <c r="O165" s="378">
        <f>SUM(O157:O163)</f>
        <v>8010501934.587183</v>
      </c>
      <c r="P165" s="378">
        <f>SUM(P157:P163)</f>
        <v>0</v>
      </c>
      <c r="Q165" s="378">
        <f>SUM(Q157:Q163)</f>
        <v>0</v>
      </c>
    </row>
    <row r="166" spans="1:20" ht="15" thickBot="1">
      <c r="A166" s="297"/>
      <c r="B166" s="380"/>
      <c r="D166" s="308"/>
      <c r="E166" s="301"/>
      <c r="F166" s="302"/>
      <c r="G166" s="286"/>
      <c r="H166" s="301"/>
      <c r="I166" s="286"/>
      <c r="J166" s="301"/>
      <c r="K166" s="286"/>
      <c r="L166" s="301"/>
      <c r="M166" s="309"/>
      <c r="N166" s="301"/>
      <c r="O166" s="301"/>
      <c r="P166" s="301"/>
      <c r="Q166" s="301"/>
    </row>
    <row r="167" spans="1:20" ht="15" thickBot="1">
      <c r="A167" s="351"/>
      <c r="B167" s="333" t="s">
        <v>11</v>
      </c>
      <c r="C167" s="416"/>
      <c r="D167" s="335"/>
      <c r="E167" s="336">
        <f>E154+E165</f>
        <v>28514028795</v>
      </c>
      <c r="F167" s="337">
        <f>F154+F165</f>
        <v>12934727033.936049</v>
      </c>
      <c r="G167" s="295"/>
      <c r="H167" s="336">
        <f>H154+H165</f>
        <v>1104007685</v>
      </c>
      <c r="I167" s="295"/>
      <c r="J167" s="336">
        <f>J154+J165</f>
        <v>1088081478.6363635</v>
      </c>
      <c r="K167" s="295"/>
      <c r="L167" s="336">
        <f>L154+L165</f>
        <v>0</v>
      </c>
      <c r="M167" s="336"/>
      <c r="N167" s="336">
        <f>N154+N165</f>
        <v>0</v>
      </c>
      <c r="O167" s="336">
        <f>O154+O165</f>
        <v>11943704677.968718</v>
      </c>
      <c r="P167" s="336">
        <f>P154+P165</f>
        <v>0</v>
      </c>
      <c r="Q167" s="336">
        <f>Q154+Q165</f>
        <v>0</v>
      </c>
    </row>
    <row r="168" spans="1:20">
      <c r="A168" s="297"/>
      <c r="B168" s="380"/>
      <c r="D168" s="308"/>
      <c r="E168" s="301"/>
      <c r="F168" s="302"/>
      <c r="G168" s="286"/>
      <c r="H168" s="301"/>
      <c r="I168" s="286"/>
      <c r="J168" s="301"/>
      <c r="K168" s="286"/>
      <c r="L168" s="301"/>
      <c r="M168" s="309"/>
      <c r="N168" s="301"/>
      <c r="O168" s="301"/>
      <c r="P168" s="301"/>
      <c r="Q168" s="301"/>
    </row>
    <row r="169" spans="1:20">
      <c r="A169" s="297"/>
      <c r="B169" s="307" t="s">
        <v>4</v>
      </c>
      <c r="D169" s="308"/>
      <c r="E169" s="301"/>
      <c r="F169" s="302"/>
      <c r="G169" s="286"/>
      <c r="H169" s="301"/>
      <c r="I169" s="286"/>
      <c r="J169" s="301"/>
      <c r="K169" s="286"/>
      <c r="L169" s="301"/>
      <c r="M169" s="309"/>
      <c r="N169" s="301"/>
      <c r="O169" s="301"/>
      <c r="P169" s="301"/>
      <c r="Q169" s="301"/>
    </row>
    <row r="170" spans="1:20">
      <c r="A170" s="346"/>
      <c r="B170" s="315"/>
      <c r="C170" s="322"/>
      <c r="D170" s="317"/>
      <c r="E170" s="318"/>
      <c r="F170" s="319"/>
      <c r="G170" s="320"/>
      <c r="H170" s="318"/>
      <c r="I170" s="320"/>
      <c r="J170" s="318"/>
      <c r="K170" s="320"/>
      <c r="L170" s="318"/>
      <c r="M170" s="321"/>
      <c r="N170" s="318"/>
      <c r="O170" s="318"/>
      <c r="P170" s="318"/>
      <c r="Q170" s="318"/>
    </row>
    <row r="171" spans="1:20">
      <c r="A171" s="425"/>
      <c r="B171" s="307"/>
      <c r="C171" s="272" t="s">
        <v>223</v>
      </c>
      <c r="D171" s="308"/>
      <c r="E171" s="301"/>
      <c r="F171" s="302"/>
      <c r="G171" s="286"/>
      <c r="H171" s="301"/>
      <c r="I171" s="286"/>
      <c r="J171" s="301"/>
      <c r="K171" s="286"/>
      <c r="L171" s="301"/>
      <c r="M171" s="309"/>
      <c r="N171" s="301"/>
      <c r="O171" s="301"/>
      <c r="P171" s="301"/>
      <c r="Q171" s="301"/>
    </row>
    <row r="172" spans="1:20">
      <c r="A172" s="346"/>
      <c r="B172" s="315"/>
      <c r="C172" s="426" t="s">
        <v>735</v>
      </c>
      <c r="D172" s="317"/>
      <c r="E172" s="318">
        <v>259182290</v>
      </c>
      <c r="F172" s="319">
        <v>49882398.92727273</v>
      </c>
      <c r="G172" s="320"/>
      <c r="H172" s="318"/>
      <c r="I172" s="320"/>
      <c r="J172" s="318">
        <f>'Journal IDR 399'!G84</f>
        <v>9804137.2727272715</v>
      </c>
      <c r="K172" s="320"/>
      <c r="L172" s="318"/>
      <c r="M172" s="321"/>
      <c r="N172" s="318"/>
      <c r="O172" s="318">
        <f t="shared" ref="O172:O179" si="2">F172+J172-G172+N172-L172</f>
        <v>59686536.200000003</v>
      </c>
      <c r="P172" s="318">
        <v>0</v>
      </c>
      <c r="Q172" s="318">
        <v>0</v>
      </c>
      <c r="S172" s="427" t="s">
        <v>87</v>
      </c>
      <c r="T172" s="428"/>
    </row>
    <row r="173" spans="1:20">
      <c r="A173" s="346"/>
      <c r="B173" s="315"/>
      <c r="C173" s="426" t="s">
        <v>736</v>
      </c>
      <c r="D173" s="317"/>
      <c r="E173" s="318">
        <v>99596421</v>
      </c>
      <c r="F173" s="319">
        <v>12082925.436363636</v>
      </c>
      <c r="G173" s="320"/>
      <c r="H173" s="318"/>
      <c r="I173" s="320"/>
      <c r="J173" s="318">
        <f>'Journal IDR 399'!G79</f>
        <v>2668076.3636363633</v>
      </c>
      <c r="K173" s="320"/>
      <c r="L173" s="318"/>
      <c r="M173" s="321"/>
      <c r="N173" s="318"/>
      <c r="O173" s="318">
        <f t="shared" si="2"/>
        <v>14751001.799999999</v>
      </c>
      <c r="P173" s="318">
        <v>0</v>
      </c>
      <c r="Q173" s="318">
        <v>0</v>
      </c>
    </row>
    <row r="174" spans="1:20">
      <c r="A174" s="346"/>
      <c r="B174" s="315"/>
      <c r="C174" s="426" t="s">
        <v>789</v>
      </c>
      <c r="D174" s="317"/>
      <c r="E174" s="318">
        <v>1859307937</v>
      </c>
      <c r="F174" s="319">
        <v>9860270.1090909075</v>
      </c>
      <c r="G174" s="320"/>
      <c r="H174" s="318"/>
      <c r="I174" s="320"/>
      <c r="J174" s="318">
        <f>'Journal IDR 399'!G89</f>
        <v>5135612.7272727266</v>
      </c>
      <c r="K174" s="320"/>
      <c r="L174" s="318"/>
      <c r="M174" s="321"/>
      <c r="N174" s="318"/>
      <c r="O174" s="318">
        <f t="shared" si="2"/>
        <v>14995882.836363634</v>
      </c>
      <c r="P174" s="318">
        <v>0</v>
      </c>
      <c r="Q174" s="318">
        <v>0</v>
      </c>
      <c r="R174" s="278" t="s">
        <v>70</v>
      </c>
      <c r="S174" s="274">
        <f>SUM(O172:O179)</f>
        <v>89433420.836363629</v>
      </c>
      <c r="T174" s="280"/>
    </row>
    <row r="175" spans="1:20">
      <c r="A175" s="348"/>
      <c r="B175" s="325"/>
      <c r="C175" s="426" t="s">
        <v>396</v>
      </c>
      <c r="D175" s="327"/>
      <c r="E175" s="328">
        <v>7079907</v>
      </c>
      <c r="F175" s="329">
        <v>0</v>
      </c>
      <c r="G175" s="330"/>
      <c r="H175" s="328"/>
      <c r="I175" s="330"/>
      <c r="J175" s="328"/>
      <c r="K175" s="330"/>
      <c r="L175" s="328"/>
      <c r="M175" s="331"/>
      <c r="N175" s="328"/>
      <c r="O175" s="318">
        <f t="shared" si="2"/>
        <v>0</v>
      </c>
      <c r="P175" s="328">
        <v>0</v>
      </c>
      <c r="Q175" s="328">
        <v>0</v>
      </c>
      <c r="R175" s="278" t="s">
        <v>69</v>
      </c>
      <c r="S175" s="274">
        <f>SUM(O182:O189)</f>
        <v>104390962.79545456</v>
      </c>
      <c r="T175" s="280"/>
    </row>
    <row r="176" spans="1:20">
      <c r="A176" s="348"/>
      <c r="B176" s="325"/>
      <c r="C176" s="426" t="s">
        <v>396</v>
      </c>
      <c r="D176" s="327"/>
      <c r="E176" s="328">
        <v>5366015</v>
      </c>
      <c r="F176" s="329">
        <v>0</v>
      </c>
      <c r="G176" s="330"/>
      <c r="H176" s="328"/>
      <c r="I176" s="330"/>
      <c r="J176" s="328"/>
      <c r="K176" s="330"/>
      <c r="L176" s="328"/>
      <c r="M176" s="331"/>
      <c r="N176" s="328"/>
      <c r="O176" s="318">
        <f t="shared" si="2"/>
        <v>0</v>
      </c>
      <c r="P176" s="328">
        <v>0</v>
      </c>
      <c r="Q176" s="328">
        <v>0</v>
      </c>
      <c r="R176" s="278" t="s">
        <v>224</v>
      </c>
      <c r="S176" s="429">
        <f>SUM(O193:O198)</f>
        <v>245675900.51469555</v>
      </c>
      <c r="T176" s="280"/>
    </row>
    <row r="177" spans="1:19">
      <c r="A177" s="348"/>
      <c r="B177" s="325"/>
      <c r="C177" s="426" t="s">
        <v>396</v>
      </c>
      <c r="D177" s="327"/>
      <c r="E177" s="328">
        <v>16121177</v>
      </c>
      <c r="F177" s="329">
        <v>0</v>
      </c>
      <c r="G177" s="330"/>
      <c r="H177" s="328"/>
      <c r="I177" s="330"/>
      <c r="J177" s="328"/>
      <c r="K177" s="330"/>
      <c r="L177" s="328"/>
      <c r="M177" s="331"/>
      <c r="N177" s="328"/>
      <c r="O177" s="318">
        <f t="shared" si="2"/>
        <v>0</v>
      </c>
      <c r="P177" s="328">
        <v>0</v>
      </c>
      <c r="Q177" s="328">
        <v>0</v>
      </c>
    </row>
    <row r="178" spans="1:19">
      <c r="A178" s="348"/>
      <c r="B178" s="325"/>
      <c r="C178" s="426" t="s">
        <v>396</v>
      </c>
      <c r="D178" s="327"/>
      <c r="E178" s="328">
        <v>0</v>
      </c>
      <c r="F178" s="329">
        <v>0</v>
      </c>
      <c r="G178" s="330"/>
      <c r="H178" s="328"/>
      <c r="I178" s="330"/>
      <c r="J178" s="328"/>
      <c r="K178" s="330"/>
      <c r="L178" s="328"/>
      <c r="M178" s="331"/>
      <c r="N178" s="328"/>
      <c r="O178" s="318">
        <f t="shared" si="2"/>
        <v>0</v>
      </c>
      <c r="P178" s="328">
        <v>0</v>
      </c>
      <c r="Q178" s="328">
        <v>0</v>
      </c>
      <c r="S178" s="274">
        <f>SUM(S174:S176)</f>
        <v>439500284.1465137</v>
      </c>
    </row>
    <row r="179" spans="1:19">
      <c r="A179" s="348"/>
      <c r="B179" s="325"/>
      <c r="C179" s="426" t="s">
        <v>396</v>
      </c>
      <c r="D179" s="327"/>
      <c r="E179" s="328">
        <v>0</v>
      </c>
      <c r="F179" s="329">
        <v>0</v>
      </c>
      <c r="G179" s="330"/>
      <c r="H179" s="328"/>
      <c r="I179" s="330"/>
      <c r="J179" s="328"/>
      <c r="K179" s="330"/>
      <c r="L179" s="328"/>
      <c r="M179" s="331"/>
      <c r="N179" s="328"/>
      <c r="O179" s="318">
        <f t="shared" si="2"/>
        <v>0</v>
      </c>
      <c r="P179" s="328">
        <v>0</v>
      </c>
      <c r="Q179" s="328">
        <v>0</v>
      </c>
      <c r="S179" s="429">
        <f>O201</f>
        <v>439500284.14651376</v>
      </c>
    </row>
    <row r="180" spans="1:19">
      <c r="A180" s="348"/>
      <c r="B180" s="325"/>
      <c r="C180" s="350" t="s">
        <v>69</v>
      </c>
      <c r="D180" s="327"/>
      <c r="E180" s="328"/>
      <c r="F180" s="329"/>
      <c r="G180" s="330"/>
      <c r="H180" s="328"/>
      <c r="I180" s="330"/>
      <c r="J180" s="328"/>
      <c r="K180" s="330"/>
      <c r="L180" s="328"/>
      <c r="M180" s="331"/>
      <c r="N180" s="328"/>
      <c r="O180" s="318"/>
      <c r="P180" s="328"/>
      <c r="Q180" s="328"/>
    </row>
    <row r="181" spans="1:19">
      <c r="A181" s="348"/>
      <c r="B181" s="325"/>
      <c r="C181" s="350" t="s">
        <v>225</v>
      </c>
      <c r="D181" s="327"/>
      <c r="E181" s="328"/>
      <c r="F181" s="329"/>
      <c r="G181" s="330"/>
      <c r="H181" s="328"/>
      <c r="I181" s="330"/>
      <c r="J181" s="328"/>
      <c r="K181" s="330"/>
      <c r="L181" s="328"/>
      <c r="M181" s="331"/>
      <c r="N181" s="328"/>
      <c r="O181" s="328"/>
      <c r="P181" s="328"/>
      <c r="Q181" s="328"/>
      <c r="S181" s="429">
        <f>S178-S179</f>
        <v>0</v>
      </c>
    </row>
    <row r="182" spans="1:19">
      <c r="A182" s="346"/>
      <c r="B182" s="382"/>
      <c r="C182" s="322" t="s">
        <v>226</v>
      </c>
      <c r="D182" s="317"/>
      <c r="E182" s="318">
        <v>1190023275</v>
      </c>
      <c r="F182" s="473">
        <v>0</v>
      </c>
      <c r="G182" s="330"/>
      <c r="H182" s="328"/>
      <c r="I182" s="330"/>
      <c r="J182" s="328"/>
      <c r="K182" s="330"/>
      <c r="L182" s="328"/>
      <c r="M182" s="331"/>
      <c r="N182" s="328"/>
      <c r="O182" s="318">
        <f>F182+J182-G182+N182-L182</f>
        <v>0</v>
      </c>
      <c r="P182" s="328">
        <v>0</v>
      </c>
      <c r="Q182" s="328">
        <v>0</v>
      </c>
    </row>
    <row r="183" spans="1:19">
      <c r="A183" s="348"/>
      <c r="B183" s="414"/>
      <c r="C183" s="350" t="s">
        <v>227</v>
      </c>
      <c r="D183" s="327"/>
      <c r="E183" s="328"/>
      <c r="F183" s="329"/>
      <c r="G183" s="330"/>
      <c r="H183" s="328"/>
      <c r="I183" s="330"/>
      <c r="J183" s="328"/>
      <c r="K183" s="330"/>
      <c r="L183" s="328"/>
      <c r="M183" s="331"/>
      <c r="N183" s="328"/>
      <c r="O183" s="328"/>
      <c r="P183" s="328"/>
      <c r="Q183" s="328"/>
    </row>
    <row r="184" spans="1:19">
      <c r="A184" s="348"/>
      <c r="B184" s="414"/>
      <c r="C184" s="350" t="s">
        <v>228</v>
      </c>
      <c r="D184" s="327"/>
      <c r="E184" s="328"/>
      <c r="F184" s="329"/>
      <c r="G184" s="330"/>
      <c r="H184" s="328"/>
      <c r="I184" s="330"/>
      <c r="J184" s="328"/>
      <c r="K184" s="330"/>
      <c r="L184" s="328"/>
      <c r="M184" s="331"/>
      <c r="N184" s="328"/>
      <c r="O184" s="328"/>
      <c r="P184" s="328"/>
      <c r="Q184" s="328"/>
    </row>
    <row r="185" spans="1:19">
      <c r="A185" s="348"/>
      <c r="B185" s="414"/>
      <c r="C185" s="350" t="s">
        <v>229</v>
      </c>
      <c r="D185" s="327"/>
      <c r="E185" s="328"/>
      <c r="F185" s="329"/>
      <c r="G185" s="330"/>
      <c r="H185" s="328"/>
      <c r="I185" s="330"/>
      <c r="J185" s="328"/>
      <c r="K185" s="330"/>
      <c r="L185" s="328"/>
      <c r="M185" s="331"/>
      <c r="N185" s="328"/>
      <c r="O185" s="328"/>
      <c r="P185" s="328"/>
      <c r="Q185" s="328"/>
    </row>
    <row r="186" spans="1:19">
      <c r="A186" s="348"/>
      <c r="B186" s="414"/>
      <c r="C186" s="350" t="s">
        <v>230</v>
      </c>
      <c r="D186" s="327"/>
      <c r="E186" s="328"/>
      <c r="F186" s="329"/>
      <c r="G186" s="330"/>
      <c r="H186" s="328"/>
      <c r="I186" s="330"/>
      <c r="J186" s="328"/>
      <c r="K186" s="330"/>
      <c r="L186" s="328"/>
      <c r="M186" s="331"/>
      <c r="N186" s="328"/>
      <c r="O186" s="328"/>
      <c r="P186" s="328"/>
      <c r="Q186" s="328"/>
    </row>
    <row r="187" spans="1:19">
      <c r="A187" s="348"/>
      <c r="B187" s="414"/>
      <c r="C187" s="350" t="s">
        <v>231</v>
      </c>
      <c r="D187" s="327"/>
      <c r="E187" s="328"/>
      <c r="F187" s="329"/>
      <c r="G187" s="330"/>
      <c r="H187" s="328"/>
      <c r="I187" s="330"/>
      <c r="J187" s="328"/>
      <c r="K187" s="330"/>
      <c r="L187" s="328"/>
      <c r="M187" s="331"/>
      <c r="N187" s="328"/>
      <c r="O187" s="328"/>
      <c r="P187" s="328"/>
      <c r="Q187" s="328"/>
    </row>
    <row r="188" spans="1:19">
      <c r="A188" s="346"/>
      <c r="B188" s="315"/>
      <c r="C188" s="322" t="s">
        <v>232</v>
      </c>
      <c r="D188" s="317"/>
      <c r="E188" s="318">
        <v>4296176</v>
      </c>
      <c r="F188" s="473">
        <v>71037298.250000015</v>
      </c>
      <c r="G188" s="330"/>
      <c r="H188" s="328"/>
      <c r="I188" s="330"/>
      <c r="J188" s="328"/>
      <c r="K188" s="330"/>
      <c r="L188" s="328"/>
      <c r="M188" s="331"/>
      <c r="N188" s="328"/>
      <c r="O188" s="318">
        <f>F188+J188-H188+N188-L188</f>
        <v>71037298.250000015</v>
      </c>
      <c r="P188" s="328">
        <v>0</v>
      </c>
      <c r="Q188" s="328">
        <v>0</v>
      </c>
    </row>
    <row r="189" spans="1:19">
      <c r="A189" s="346"/>
      <c r="B189" s="382"/>
      <c r="C189" s="322" t="s">
        <v>797</v>
      </c>
      <c r="D189" s="317"/>
      <c r="E189" s="318" t="s">
        <v>21</v>
      </c>
      <c r="F189" s="473">
        <v>26723664.545454543</v>
      </c>
      <c r="G189" s="330"/>
      <c r="H189" s="328"/>
      <c r="I189" s="330"/>
      <c r="J189" s="328">
        <f>'Journal IDR 399'!G104+'Journal IDR 399'!G109</f>
        <v>6630000</v>
      </c>
      <c r="K189" s="330"/>
      <c r="L189" s="328"/>
      <c r="M189" s="331"/>
      <c r="N189" s="328"/>
      <c r="O189" s="318">
        <f>F189+J189-H189+N189-L189</f>
        <v>33353664.545454543</v>
      </c>
      <c r="P189" s="328"/>
      <c r="Q189" s="328"/>
    </row>
    <row r="190" spans="1:19">
      <c r="A190" s="346"/>
      <c r="B190" s="382"/>
      <c r="C190" s="322" t="s">
        <v>233</v>
      </c>
      <c r="D190" s="317"/>
      <c r="E190" s="318"/>
      <c r="F190" s="319"/>
      <c r="G190" s="330"/>
      <c r="H190" s="328"/>
      <c r="I190" s="330"/>
      <c r="J190" s="328"/>
      <c r="K190" s="330"/>
      <c r="L190" s="328"/>
      <c r="M190" s="331"/>
      <c r="N190" s="328"/>
      <c r="O190" s="328"/>
      <c r="P190" s="328"/>
      <c r="Q190" s="328"/>
    </row>
    <row r="191" spans="1:19">
      <c r="A191" s="346"/>
      <c r="B191" s="382"/>
      <c r="C191" s="322" t="s">
        <v>234</v>
      </c>
      <c r="D191" s="317"/>
      <c r="E191" s="318"/>
      <c r="F191" s="319"/>
      <c r="G191" s="330"/>
      <c r="H191" s="328"/>
      <c r="I191" s="330"/>
      <c r="J191" s="328"/>
      <c r="K191" s="330"/>
      <c r="L191" s="328"/>
      <c r="M191" s="331"/>
      <c r="N191" s="328"/>
      <c r="O191" s="328"/>
      <c r="P191" s="328"/>
      <c r="Q191" s="328"/>
    </row>
    <row r="192" spans="1:19">
      <c r="A192" s="348"/>
      <c r="B192" s="414"/>
      <c r="C192" s="350" t="s">
        <v>235</v>
      </c>
      <c r="D192" s="327"/>
      <c r="E192" s="328"/>
      <c r="F192" s="329"/>
      <c r="G192" s="330"/>
      <c r="H192" s="328"/>
      <c r="I192" s="330"/>
      <c r="J192" s="328"/>
      <c r="K192" s="330"/>
      <c r="L192" s="328"/>
      <c r="M192" s="331"/>
      <c r="N192" s="328"/>
      <c r="O192" s="328"/>
      <c r="P192" s="328"/>
      <c r="Q192" s="328"/>
    </row>
    <row r="193" spans="1:21">
      <c r="A193" s="346"/>
      <c r="B193" s="382"/>
      <c r="C193" s="322" t="s">
        <v>236</v>
      </c>
      <c r="D193" s="317"/>
      <c r="E193" s="318">
        <v>4875000</v>
      </c>
      <c r="F193" s="473">
        <v>0</v>
      </c>
      <c r="G193" s="330"/>
      <c r="H193" s="328"/>
      <c r="I193" s="330"/>
      <c r="J193" s="328"/>
      <c r="K193" s="330"/>
      <c r="L193" s="328"/>
      <c r="M193" s="331"/>
      <c r="N193" s="328"/>
      <c r="O193" s="318">
        <f>F193+J193-G193+N193-L193</f>
        <v>0</v>
      </c>
      <c r="P193" s="328">
        <v>0</v>
      </c>
      <c r="Q193" s="328">
        <v>0</v>
      </c>
    </row>
    <row r="194" spans="1:21">
      <c r="A194" s="346"/>
      <c r="B194" s="382"/>
      <c r="C194" s="322" t="s">
        <v>237</v>
      </c>
      <c r="D194" s="317"/>
      <c r="E194" s="318">
        <v>1067831096</v>
      </c>
      <c r="F194" s="473">
        <v>52802430.317480892</v>
      </c>
      <c r="G194" s="330"/>
      <c r="H194" s="328"/>
      <c r="I194" s="330"/>
      <c r="J194" s="328">
        <f>'Journal IDR 399'!G50</f>
        <v>25679024.16909802</v>
      </c>
      <c r="K194" s="330"/>
      <c r="L194" s="328"/>
      <c r="M194" s="331"/>
      <c r="N194" s="328"/>
      <c r="O194" s="318">
        <f>F194+J194-G194+N194-L194</f>
        <v>78481454.486578912</v>
      </c>
      <c r="P194" s="328">
        <v>0</v>
      </c>
      <c r="Q194" s="328">
        <v>0</v>
      </c>
      <c r="R194" s="430"/>
    </row>
    <row r="195" spans="1:21">
      <c r="A195" s="346"/>
      <c r="B195" s="382"/>
      <c r="C195" s="322" t="s">
        <v>238</v>
      </c>
      <c r="D195" s="317"/>
      <c r="E195" s="318"/>
      <c r="F195" s="319"/>
      <c r="G195" s="330"/>
      <c r="H195" s="328"/>
      <c r="I195" s="330"/>
      <c r="J195" s="328"/>
      <c r="K195" s="330"/>
      <c r="L195" s="328"/>
      <c r="M195" s="331"/>
      <c r="N195" s="328"/>
      <c r="O195" s="328"/>
      <c r="P195" s="328"/>
      <c r="Q195" s="328"/>
    </row>
    <row r="196" spans="1:21">
      <c r="A196" s="346"/>
      <c r="B196" s="382"/>
      <c r="C196" s="322" t="s">
        <v>239</v>
      </c>
      <c r="D196" s="317"/>
      <c r="E196" s="318">
        <v>421650000</v>
      </c>
      <c r="F196" s="473">
        <v>0</v>
      </c>
      <c r="G196" s="330"/>
      <c r="H196" s="328"/>
      <c r="I196" s="330"/>
      <c r="J196" s="328"/>
      <c r="K196" s="330"/>
      <c r="L196" s="328"/>
      <c r="M196" s="331"/>
      <c r="N196" s="328"/>
      <c r="O196" s="318">
        <f>F196+J196-G196+N196-L196</f>
        <v>0</v>
      </c>
      <c r="P196" s="328">
        <v>0</v>
      </c>
      <c r="Q196" s="328">
        <v>0</v>
      </c>
    </row>
    <row r="197" spans="1:21">
      <c r="A197" s="348"/>
      <c r="B197" s="414"/>
      <c r="C197" s="350" t="s">
        <v>240</v>
      </c>
      <c r="D197" s="327"/>
      <c r="E197" s="318">
        <v>124875634</v>
      </c>
      <c r="F197" s="473">
        <v>218006858</v>
      </c>
      <c r="G197" s="330"/>
      <c r="H197" s="328">
        <f>'Journal IDR 399'!F42+'Journal IDR 399'!F95+'Journal IDR 399'!F97</f>
        <v>70309620.971883371</v>
      </c>
      <c r="I197" s="330"/>
      <c r="J197" s="328">
        <f>'Journal IDR 399'!G94</f>
        <v>19497209</v>
      </c>
      <c r="K197" s="330"/>
      <c r="L197" s="328"/>
      <c r="M197" s="331"/>
      <c r="N197" s="328"/>
      <c r="O197" s="318">
        <f>F197+J197-H197+N197-L197</f>
        <v>167194446.02811664</v>
      </c>
      <c r="P197" s="328">
        <v>0</v>
      </c>
      <c r="Q197" s="328">
        <v>0</v>
      </c>
    </row>
    <row r="198" spans="1:21">
      <c r="A198" s="348"/>
      <c r="B198" s="414"/>
      <c r="C198" s="350" t="s">
        <v>241</v>
      </c>
      <c r="D198" s="317"/>
      <c r="E198" s="346"/>
      <c r="F198" s="319"/>
      <c r="G198" s="330"/>
      <c r="H198" s="328"/>
      <c r="I198" s="330"/>
      <c r="J198" s="328"/>
      <c r="K198" s="330"/>
      <c r="L198" s="328"/>
      <c r="M198" s="331"/>
      <c r="N198" s="328"/>
      <c r="O198" s="328"/>
      <c r="P198" s="328"/>
      <c r="Q198" s="328"/>
      <c r="R198" s="278" t="s">
        <v>21</v>
      </c>
    </row>
    <row r="199" spans="1:21">
      <c r="A199" s="348"/>
      <c r="B199" s="414"/>
      <c r="C199" s="350"/>
      <c r="D199" s="327"/>
      <c r="E199" s="328"/>
      <c r="F199" s="329"/>
      <c r="G199" s="330"/>
      <c r="H199" s="328"/>
      <c r="I199" s="330"/>
      <c r="J199" s="328"/>
      <c r="K199" s="330"/>
      <c r="L199" s="328"/>
      <c r="M199" s="331"/>
      <c r="N199" s="328"/>
      <c r="O199" s="328"/>
      <c r="P199" s="328"/>
      <c r="Q199" s="328"/>
    </row>
    <row r="200" spans="1:21" ht="15" thickBot="1">
      <c r="A200" s="417"/>
      <c r="B200" s="418"/>
      <c r="C200" s="387"/>
      <c r="D200" s="371"/>
      <c r="E200" s="372"/>
      <c r="F200" s="373"/>
      <c r="G200" s="388"/>
      <c r="H200" s="372"/>
      <c r="I200" s="388"/>
      <c r="J200" s="372"/>
      <c r="K200" s="388"/>
      <c r="L200" s="372"/>
      <c r="M200" s="389"/>
      <c r="N200" s="372"/>
      <c r="O200" s="372"/>
      <c r="P200" s="372"/>
      <c r="Q200" s="372"/>
    </row>
    <row r="201" spans="1:21" ht="15" thickBot="1">
      <c r="A201" s="332"/>
      <c r="B201" s="333" t="s">
        <v>242</v>
      </c>
      <c r="C201" s="334"/>
      <c r="D201" s="410"/>
      <c r="E201" s="336">
        <f>SUM(E170:E200)</f>
        <v>5060204928</v>
      </c>
      <c r="F201" s="337">
        <f>SUM(F170:F200)</f>
        <v>440395845.58566272</v>
      </c>
      <c r="G201" s="295"/>
      <c r="H201" s="336">
        <f>SUM(H170:H200)</f>
        <v>70309620.971883371</v>
      </c>
      <c r="I201" s="295"/>
      <c r="J201" s="336">
        <f>SUM(J170:J200)</f>
        <v>69414059.532734379</v>
      </c>
      <c r="K201" s="295"/>
      <c r="L201" s="336">
        <f>SUM(L170:L200)</f>
        <v>0</v>
      </c>
      <c r="M201" s="336"/>
      <c r="N201" s="336">
        <f>SUM(N170:N200)</f>
        <v>0</v>
      </c>
      <c r="O201" s="336">
        <f>SUM(O170:O200)</f>
        <v>439500284.14651376</v>
      </c>
      <c r="P201" s="420">
        <f>SUM(P170:P200)</f>
        <v>0</v>
      </c>
      <c r="Q201" s="420">
        <f>SUM(Q170:Q200)</f>
        <v>0</v>
      </c>
    </row>
    <row r="202" spans="1:21">
      <c r="A202" s="297"/>
      <c r="B202" s="380"/>
      <c r="D202" s="308"/>
      <c r="E202" s="301"/>
      <c r="F202" s="302"/>
      <c r="G202" s="286"/>
      <c r="H202" s="301"/>
      <c r="I202" s="286"/>
      <c r="J202" s="301"/>
      <c r="K202" s="286"/>
      <c r="L202" s="301"/>
      <c r="M202" s="309"/>
      <c r="N202" s="301"/>
      <c r="O202" s="301"/>
      <c r="P202" s="301"/>
      <c r="Q202" s="301"/>
    </row>
    <row r="203" spans="1:21">
      <c r="A203" s="355"/>
      <c r="B203" s="339" t="s">
        <v>0</v>
      </c>
      <c r="C203" s="364"/>
      <c r="D203" s="381"/>
      <c r="E203" s="342"/>
      <c r="F203" s="343"/>
      <c r="G203" s="344"/>
      <c r="H203" s="342"/>
      <c r="I203" s="344"/>
      <c r="J203" s="342"/>
      <c r="K203" s="344"/>
      <c r="L203" s="342"/>
      <c r="M203" s="345"/>
      <c r="N203" s="342"/>
      <c r="O203" s="342"/>
      <c r="P203" s="342"/>
      <c r="Q203" s="342"/>
      <c r="S203" s="427" t="s">
        <v>400</v>
      </c>
      <c r="T203" s="428"/>
    </row>
    <row r="204" spans="1:21">
      <c r="A204" s="355"/>
      <c r="B204" s="339"/>
      <c r="C204" s="364" t="s">
        <v>243</v>
      </c>
      <c r="D204" s="381"/>
      <c r="E204" s="342"/>
      <c r="F204" s="343"/>
      <c r="G204" s="344"/>
      <c r="H204" s="342"/>
      <c r="I204" s="344"/>
      <c r="J204" s="342"/>
      <c r="K204" s="344"/>
      <c r="L204" s="342"/>
      <c r="M204" s="345"/>
      <c r="N204" s="342"/>
      <c r="O204" s="342"/>
      <c r="P204" s="342"/>
      <c r="Q204" s="342"/>
      <c r="R204" s="285"/>
    </row>
    <row r="205" spans="1:21">
      <c r="A205" s="431"/>
      <c r="B205" s="315"/>
      <c r="C205" s="322" t="s">
        <v>244</v>
      </c>
      <c r="D205" s="407"/>
      <c r="E205" s="318">
        <v>2010516600</v>
      </c>
      <c r="F205" s="472">
        <v>3251353843.735178</v>
      </c>
      <c r="G205" s="320"/>
      <c r="H205" s="318">
        <f>'BCA IDR'!F222</f>
        <v>546977272.72727275</v>
      </c>
      <c r="I205" s="320"/>
      <c r="J205" s="318"/>
      <c r="K205" s="320"/>
      <c r="L205" s="318"/>
      <c r="M205" s="321"/>
      <c r="N205" s="318"/>
      <c r="O205" s="318">
        <f t="shared" ref="O205:O266" si="3">F205+H205-J205+L205-N205</f>
        <v>3798331116.462451</v>
      </c>
      <c r="P205" s="318"/>
      <c r="Q205" s="318"/>
      <c r="R205" s="285" t="s">
        <v>72</v>
      </c>
      <c r="S205" s="274">
        <f>SUM(O205:O208)+O212</f>
        <v>4577170518.462451</v>
      </c>
      <c r="T205" s="432">
        <f>P205+P206+P208+P209+P213</f>
        <v>0</v>
      </c>
      <c r="U205" s="432">
        <f>Q205+Q206+Q208+Q209+Q213</f>
        <v>0</v>
      </c>
    </row>
    <row r="206" spans="1:21">
      <c r="A206" s="346"/>
      <c r="B206" s="315"/>
      <c r="C206" s="322" t="s">
        <v>245</v>
      </c>
      <c r="D206" s="407"/>
      <c r="E206" s="318">
        <v>94070849</v>
      </c>
      <c r="F206" s="472">
        <v>0</v>
      </c>
      <c r="G206" s="320"/>
      <c r="H206" s="318"/>
      <c r="I206" s="320"/>
      <c r="J206" s="318"/>
      <c r="K206" s="320"/>
      <c r="L206" s="318"/>
      <c r="M206" s="321"/>
      <c r="N206" s="318"/>
      <c r="O206" s="318">
        <f t="shared" si="3"/>
        <v>0</v>
      </c>
      <c r="P206" s="318"/>
      <c r="Q206" s="318"/>
      <c r="R206" s="285" t="s">
        <v>33</v>
      </c>
      <c r="S206" s="274">
        <f>O257+O258</f>
        <v>2541600000</v>
      </c>
      <c r="T206" s="432">
        <f>P257+P258</f>
        <v>0</v>
      </c>
      <c r="U206" s="432">
        <f>Q257+Q258</f>
        <v>0</v>
      </c>
    </row>
    <row r="207" spans="1:21">
      <c r="A207" s="368"/>
      <c r="B207" s="423"/>
      <c r="C207" s="322" t="s">
        <v>246</v>
      </c>
      <c r="D207" s="317"/>
      <c r="E207" s="318">
        <v>547000</v>
      </c>
      <c r="F207" s="472">
        <v>17615000</v>
      </c>
      <c r="G207" s="320"/>
      <c r="H207" s="318">
        <f>'BCA IDR'!J66+'BCA IDR'!J164</f>
        <v>2790000</v>
      </c>
      <c r="I207" s="320"/>
      <c r="J207" s="318"/>
      <c r="K207" s="320"/>
      <c r="L207" s="318"/>
      <c r="M207" s="321"/>
      <c r="N207" s="318"/>
      <c r="O207" s="318">
        <f>F207+H207-J207+L207-N207</f>
        <v>20405000</v>
      </c>
      <c r="P207" s="318"/>
      <c r="Q207" s="318"/>
      <c r="R207" s="285" t="s">
        <v>12</v>
      </c>
      <c r="S207" s="274">
        <f>SUM(O214:Q217)</f>
        <v>189581498</v>
      </c>
      <c r="T207" s="432">
        <f>SUM(P215:P217)</f>
        <v>0</v>
      </c>
      <c r="U207" s="432">
        <f>SUM(Q215:Q217)</f>
        <v>0</v>
      </c>
    </row>
    <row r="208" spans="1:21">
      <c r="A208" s="368"/>
      <c r="B208" s="423"/>
      <c r="C208" s="322" t="s">
        <v>247</v>
      </c>
      <c r="D208" s="317"/>
      <c r="E208" s="318">
        <v>201695000</v>
      </c>
      <c r="F208" s="472">
        <v>286437499</v>
      </c>
      <c r="G208" s="320"/>
      <c r="H208" s="318"/>
      <c r="I208" s="320"/>
      <c r="J208" s="318"/>
      <c r="K208" s="320"/>
      <c r="L208" s="318"/>
      <c r="M208" s="321"/>
      <c r="N208" s="318"/>
      <c r="O208" s="318">
        <f t="shared" si="3"/>
        <v>286437499</v>
      </c>
      <c r="P208" s="318"/>
      <c r="Q208" s="318"/>
      <c r="R208" s="285" t="s">
        <v>105</v>
      </c>
      <c r="S208" s="274">
        <f>O210</f>
        <v>90269460</v>
      </c>
      <c r="T208" s="432">
        <f>P210</f>
        <v>0</v>
      </c>
      <c r="U208" s="432">
        <f>Q210</f>
        <v>0</v>
      </c>
    </row>
    <row r="209" spans="1:21">
      <c r="A209" s="368"/>
      <c r="B209" s="423"/>
      <c r="C209" s="322" t="s">
        <v>248</v>
      </c>
      <c r="D209" s="317"/>
      <c r="E209" s="318">
        <v>97927024</v>
      </c>
      <c r="F209" s="472">
        <v>122047665</v>
      </c>
      <c r="G209" s="320"/>
      <c r="H209" s="318">
        <f>'BCA IDR'!F223</f>
        <v>20476860</v>
      </c>
      <c r="I209" s="320"/>
      <c r="J209" s="318">
        <f>'BCA IDR'!G224</f>
        <v>6608340</v>
      </c>
      <c r="K209" s="320"/>
      <c r="L209" s="318"/>
      <c r="M209" s="321"/>
      <c r="N209" s="318"/>
      <c r="O209" s="318">
        <f t="shared" si="3"/>
        <v>135916185</v>
      </c>
      <c r="P209" s="318"/>
      <c r="Q209" s="318"/>
      <c r="R209" s="285" t="s">
        <v>34</v>
      </c>
      <c r="S209" s="274">
        <f>SUM(O250:O254)</f>
        <v>288509651.83333337</v>
      </c>
      <c r="T209" s="432">
        <f>SUM(P250:P254)</f>
        <v>0</v>
      </c>
      <c r="U209" s="432">
        <f>SUM(Q250:Q254)</f>
        <v>0</v>
      </c>
    </row>
    <row r="210" spans="1:21">
      <c r="A210" s="433"/>
      <c r="B210" s="423"/>
      <c r="C210" s="322" t="s">
        <v>249</v>
      </c>
      <c r="D210" s="317"/>
      <c r="E210" s="318">
        <v>105556424</v>
      </c>
      <c r="F210" s="472">
        <v>90269460</v>
      </c>
      <c r="G210" s="320"/>
      <c r="H210" s="318"/>
      <c r="I210" s="320"/>
      <c r="J210" s="318"/>
      <c r="K210" s="320"/>
      <c r="L210" s="318"/>
      <c r="M210" s="321"/>
      <c r="N210" s="318"/>
      <c r="O210" s="318">
        <f t="shared" si="3"/>
        <v>90269460</v>
      </c>
      <c r="P210" s="318"/>
      <c r="Q210" s="318"/>
      <c r="R210" s="285" t="s">
        <v>73</v>
      </c>
      <c r="S210" s="274">
        <f>SUM(O218:O229)+O238+SUM(O232:O234)+O230+O211</f>
        <v>1265781579</v>
      </c>
      <c r="T210" s="432">
        <f>SUM(P219:P229)+P238+SUM(P231:P234)</f>
        <v>0</v>
      </c>
      <c r="U210" s="432">
        <f>SUM(Q219:Q229)+Q238+SUM(Q231:Q234)</f>
        <v>0</v>
      </c>
    </row>
    <row r="211" spans="1:21">
      <c r="A211" s="368"/>
      <c r="B211" s="423"/>
      <c r="C211" s="322" t="s">
        <v>250</v>
      </c>
      <c r="D211" s="317"/>
      <c r="E211" s="318">
        <v>16580000</v>
      </c>
      <c r="F211" s="472">
        <v>40673892</v>
      </c>
      <c r="G211" s="320"/>
      <c r="H211" s="318">
        <f>'BCA IDR'!J54+'BCA IDR'!F134</f>
        <v>3811550</v>
      </c>
      <c r="I211" s="320"/>
      <c r="J211" s="318"/>
      <c r="K211" s="320"/>
      <c r="L211" s="318"/>
      <c r="M211" s="321"/>
      <c r="N211" s="318"/>
      <c r="O211" s="318">
        <f t="shared" si="3"/>
        <v>44485442</v>
      </c>
      <c r="P211" s="318"/>
      <c r="Q211" s="318"/>
      <c r="R211" s="285" t="s">
        <v>45</v>
      </c>
      <c r="S211" s="274">
        <f>SUM(O243:O248)+O231</f>
        <v>1313125453</v>
      </c>
      <c r="T211" s="432">
        <f>SUM(P243:P248)</f>
        <v>0</v>
      </c>
      <c r="U211" s="432">
        <f>SUM(Q243:Q248)</f>
        <v>0</v>
      </c>
    </row>
    <row r="212" spans="1:21">
      <c r="A212" s="346"/>
      <c r="B212" s="434"/>
      <c r="C212" s="364" t="s">
        <v>251</v>
      </c>
      <c r="D212" s="341"/>
      <c r="E212" s="435">
        <v>200188602</v>
      </c>
      <c r="F212" s="472">
        <v>416662477</v>
      </c>
      <c r="G212" s="344"/>
      <c r="H212" s="342">
        <f>'Journal IDR 399'!F64</f>
        <v>55334426</v>
      </c>
      <c r="I212" s="344"/>
      <c r="J212" s="342"/>
      <c r="K212" s="344"/>
      <c r="L212" s="342"/>
      <c r="M212" s="345"/>
      <c r="N212" s="342"/>
      <c r="O212" s="318">
        <f t="shared" si="3"/>
        <v>471996903</v>
      </c>
      <c r="P212" s="318"/>
      <c r="Q212" s="318"/>
      <c r="R212" s="285" t="s">
        <v>687</v>
      </c>
      <c r="S212" s="274">
        <f>O209</f>
        <v>135916185</v>
      </c>
      <c r="T212" s="432">
        <v>0</v>
      </c>
      <c r="U212" s="432">
        <v>0</v>
      </c>
    </row>
    <row r="213" spans="1:21">
      <c r="A213" s="346"/>
      <c r="B213" s="434"/>
      <c r="C213" s="364" t="s">
        <v>252</v>
      </c>
      <c r="D213" s="341"/>
      <c r="E213" s="435"/>
      <c r="F213" s="472">
        <v>0</v>
      </c>
      <c r="G213" s="344"/>
      <c r="H213" s="342"/>
      <c r="I213" s="344"/>
      <c r="J213" s="342"/>
      <c r="K213" s="344"/>
      <c r="L213" s="342"/>
      <c r="M213" s="345"/>
      <c r="N213" s="342"/>
      <c r="O213" s="318">
        <f t="shared" si="3"/>
        <v>0</v>
      </c>
      <c r="P213" s="318"/>
      <c r="Q213" s="318"/>
      <c r="R213" s="285" t="s">
        <v>558</v>
      </c>
      <c r="S213" s="274">
        <f>O240+O241</f>
        <v>360911918</v>
      </c>
      <c r="T213" s="432">
        <f>P240+P241+P230+P259</f>
        <v>0</v>
      </c>
      <c r="U213" s="432">
        <f>Q240+Q241+Q230+Q259</f>
        <v>0</v>
      </c>
    </row>
    <row r="214" spans="1:21">
      <c r="A214" s="297"/>
      <c r="B214" s="436"/>
      <c r="C214" s="272" t="s">
        <v>395</v>
      </c>
      <c r="D214" s="308"/>
      <c r="E214" s="323"/>
      <c r="F214" s="472">
        <v>65066061</v>
      </c>
      <c r="G214" s="286"/>
      <c r="H214" s="301"/>
      <c r="I214" s="286"/>
      <c r="J214" s="301"/>
      <c r="K214" s="286"/>
      <c r="L214" s="301"/>
      <c r="M214" s="309"/>
      <c r="N214" s="301"/>
      <c r="O214" s="318">
        <f t="shared" si="3"/>
        <v>65066061</v>
      </c>
      <c r="P214" s="318"/>
      <c r="Q214" s="318"/>
      <c r="R214" s="285" t="s">
        <v>323</v>
      </c>
      <c r="S214" s="274">
        <f>O259</f>
        <v>31949907.915909089</v>
      </c>
      <c r="T214" s="432"/>
      <c r="U214" s="432"/>
    </row>
    <row r="215" spans="1:21">
      <c r="A215" s="297"/>
      <c r="B215" s="307"/>
      <c r="C215" s="272" t="s">
        <v>253</v>
      </c>
      <c r="D215" s="313"/>
      <c r="E215" s="323">
        <v>197840000</v>
      </c>
      <c r="F215" s="472">
        <v>99489796</v>
      </c>
      <c r="G215" s="286"/>
      <c r="H215" s="301"/>
      <c r="I215" s="286"/>
      <c r="J215" s="301"/>
      <c r="K215" s="286"/>
      <c r="L215" s="301"/>
      <c r="M215" s="309"/>
      <c r="N215" s="301"/>
      <c r="O215" s="318">
        <f t="shared" si="3"/>
        <v>99489796</v>
      </c>
      <c r="P215" s="318"/>
      <c r="Q215" s="318"/>
      <c r="R215" s="285" t="s">
        <v>254</v>
      </c>
      <c r="S215" s="274">
        <f>SUM(O255:O256)</f>
        <v>632960010</v>
      </c>
      <c r="T215" s="432">
        <f>SUM(P255:P256)</f>
        <v>0</v>
      </c>
      <c r="U215" s="432">
        <f>SUM(Q255:Q256)</f>
        <v>0</v>
      </c>
    </row>
    <row r="216" spans="1:21">
      <c r="A216" s="368"/>
      <c r="B216" s="423"/>
      <c r="C216" s="322" t="s">
        <v>255</v>
      </c>
      <c r="D216" s="317"/>
      <c r="E216" s="318">
        <v>1697500</v>
      </c>
      <c r="F216" s="472">
        <v>0</v>
      </c>
      <c r="G216" s="320"/>
      <c r="H216" s="318"/>
      <c r="I216" s="320"/>
      <c r="J216" s="318"/>
      <c r="K216" s="320"/>
      <c r="L216" s="318"/>
      <c r="M216" s="321"/>
      <c r="N216" s="318"/>
      <c r="O216" s="318">
        <f t="shared" si="3"/>
        <v>0</v>
      </c>
      <c r="P216" s="318"/>
      <c r="Q216" s="318"/>
      <c r="R216" s="278" t="s">
        <v>32</v>
      </c>
      <c r="S216" s="274">
        <f>SUM(O235:O237)</f>
        <v>27818000</v>
      </c>
      <c r="T216" s="432">
        <f>SUM(P236:P237)</f>
        <v>0</v>
      </c>
      <c r="U216" s="432">
        <f>SUM(Q236:Q237)</f>
        <v>0</v>
      </c>
    </row>
    <row r="217" spans="1:21">
      <c r="A217" s="368"/>
      <c r="B217" s="423"/>
      <c r="C217" s="322" t="s">
        <v>256</v>
      </c>
      <c r="D217" s="317"/>
      <c r="E217" s="318">
        <v>16500000</v>
      </c>
      <c r="F217" s="472">
        <v>25025641</v>
      </c>
      <c r="G217" s="320"/>
      <c r="H217" s="318"/>
      <c r="I217" s="320"/>
      <c r="J217" s="318"/>
      <c r="K217" s="320"/>
      <c r="L217" s="318"/>
      <c r="M217" s="321"/>
      <c r="N217" s="318"/>
      <c r="O217" s="318">
        <f t="shared" si="3"/>
        <v>25025641</v>
      </c>
      <c r="P217" s="318"/>
      <c r="Q217" s="318"/>
      <c r="R217" s="285" t="s">
        <v>682</v>
      </c>
      <c r="S217" s="274">
        <f>O260</f>
        <v>2741189766</v>
      </c>
      <c r="T217" s="280">
        <f>P260</f>
        <v>0</v>
      </c>
      <c r="U217" s="280">
        <f>Q260</f>
        <v>0</v>
      </c>
    </row>
    <row r="218" spans="1:21">
      <c r="A218" s="368"/>
      <c r="B218" s="423"/>
      <c r="C218" s="322" t="s">
        <v>711</v>
      </c>
      <c r="D218" s="317"/>
      <c r="E218" s="318"/>
      <c r="F218" s="472">
        <v>284282038</v>
      </c>
      <c r="G218" s="320"/>
      <c r="H218" s="318">
        <f>'BCA IDR'!F108+'BCA IDR'!F124+'BCA IDR'!F96+'BCA IDR'!J68+'BCA IDR'!F131+'BCA IDR'!J190</f>
        <v>24067180</v>
      </c>
      <c r="I218" s="320"/>
      <c r="J218" s="318"/>
      <c r="K218" s="320"/>
      <c r="L218" s="318"/>
      <c r="M218" s="321"/>
      <c r="N218" s="318"/>
      <c r="O218" s="318">
        <f t="shared" si="3"/>
        <v>308349218</v>
      </c>
      <c r="P218" s="318"/>
      <c r="Q218" s="318"/>
      <c r="R218" s="285" t="s">
        <v>106</v>
      </c>
      <c r="S218" s="274">
        <f>SUM(O262:O264)</f>
        <v>11333558.427636363</v>
      </c>
      <c r="T218" s="280">
        <f>P212+SUM(P262:P264)</f>
        <v>0</v>
      </c>
      <c r="U218" s="280">
        <f>Q212+SUM(Q262:Q264)</f>
        <v>0</v>
      </c>
    </row>
    <row r="219" spans="1:21">
      <c r="A219" s="346"/>
      <c r="B219" s="423"/>
      <c r="C219" s="322" t="s">
        <v>444</v>
      </c>
      <c r="D219" s="317"/>
      <c r="E219" s="318"/>
      <c r="F219" s="472">
        <v>0</v>
      </c>
      <c r="G219" s="320"/>
      <c r="H219" s="318"/>
      <c r="I219" s="320"/>
      <c r="J219" s="318"/>
      <c r="K219" s="320"/>
      <c r="L219" s="318"/>
      <c r="M219" s="321"/>
      <c r="N219" s="318"/>
      <c r="O219" s="318">
        <f t="shared" si="3"/>
        <v>0</v>
      </c>
      <c r="P219" s="318"/>
      <c r="Q219" s="318"/>
      <c r="R219" s="285" t="s">
        <v>14</v>
      </c>
      <c r="S219" s="429">
        <f>O265</f>
        <v>232357057</v>
      </c>
      <c r="T219" s="437">
        <f>P265+P207+P211</f>
        <v>0</v>
      </c>
      <c r="U219" s="437">
        <f>Q265+Q207+Q211</f>
        <v>0</v>
      </c>
    </row>
    <row r="220" spans="1:21">
      <c r="A220" s="346"/>
      <c r="B220" s="423"/>
      <c r="C220" s="470" t="s">
        <v>444</v>
      </c>
      <c r="D220" s="317"/>
      <c r="E220" s="318"/>
      <c r="F220" s="472">
        <v>2376800</v>
      </c>
      <c r="G220" s="320"/>
      <c r="H220" s="318"/>
      <c r="I220" s="320"/>
      <c r="J220" s="318"/>
      <c r="K220" s="320"/>
      <c r="L220" s="318"/>
      <c r="M220" s="321"/>
      <c r="N220" s="318"/>
      <c r="O220" s="318">
        <f t="shared" si="3"/>
        <v>2376800</v>
      </c>
      <c r="P220" s="318"/>
      <c r="Q220" s="318"/>
      <c r="R220" s="285"/>
      <c r="T220" s="432"/>
      <c r="U220" s="432"/>
    </row>
    <row r="221" spans="1:21">
      <c r="A221" s="346"/>
      <c r="B221" s="423"/>
      <c r="C221" s="470" t="s">
        <v>445</v>
      </c>
      <c r="D221" s="317"/>
      <c r="E221" s="318"/>
      <c r="F221" s="472">
        <v>4582244</v>
      </c>
      <c r="G221" s="320"/>
      <c r="H221" s="318">
        <f>'BCA IDR'!J70+'BCA IDR'!J180</f>
        <v>2081770</v>
      </c>
      <c r="I221" s="320"/>
      <c r="J221" s="318"/>
      <c r="K221" s="320"/>
      <c r="L221" s="318"/>
      <c r="M221" s="321"/>
      <c r="N221" s="318"/>
      <c r="O221" s="318">
        <f t="shared" si="3"/>
        <v>6664014</v>
      </c>
      <c r="P221" s="318"/>
      <c r="Q221" s="318"/>
      <c r="R221" s="285"/>
      <c r="T221" s="432"/>
      <c r="U221" s="432"/>
    </row>
    <row r="222" spans="1:21">
      <c r="A222" s="346"/>
      <c r="B222" s="423"/>
      <c r="C222" s="470" t="s">
        <v>442</v>
      </c>
      <c r="D222" s="341"/>
      <c r="E222" s="318"/>
      <c r="F222" s="472">
        <v>25026267</v>
      </c>
      <c r="G222" s="320"/>
      <c r="H222" s="318">
        <f>'BCA IDR'!J72+'BCA IDR'!F141+'BCA IDR'!J179</f>
        <v>11753150</v>
      </c>
      <c r="I222" s="320"/>
      <c r="J222" s="318"/>
      <c r="K222" s="320"/>
      <c r="L222" s="318"/>
      <c r="M222" s="321"/>
      <c r="N222" s="318"/>
      <c r="O222" s="318">
        <f t="shared" si="3"/>
        <v>36779417</v>
      </c>
      <c r="P222" s="318"/>
      <c r="Q222" s="318"/>
      <c r="R222" s="285"/>
      <c r="T222" s="432"/>
      <c r="U222" s="432"/>
    </row>
    <row r="223" spans="1:21">
      <c r="A223" s="346"/>
      <c r="B223" s="423"/>
      <c r="C223" s="322" t="s">
        <v>257</v>
      </c>
      <c r="D223" s="317"/>
      <c r="E223" s="347">
        <v>24066793</v>
      </c>
      <c r="F223" s="472">
        <v>54397588</v>
      </c>
      <c r="G223" s="320"/>
      <c r="H223" s="318">
        <f>'BCA IDR'!J51+'BCA IDR'!J74+'BCA IDR'!J159+'BCA IDR'!J167</f>
        <v>1250062</v>
      </c>
      <c r="I223" s="320"/>
      <c r="J223" s="318">
        <f>'BCA IDR'!G46</f>
        <v>208000</v>
      </c>
      <c r="K223" s="320"/>
      <c r="L223" s="318"/>
      <c r="M223" s="321"/>
      <c r="N223" s="318"/>
      <c r="O223" s="318">
        <f t="shared" si="3"/>
        <v>55439650</v>
      </c>
      <c r="P223" s="318"/>
      <c r="Q223" s="318"/>
      <c r="R223" s="285"/>
      <c r="S223" s="274">
        <f>SUM(S205:S219)</f>
        <v>14440474562.63933</v>
      </c>
      <c r="T223" s="432">
        <f>SUM(T205:T219)</f>
        <v>0</v>
      </c>
      <c r="U223" s="432">
        <f>SUM(U205:U219)</f>
        <v>0</v>
      </c>
    </row>
    <row r="224" spans="1:21">
      <c r="A224" s="346"/>
      <c r="B224" s="423"/>
      <c r="C224" s="322" t="s">
        <v>916</v>
      </c>
      <c r="D224" s="317"/>
      <c r="E224" s="347"/>
      <c r="F224" s="472">
        <v>0</v>
      </c>
      <c r="G224" s="320"/>
      <c r="H224" s="318">
        <f>'BCA IDR'!F18+'BCA IDR'!F19</f>
        <v>5574028</v>
      </c>
      <c r="I224" s="320"/>
      <c r="J224" s="318"/>
      <c r="K224" s="320"/>
      <c r="L224" s="318"/>
      <c r="M224" s="321"/>
      <c r="N224" s="318"/>
      <c r="O224" s="318">
        <f t="shared" si="3"/>
        <v>5574028</v>
      </c>
      <c r="P224" s="318"/>
      <c r="Q224" s="318"/>
      <c r="R224" s="285"/>
      <c r="T224" s="432"/>
      <c r="U224" s="432"/>
    </row>
    <row r="225" spans="1:21">
      <c r="A225" s="346"/>
      <c r="B225" s="423"/>
      <c r="C225" s="364" t="s">
        <v>258</v>
      </c>
      <c r="D225" s="317"/>
      <c r="E225" s="347">
        <v>900000</v>
      </c>
      <c r="F225" s="472">
        <v>2841000</v>
      </c>
      <c r="G225" s="320"/>
      <c r="H225" s="318">
        <f>'BCA IDR'!J71</f>
        <v>600000</v>
      </c>
      <c r="I225" s="320"/>
      <c r="J225" s="318"/>
      <c r="K225" s="320"/>
      <c r="L225" s="318"/>
      <c r="M225" s="321"/>
      <c r="N225" s="318"/>
      <c r="O225" s="318">
        <f t="shared" si="3"/>
        <v>3441000</v>
      </c>
      <c r="P225" s="318"/>
      <c r="Q225" s="318"/>
      <c r="R225" s="285"/>
      <c r="S225" s="429">
        <f>O268</f>
        <v>14440474562.63933</v>
      </c>
      <c r="T225" s="437">
        <f>P268</f>
        <v>0</v>
      </c>
      <c r="U225" s="437">
        <f>Q268</f>
        <v>0</v>
      </c>
    </row>
    <row r="226" spans="1:21">
      <c r="A226" s="346"/>
      <c r="B226" s="423"/>
      <c r="C226" s="364" t="s">
        <v>259</v>
      </c>
      <c r="D226" s="317"/>
      <c r="E226" s="347">
        <v>19084250</v>
      </c>
      <c r="F226" s="472">
        <v>116127955</v>
      </c>
      <c r="G226" s="320"/>
      <c r="H226" s="318">
        <f>'BCA IDR'!F24+'BCA IDR'!F101+'BCA IDR'!F118+'BCA IDR'!J183</f>
        <v>13923720</v>
      </c>
      <c r="I226" s="320"/>
      <c r="J226" s="318"/>
      <c r="K226" s="320"/>
      <c r="L226" s="318"/>
      <c r="M226" s="321"/>
      <c r="N226" s="318"/>
      <c r="O226" s="318">
        <f t="shared" si="3"/>
        <v>130051675</v>
      </c>
      <c r="P226" s="318"/>
      <c r="Q226" s="318"/>
      <c r="R226" s="285"/>
    </row>
    <row r="227" spans="1:21">
      <c r="A227" s="355"/>
      <c r="B227" s="434"/>
      <c r="C227" s="364" t="s">
        <v>260</v>
      </c>
      <c r="D227" s="341"/>
      <c r="E227" s="435">
        <v>12078043</v>
      </c>
      <c r="F227" s="472">
        <v>10695905</v>
      </c>
      <c r="G227" s="344"/>
      <c r="H227" s="342">
        <f>'BCA IDR'!J73</f>
        <v>14100</v>
      </c>
      <c r="I227" s="344"/>
      <c r="J227" s="342"/>
      <c r="K227" s="344"/>
      <c r="L227" s="342"/>
      <c r="M227" s="345"/>
      <c r="N227" s="342"/>
      <c r="O227" s="318">
        <f t="shared" si="3"/>
        <v>10710005</v>
      </c>
      <c r="P227" s="318"/>
      <c r="Q227" s="318"/>
      <c r="R227" s="438"/>
      <c r="S227" s="429">
        <f>S223-S225</f>
        <v>0</v>
      </c>
      <c r="T227" s="437">
        <f>T223-T225</f>
        <v>0</v>
      </c>
      <c r="U227" s="437">
        <f>U223-U225</f>
        <v>0</v>
      </c>
    </row>
    <row r="228" spans="1:21">
      <c r="A228" s="365"/>
      <c r="B228" s="434"/>
      <c r="C228" s="471" t="s">
        <v>446</v>
      </c>
      <c r="D228" s="341"/>
      <c r="E228" s="342">
        <v>0</v>
      </c>
      <c r="F228" s="472">
        <v>23510800</v>
      </c>
      <c r="G228" s="344"/>
      <c r="H228" s="342"/>
      <c r="I228" s="344"/>
      <c r="J228" s="342"/>
      <c r="K228" s="344"/>
      <c r="L228" s="342"/>
      <c r="M228" s="345"/>
      <c r="N228" s="342"/>
      <c r="O228" s="318">
        <f t="shared" si="3"/>
        <v>23510800</v>
      </c>
      <c r="P228" s="318"/>
      <c r="Q228" s="318"/>
    </row>
    <row r="229" spans="1:21">
      <c r="A229" s="346"/>
      <c r="B229" s="434"/>
      <c r="C229" s="364" t="s">
        <v>261</v>
      </c>
      <c r="D229" s="341"/>
      <c r="E229" s="435">
        <v>9242094</v>
      </c>
      <c r="F229" s="472">
        <v>13441481</v>
      </c>
      <c r="G229" s="344"/>
      <c r="H229" s="342">
        <f>'BCA IDR'!F94+'BCA IDR'!J158</f>
        <v>1666999</v>
      </c>
      <c r="I229" s="344"/>
      <c r="J229" s="342"/>
      <c r="K229" s="344"/>
      <c r="L229" s="342"/>
      <c r="M229" s="345"/>
      <c r="N229" s="342"/>
      <c r="O229" s="318">
        <f t="shared" si="3"/>
        <v>15108480</v>
      </c>
      <c r="P229" s="318"/>
      <c r="Q229" s="318"/>
      <c r="T229" s="280"/>
      <c r="U229" s="280"/>
    </row>
    <row r="230" spans="1:21">
      <c r="A230" s="368"/>
      <c r="B230" s="423"/>
      <c r="C230" s="322" t="s">
        <v>262</v>
      </c>
      <c r="D230" s="317"/>
      <c r="E230" s="318">
        <v>22883300</v>
      </c>
      <c r="F230" s="472">
        <v>0</v>
      </c>
      <c r="G230" s="320"/>
      <c r="H230" s="318"/>
      <c r="I230" s="320"/>
      <c r="J230" s="318"/>
      <c r="K230" s="320"/>
      <c r="L230" s="318"/>
      <c r="M230" s="321"/>
      <c r="N230" s="318"/>
      <c r="O230" s="318">
        <f t="shared" si="3"/>
        <v>0</v>
      </c>
      <c r="P230" s="318"/>
      <c r="Q230" s="318"/>
      <c r="R230" s="278" t="s">
        <v>694</v>
      </c>
      <c r="S230" s="274">
        <f>O220+O221</f>
        <v>9040814</v>
      </c>
    </row>
    <row r="231" spans="1:21">
      <c r="A231" s="368"/>
      <c r="B231" s="434"/>
      <c r="C231" s="322" t="s">
        <v>263</v>
      </c>
      <c r="D231" s="341"/>
      <c r="E231" s="342">
        <v>1680000</v>
      </c>
      <c r="F231" s="472">
        <v>6000000</v>
      </c>
      <c r="G231" s="344"/>
      <c r="H231" s="342"/>
      <c r="I231" s="344"/>
      <c r="J231" s="342"/>
      <c r="K231" s="344"/>
      <c r="L231" s="342"/>
      <c r="M231" s="345"/>
      <c r="N231" s="342"/>
      <c r="O231" s="318">
        <f t="shared" si="3"/>
        <v>6000000</v>
      </c>
      <c r="P231" s="318"/>
      <c r="Q231" s="318"/>
      <c r="R231" s="278" t="s">
        <v>695</v>
      </c>
      <c r="S231" s="274">
        <f>O222</f>
        <v>36779417</v>
      </c>
      <c r="T231" s="280"/>
      <c r="U231" s="280"/>
    </row>
    <row r="232" spans="1:21">
      <c r="A232" s="346"/>
      <c r="B232" s="434"/>
      <c r="C232" s="364" t="s">
        <v>264</v>
      </c>
      <c r="D232" s="341"/>
      <c r="E232" s="435">
        <v>0</v>
      </c>
      <c r="F232" s="472">
        <v>17168000</v>
      </c>
      <c r="G232" s="344"/>
      <c r="H232" s="342"/>
      <c r="I232" s="344"/>
      <c r="J232" s="342"/>
      <c r="K232" s="344"/>
      <c r="L232" s="342"/>
      <c r="M232" s="345"/>
      <c r="N232" s="342"/>
      <c r="O232" s="318">
        <f t="shared" si="3"/>
        <v>17168000</v>
      </c>
      <c r="P232" s="318"/>
      <c r="Q232" s="318"/>
      <c r="R232" s="278" t="s">
        <v>685</v>
      </c>
      <c r="S232" s="274">
        <f>O223+O228+O227</f>
        <v>89660455</v>
      </c>
      <c r="T232" s="280"/>
      <c r="U232" s="280"/>
    </row>
    <row r="233" spans="1:21">
      <c r="A233" s="368"/>
      <c r="B233" s="423"/>
      <c r="C233" s="322" t="s">
        <v>265</v>
      </c>
      <c r="D233" s="317"/>
      <c r="E233" s="318">
        <v>32650000</v>
      </c>
      <c r="F233" s="472">
        <v>149371940</v>
      </c>
      <c r="G233" s="344"/>
      <c r="H233" s="342">
        <f>'BCA IDR'!F212</f>
        <v>750000</v>
      </c>
      <c r="I233" s="320"/>
      <c r="J233" s="318"/>
      <c r="K233" s="320"/>
      <c r="L233" s="318"/>
      <c r="M233" s="321"/>
      <c r="N233" s="318"/>
      <c r="O233" s="318">
        <f t="shared" si="3"/>
        <v>150121940</v>
      </c>
      <c r="P233" s="318"/>
      <c r="Q233" s="318"/>
      <c r="R233" s="278" t="s">
        <v>696</v>
      </c>
      <c r="S233" s="274">
        <v>0</v>
      </c>
    </row>
    <row r="234" spans="1:21">
      <c r="A234" s="368"/>
      <c r="B234" s="423"/>
      <c r="C234" s="322" t="s">
        <v>678</v>
      </c>
      <c r="D234" s="317"/>
      <c r="E234" s="318">
        <v>0</v>
      </c>
      <c r="F234" s="472">
        <v>4215200</v>
      </c>
      <c r="G234" s="320"/>
      <c r="H234" s="318">
        <f>'BCA IDR'!F25</f>
        <v>526900</v>
      </c>
      <c r="I234" s="320"/>
      <c r="J234" s="318"/>
      <c r="K234" s="320"/>
      <c r="L234" s="318"/>
      <c r="M234" s="321"/>
      <c r="N234" s="318"/>
      <c r="O234" s="318">
        <f t="shared" si="3"/>
        <v>4742100</v>
      </c>
      <c r="P234" s="318"/>
      <c r="Q234" s="318"/>
      <c r="R234" s="278" t="s">
        <v>697</v>
      </c>
      <c r="S234" s="274">
        <f>O225</f>
        <v>3441000</v>
      </c>
    </row>
    <row r="235" spans="1:21">
      <c r="A235" s="355"/>
      <c r="B235" s="434"/>
      <c r="C235" s="364" t="s">
        <v>32</v>
      </c>
      <c r="D235" s="341"/>
      <c r="E235" s="435"/>
      <c r="F235" s="472">
        <v>12500000</v>
      </c>
      <c r="G235" s="344"/>
      <c r="H235" s="342"/>
      <c r="I235" s="344"/>
      <c r="J235" s="342"/>
      <c r="K235" s="344"/>
      <c r="L235" s="342"/>
      <c r="M235" s="345"/>
      <c r="N235" s="342"/>
      <c r="O235" s="318">
        <f t="shared" si="3"/>
        <v>12500000</v>
      </c>
      <c r="P235" s="342"/>
      <c r="Q235" s="342"/>
      <c r="R235" s="285" t="s">
        <v>698</v>
      </c>
      <c r="S235" s="274">
        <f>O226+O229+O234</f>
        <v>149902255</v>
      </c>
      <c r="T235" s="432"/>
    </row>
    <row r="236" spans="1:21">
      <c r="A236" s="355"/>
      <c r="B236" s="434"/>
      <c r="C236" s="364" t="s">
        <v>266</v>
      </c>
      <c r="D236" s="341"/>
      <c r="E236" s="435">
        <v>45296731</v>
      </c>
      <c r="F236" s="472">
        <v>7500000</v>
      </c>
      <c r="G236" s="344"/>
      <c r="H236" s="342"/>
      <c r="I236" s="344"/>
      <c r="J236" s="342"/>
      <c r="K236" s="344"/>
      <c r="L236" s="342"/>
      <c r="M236" s="345"/>
      <c r="N236" s="342"/>
      <c r="O236" s="318">
        <f t="shared" si="3"/>
        <v>7500000</v>
      </c>
      <c r="P236" s="318"/>
      <c r="Q236" s="318"/>
      <c r="R236" s="438" t="s">
        <v>699</v>
      </c>
      <c r="S236" s="274">
        <f>O233</f>
        <v>150121940</v>
      </c>
      <c r="T236" s="280"/>
      <c r="U236" s="280"/>
    </row>
    <row r="237" spans="1:21">
      <c r="A237" s="365"/>
      <c r="B237" s="434"/>
      <c r="C237" s="364" t="s">
        <v>267</v>
      </c>
      <c r="D237" s="341"/>
      <c r="E237" s="342">
        <v>7623000</v>
      </c>
      <c r="F237" s="472">
        <v>7818000</v>
      </c>
      <c r="G237" s="344"/>
      <c r="H237" s="342"/>
      <c r="I237" s="344"/>
      <c r="J237" s="342"/>
      <c r="K237" s="344"/>
      <c r="L237" s="342"/>
      <c r="M237" s="345"/>
      <c r="N237" s="342"/>
      <c r="O237" s="318">
        <f t="shared" si="3"/>
        <v>7818000</v>
      </c>
      <c r="P237" s="318"/>
      <c r="Q237" s="318"/>
      <c r="R237" s="278" t="s">
        <v>700</v>
      </c>
      <c r="S237" s="274">
        <f>O238</f>
        <v>451259010</v>
      </c>
    </row>
    <row r="238" spans="1:21">
      <c r="A238" s="368"/>
      <c r="B238" s="423"/>
      <c r="C238" s="322" t="s">
        <v>268</v>
      </c>
      <c r="D238" s="317"/>
      <c r="E238" s="435">
        <v>1587100</v>
      </c>
      <c r="F238" s="472">
        <v>355568910</v>
      </c>
      <c r="G238" s="320"/>
      <c r="H238" s="318">
        <f>'Journal USD'!J6</f>
        <v>95690100</v>
      </c>
      <c r="I238" s="320"/>
      <c r="J238" s="318"/>
      <c r="K238" s="320"/>
      <c r="L238" s="318"/>
      <c r="M238" s="321"/>
      <c r="N238" s="318"/>
      <c r="O238" s="318">
        <f t="shared" si="3"/>
        <v>451259010</v>
      </c>
      <c r="P238" s="318"/>
      <c r="Q238" s="318"/>
      <c r="R238" s="278" t="s">
        <v>701</v>
      </c>
      <c r="S238" s="274">
        <f>O232</f>
        <v>17168000</v>
      </c>
    </row>
    <row r="239" spans="1:21">
      <c r="A239" s="368"/>
      <c r="B239" s="423"/>
      <c r="C239" s="322" t="s">
        <v>269</v>
      </c>
      <c r="D239" s="317"/>
      <c r="E239" s="318"/>
      <c r="F239" s="472">
        <v>0</v>
      </c>
      <c r="G239" s="320"/>
      <c r="H239" s="318"/>
      <c r="I239" s="320"/>
      <c r="J239" s="318"/>
      <c r="K239" s="320"/>
      <c r="L239" s="318"/>
      <c r="M239" s="321"/>
      <c r="N239" s="318"/>
      <c r="O239" s="318">
        <f t="shared" si="3"/>
        <v>0</v>
      </c>
      <c r="P239" s="318"/>
      <c r="Q239" s="318"/>
      <c r="R239" s="278" t="s">
        <v>717</v>
      </c>
      <c r="S239" s="274">
        <f>O218</f>
        <v>308349218</v>
      </c>
    </row>
    <row r="240" spans="1:21">
      <c r="A240" s="368"/>
      <c r="B240" s="423"/>
      <c r="C240" s="322" t="s">
        <v>270</v>
      </c>
      <c r="D240" s="317"/>
      <c r="E240" s="318">
        <v>7231085</v>
      </c>
      <c r="F240" s="472">
        <v>343628365</v>
      </c>
      <c r="G240" s="320"/>
      <c r="H240" s="318">
        <f>'BCA IDR'!F48+'BCA IDR'!F105+'BCA IDR'!F111+'BCA IDR'!J59+'BCA IDR'!F127+'BCA IDR'!F137+'BCA IDR'!J152+'BCA IDR'!F210</f>
        <v>17283553</v>
      </c>
      <c r="I240" s="320"/>
      <c r="J240" s="318"/>
      <c r="K240" s="320"/>
      <c r="L240" s="318"/>
      <c r="M240" s="321"/>
      <c r="N240" s="318"/>
      <c r="O240" s="318">
        <f t="shared" si="3"/>
        <v>360911918</v>
      </c>
      <c r="P240" s="318"/>
      <c r="Q240" s="318"/>
      <c r="R240" s="278">
        <f>O240-360911918</f>
        <v>0</v>
      </c>
      <c r="S240" s="274">
        <f>SUM(S230:S239)</f>
        <v>1215722109</v>
      </c>
      <c r="T240" s="439"/>
      <c r="U240" s="439"/>
    </row>
    <row r="241" spans="1:21">
      <c r="A241" s="368"/>
      <c r="B241" s="423"/>
      <c r="C241" s="322" t="s">
        <v>317</v>
      </c>
      <c r="D241" s="317"/>
      <c r="E241" s="318"/>
      <c r="F241" s="472">
        <v>0</v>
      </c>
      <c r="G241" s="320"/>
      <c r="H241" s="318"/>
      <c r="I241" s="320"/>
      <c r="J241" s="318"/>
      <c r="K241" s="320"/>
      <c r="L241" s="318"/>
      <c r="M241" s="321"/>
      <c r="N241" s="318"/>
      <c r="O241" s="318">
        <f t="shared" si="3"/>
        <v>0</v>
      </c>
      <c r="P241" s="318"/>
      <c r="Q241" s="318"/>
      <c r="S241" s="274">
        <f>S240-S210</f>
        <v>-50059470</v>
      </c>
      <c r="T241" s="439"/>
      <c r="U241" s="439"/>
    </row>
    <row r="242" spans="1:21">
      <c r="A242" s="368"/>
      <c r="B242" s="423"/>
      <c r="C242" s="322" t="s">
        <v>271</v>
      </c>
      <c r="D242" s="317"/>
      <c r="E242" s="318"/>
      <c r="F242" s="472">
        <v>0</v>
      </c>
      <c r="G242" s="320"/>
      <c r="H242" s="318"/>
      <c r="I242" s="320"/>
      <c r="J242" s="318"/>
      <c r="K242" s="320"/>
      <c r="L242" s="318"/>
      <c r="M242" s="321"/>
      <c r="N242" s="318"/>
      <c r="O242" s="318">
        <f t="shared" si="3"/>
        <v>0</v>
      </c>
      <c r="P242" s="318"/>
      <c r="Q242" s="318"/>
    </row>
    <row r="243" spans="1:21">
      <c r="A243" s="368"/>
      <c r="B243" s="423"/>
      <c r="C243" s="322" t="s">
        <v>316</v>
      </c>
      <c r="D243" s="317"/>
      <c r="E243" s="318">
        <v>50872727</v>
      </c>
      <c r="F243" s="472">
        <v>39600000</v>
      </c>
      <c r="G243" s="320"/>
      <c r="H243" s="318">
        <f>'BCA IDR'!F230+'BCA IDR'!F231</f>
        <v>19800000</v>
      </c>
      <c r="I243" s="320"/>
      <c r="J243" s="318"/>
      <c r="K243" s="320"/>
      <c r="L243" s="318"/>
      <c r="M243" s="321"/>
      <c r="N243" s="318"/>
      <c r="O243" s="318">
        <f t="shared" si="3"/>
        <v>59400000</v>
      </c>
      <c r="P243" s="318"/>
      <c r="Q243" s="318"/>
      <c r="R243" s="438"/>
      <c r="T243" s="280"/>
      <c r="U243" s="280"/>
    </row>
    <row r="244" spans="1:21">
      <c r="A244" s="346"/>
      <c r="B244" s="423"/>
      <c r="C244" s="322" t="s">
        <v>272</v>
      </c>
      <c r="D244" s="317"/>
      <c r="E244" s="318">
        <v>0</v>
      </c>
      <c r="F244" s="472">
        <v>20057098</v>
      </c>
      <c r="G244" s="320"/>
      <c r="H244" s="318">
        <f>'BCA IDR'!F93+'BCA IDR'!J75</f>
        <v>1242550</v>
      </c>
      <c r="I244" s="320"/>
      <c r="J244" s="318"/>
      <c r="K244" s="320"/>
      <c r="L244" s="318"/>
      <c r="M244" s="321"/>
      <c r="N244" s="318"/>
      <c r="O244" s="318">
        <f t="shared" si="3"/>
        <v>21299648</v>
      </c>
      <c r="P244" s="318"/>
      <c r="Q244" s="318"/>
      <c r="R244" s="438"/>
      <c r="T244" s="280"/>
      <c r="U244" s="280"/>
    </row>
    <row r="245" spans="1:21">
      <c r="A245" s="368"/>
      <c r="B245" s="423"/>
      <c r="C245" s="322" t="s">
        <v>273</v>
      </c>
      <c r="D245" s="317"/>
      <c r="E245" s="318">
        <v>23858458</v>
      </c>
      <c r="F245" s="472">
        <v>1160293805</v>
      </c>
      <c r="G245" s="320"/>
      <c r="H245" s="318"/>
      <c r="I245" s="320"/>
      <c r="J245" s="318"/>
      <c r="K245" s="320"/>
      <c r="L245" s="318"/>
      <c r="M245" s="321"/>
      <c r="N245" s="318"/>
      <c r="O245" s="318">
        <f t="shared" si="3"/>
        <v>1160293805</v>
      </c>
      <c r="P245" s="318"/>
      <c r="Q245" s="318"/>
      <c r="R245" s="438"/>
      <c r="T245" s="280"/>
      <c r="U245" s="280"/>
    </row>
    <row r="246" spans="1:21">
      <c r="A246" s="368"/>
      <c r="B246" s="423"/>
      <c r="C246" s="322" t="s">
        <v>917</v>
      </c>
      <c r="D246" s="317"/>
      <c r="E246" s="342"/>
      <c r="F246" s="472">
        <v>0</v>
      </c>
      <c r="G246" s="320"/>
      <c r="H246" s="318">
        <f>'BCA IDR'!F11+'BCA IDR'!F12</f>
        <v>49599000</v>
      </c>
      <c r="I246" s="320"/>
      <c r="J246" s="318"/>
      <c r="K246" s="320"/>
      <c r="L246" s="318"/>
      <c r="M246" s="321"/>
      <c r="N246" s="318"/>
      <c r="O246" s="318">
        <f>F246+H246-J246+L246-N246</f>
        <v>49599000</v>
      </c>
      <c r="P246" s="318"/>
      <c r="Q246" s="318"/>
      <c r="R246" s="438"/>
      <c r="T246" s="280"/>
      <c r="U246" s="280"/>
    </row>
    <row r="247" spans="1:21">
      <c r="A247" s="368"/>
      <c r="B247" s="423"/>
      <c r="C247" s="322" t="s">
        <v>918</v>
      </c>
      <c r="D247" s="317"/>
      <c r="E247" s="342"/>
      <c r="F247" s="472">
        <v>0</v>
      </c>
      <c r="G247" s="320"/>
      <c r="H247" s="318">
        <f>'BCA IDR'!F13+'BCA IDR'!F14</f>
        <v>16533000</v>
      </c>
      <c r="I247" s="320"/>
      <c r="J247" s="318"/>
      <c r="K247" s="320"/>
      <c r="L247" s="318"/>
      <c r="M247" s="321"/>
      <c r="N247" s="318"/>
      <c r="O247" s="318">
        <f>F247+H247-J247+L247-N247</f>
        <v>16533000</v>
      </c>
      <c r="P247" s="318"/>
      <c r="Q247" s="318"/>
      <c r="R247" s="438"/>
      <c r="T247" s="280"/>
      <c r="U247" s="280"/>
    </row>
    <row r="248" spans="1:21">
      <c r="A248" s="368"/>
      <c r="B248" s="423"/>
      <c r="C248" s="322" t="s">
        <v>274</v>
      </c>
      <c r="D248" s="317"/>
      <c r="E248" s="435">
        <v>37950184</v>
      </c>
      <c r="F248" s="472">
        <v>0</v>
      </c>
      <c r="G248" s="320"/>
      <c r="H248" s="318"/>
      <c r="I248" s="320"/>
      <c r="J248" s="318"/>
      <c r="K248" s="320"/>
      <c r="L248" s="318"/>
      <c r="M248" s="321"/>
      <c r="N248" s="318"/>
      <c r="O248" s="318">
        <f t="shared" si="3"/>
        <v>0</v>
      </c>
      <c r="P248" s="318"/>
      <c r="Q248" s="318"/>
      <c r="R248" s="438"/>
      <c r="T248" s="280"/>
      <c r="U248" s="280"/>
    </row>
    <row r="249" spans="1:21">
      <c r="A249" s="346"/>
      <c r="B249" s="423"/>
      <c r="C249" s="322" t="s">
        <v>275</v>
      </c>
      <c r="D249" s="317"/>
      <c r="E249" s="435"/>
      <c r="F249" s="472">
        <v>0</v>
      </c>
      <c r="G249" s="320"/>
      <c r="H249" s="318"/>
      <c r="I249" s="320"/>
      <c r="J249" s="318"/>
      <c r="K249" s="320"/>
      <c r="L249" s="318"/>
      <c r="M249" s="321"/>
      <c r="N249" s="318"/>
      <c r="O249" s="318">
        <f t="shared" si="3"/>
        <v>0</v>
      </c>
      <c r="P249" s="318"/>
      <c r="Q249" s="318"/>
    </row>
    <row r="250" spans="1:21">
      <c r="A250" s="346"/>
      <c r="B250" s="423"/>
      <c r="C250" s="322" t="s">
        <v>276</v>
      </c>
      <c r="D250" s="317"/>
      <c r="E250" s="318">
        <v>22011089</v>
      </c>
      <c r="F250" s="472">
        <v>73538449.5</v>
      </c>
      <c r="G250" s="320"/>
      <c r="H250" s="318">
        <f>'Journal IDR 399'!F67</f>
        <v>8571349.25</v>
      </c>
      <c r="I250" s="320"/>
      <c r="J250" s="318"/>
      <c r="K250" s="320"/>
      <c r="L250" s="318"/>
      <c r="M250" s="321"/>
      <c r="N250" s="318"/>
      <c r="O250" s="318">
        <f t="shared" si="3"/>
        <v>82109798.75</v>
      </c>
      <c r="P250" s="318"/>
      <c r="Q250" s="318"/>
    </row>
    <row r="251" spans="1:21">
      <c r="A251" s="346"/>
      <c r="B251" s="434"/>
      <c r="C251" s="322" t="s">
        <v>277</v>
      </c>
      <c r="D251" s="341"/>
      <c r="E251" s="435">
        <v>17488415</v>
      </c>
      <c r="F251" s="472">
        <v>46641888.083333343</v>
      </c>
      <c r="G251" s="344"/>
      <c r="H251" s="342">
        <f>'Journal IDR 399'!F69</f>
        <v>5574562.458333334</v>
      </c>
      <c r="I251" s="344"/>
      <c r="J251" s="342"/>
      <c r="K251" s="344"/>
      <c r="L251" s="342"/>
      <c r="M251" s="345"/>
      <c r="N251" s="342"/>
      <c r="O251" s="318">
        <f t="shared" si="3"/>
        <v>52216450.541666679</v>
      </c>
      <c r="P251" s="318"/>
      <c r="Q251" s="318"/>
    </row>
    <row r="252" spans="1:21">
      <c r="A252" s="346"/>
      <c r="B252" s="434"/>
      <c r="C252" s="322" t="s">
        <v>278</v>
      </c>
      <c r="D252" s="341"/>
      <c r="E252" s="435">
        <v>52083330</v>
      </c>
      <c r="F252" s="472">
        <v>58124997.500000007</v>
      </c>
      <c r="G252" s="344"/>
      <c r="H252" s="342">
        <f>'Journal IDR 399'!F71</f>
        <v>6458333.333333333</v>
      </c>
      <c r="I252" s="344"/>
      <c r="J252" s="342"/>
      <c r="K252" s="344"/>
      <c r="L252" s="342"/>
      <c r="M252" s="345"/>
      <c r="N252" s="342"/>
      <c r="O252" s="318">
        <f t="shared" si="3"/>
        <v>64583330.833333343</v>
      </c>
      <c r="P252" s="318"/>
      <c r="Q252" s="318"/>
    </row>
    <row r="253" spans="1:21">
      <c r="A253" s="346"/>
      <c r="B253" s="434"/>
      <c r="C253" s="322" t="s">
        <v>658</v>
      </c>
      <c r="D253" s="341"/>
      <c r="E253" s="435">
        <v>34432290</v>
      </c>
      <c r="F253" s="472">
        <v>79806312.75</v>
      </c>
      <c r="G253" s="344"/>
      <c r="H253" s="342">
        <f>'Journal IDR 399'!F73</f>
        <v>9793758.958333334</v>
      </c>
      <c r="I253" s="344"/>
      <c r="J253" s="342"/>
      <c r="K253" s="344"/>
      <c r="L253" s="342"/>
      <c r="M253" s="345"/>
      <c r="N253" s="342"/>
      <c r="O253" s="318">
        <f t="shared" si="3"/>
        <v>89600071.708333328</v>
      </c>
      <c r="P253" s="318"/>
      <c r="Q253" s="318"/>
    </row>
    <row r="254" spans="1:21">
      <c r="A254" s="346"/>
      <c r="B254" s="434"/>
      <c r="C254" s="322" t="s">
        <v>279</v>
      </c>
      <c r="D254" s="341"/>
      <c r="E254" s="435">
        <v>11804876</v>
      </c>
      <c r="F254" s="472">
        <v>0</v>
      </c>
      <c r="G254" s="344"/>
      <c r="H254" s="342"/>
      <c r="I254" s="344"/>
      <c r="J254" s="342"/>
      <c r="K254" s="344"/>
      <c r="L254" s="342"/>
      <c r="M254" s="345"/>
      <c r="N254" s="342"/>
      <c r="O254" s="318">
        <f t="shared" si="3"/>
        <v>0</v>
      </c>
      <c r="P254" s="318"/>
      <c r="Q254" s="318"/>
    </row>
    <row r="255" spans="1:21">
      <c r="A255" s="346"/>
      <c r="B255" s="434"/>
      <c r="C255" s="364" t="s">
        <v>280</v>
      </c>
      <c r="D255" s="341"/>
      <c r="E255" s="435">
        <v>17310599</v>
      </c>
      <c r="F255" s="472">
        <v>532838091</v>
      </c>
      <c r="G255" s="344"/>
      <c r="H255" s="342">
        <f>'BCA IDR'!F34+'BCA IDR'!F35+'BCA IDR'!F92+'BCA IDR'!F147+'BCA IDR'!F148+'BCA IDR'!F144+'BCA IDR'!F208+'BCA IDR'!J151</f>
        <v>21026137</v>
      </c>
      <c r="I255" s="344"/>
      <c r="J255" s="342"/>
      <c r="K255" s="344"/>
      <c r="L255" s="342"/>
      <c r="M255" s="345"/>
      <c r="N255" s="342"/>
      <c r="O255" s="318">
        <f t="shared" si="3"/>
        <v>553864228</v>
      </c>
      <c r="P255" s="318"/>
      <c r="Q255" s="318"/>
    </row>
    <row r="256" spans="1:21">
      <c r="A256" s="368"/>
      <c r="B256" s="423"/>
      <c r="C256" s="322" t="s">
        <v>566</v>
      </c>
      <c r="D256" s="317"/>
      <c r="E256" s="318">
        <v>22861288</v>
      </c>
      <c r="F256" s="472">
        <v>72609197</v>
      </c>
      <c r="G256" s="320"/>
      <c r="H256" s="318">
        <f>'BCA IDR'!J52+'BCA IDR'!J53+'BCA IDR'!J58+'BCA IDR'!F128+'BCA IDR'!F209+'BCA IDR'!J153+'BCA IDR'!J154+'BCA IDR'!J161</f>
        <v>6486585</v>
      </c>
      <c r="I256" s="320"/>
      <c r="J256" s="318"/>
      <c r="K256" s="320"/>
      <c r="L256" s="318"/>
      <c r="M256" s="321"/>
      <c r="N256" s="318"/>
      <c r="O256" s="318">
        <f t="shared" si="3"/>
        <v>79095782</v>
      </c>
      <c r="P256" s="318"/>
      <c r="Q256" s="318"/>
      <c r="R256" s="285">
        <f>O256-79095782</f>
        <v>0</v>
      </c>
    </row>
    <row r="257" spans="1:21">
      <c r="A257" s="368"/>
      <c r="B257" s="423"/>
      <c r="C257" s="322" t="s">
        <v>281</v>
      </c>
      <c r="D257" s="317"/>
      <c r="E257" s="318">
        <v>450000000</v>
      </c>
      <c r="F257" s="472">
        <v>2541600000</v>
      </c>
      <c r="G257" s="320"/>
      <c r="H257" s="318"/>
      <c r="I257" s="320"/>
      <c r="J257" s="318"/>
      <c r="K257" s="320"/>
      <c r="L257" s="318"/>
      <c r="M257" s="321"/>
      <c r="N257" s="318"/>
      <c r="O257" s="318">
        <f t="shared" si="3"/>
        <v>2541600000</v>
      </c>
      <c r="P257" s="318"/>
      <c r="Q257" s="318"/>
    </row>
    <row r="258" spans="1:21">
      <c r="A258" s="368"/>
      <c r="B258" s="423"/>
      <c r="C258" s="322" t="s">
        <v>336</v>
      </c>
      <c r="D258" s="317"/>
      <c r="E258" s="318"/>
      <c r="F258" s="472">
        <v>0</v>
      </c>
      <c r="G258" s="320"/>
      <c r="H258" s="318"/>
      <c r="I258" s="320"/>
      <c r="J258" s="318"/>
      <c r="K258" s="320"/>
      <c r="L258" s="318"/>
      <c r="M258" s="321"/>
      <c r="N258" s="318"/>
      <c r="O258" s="318">
        <f t="shared" si="3"/>
        <v>0</v>
      </c>
      <c r="P258" s="318"/>
      <c r="Q258" s="318"/>
    </row>
    <row r="259" spans="1:21">
      <c r="A259" s="346"/>
      <c r="B259" s="423"/>
      <c r="C259" s="322" t="s">
        <v>318</v>
      </c>
      <c r="D259" s="317"/>
      <c r="E259" s="347"/>
      <c r="F259" s="472">
        <v>24585516.915909089</v>
      </c>
      <c r="G259" s="320"/>
      <c r="H259" s="318">
        <f>'BCA IDR'!F114</f>
        <v>7364391</v>
      </c>
      <c r="I259" s="320"/>
      <c r="J259" s="318"/>
      <c r="K259" s="320"/>
      <c r="L259" s="318"/>
      <c r="M259" s="321"/>
      <c r="N259" s="318"/>
      <c r="O259" s="318">
        <f t="shared" si="3"/>
        <v>31949907.915909089</v>
      </c>
      <c r="P259" s="318"/>
      <c r="Q259" s="318"/>
    </row>
    <row r="260" spans="1:21">
      <c r="A260" s="346"/>
      <c r="B260" s="434"/>
      <c r="C260" s="322" t="s">
        <v>682</v>
      </c>
      <c r="D260" s="341"/>
      <c r="E260" s="435"/>
      <c r="F260" s="472">
        <v>2728939733</v>
      </c>
      <c r="G260" s="344"/>
      <c r="H260" s="342">
        <f>'BCA IDR'!F121</f>
        <v>12250033</v>
      </c>
      <c r="I260" s="344"/>
      <c r="J260" s="342"/>
      <c r="K260" s="344"/>
      <c r="L260" s="342"/>
      <c r="M260" s="345"/>
      <c r="N260" s="342"/>
      <c r="O260" s="318">
        <f t="shared" si="3"/>
        <v>2741189766</v>
      </c>
      <c r="P260" s="318"/>
      <c r="Q260" s="318"/>
    </row>
    <row r="261" spans="1:21">
      <c r="A261" s="346"/>
      <c r="B261" s="434"/>
      <c r="C261" s="364" t="s">
        <v>282</v>
      </c>
      <c r="D261" s="341"/>
      <c r="E261" s="435"/>
      <c r="F261" s="472">
        <v>0</v>
      </c>
      <c r="G261" s="344"/>
      <c r="H261" s="342"/>
      <c r="I261" s="344"/>
      <c r="J261" s="342"/>
      <c r="K261" s="344"/>
      <c r="L261" s="342"/>
      <c r="M261" s="345"/>
      <c r="N261" s="342"/>
      <c r="O261" s="318">
        <f t="shared" si="3"/>
        <v>0</v>
      </c>
      <c r="P261" s="318"/>
      <c r="Q261" s="318"/>
      <c r="T261" s="280"/>
      <c r="U261" s="280"/>
    </row>
    <row r="262" spans="1:21">
      <c r="A262" s="346"/>
      <c r="B262" s="434"/>
      <c r="C262" s="440" t="s">
        <v>851</v>
      </c>
      <c r="D262" s="341"/>
      <c r="E262" s="435">
        <v>5666334</v>
      </c>
      <c r="F262" s="472">
        <v>1970984.9003636364</v>
      </c>
      <c r="G262" s="344"/>
      <c r="H262" s="342">
        <f>'Journal IDR 399'!F77+'Journal IDR 399'!F82+'Journal IDR 399'!F87+'Journal IDR 399'!F102+'Journal IDR 399'!F107</f>
        <v>484756.52727272717</v>
      </c>
      <c r="I262" s="344"/>
      <c r="J262" s="342"/>
      <c r="K262" s="344"/>
      <c r="L262" s="342"/>
      <c r="M262" s="345"/>
      <c r="N262" s="342"/>
      <c r="O262" s="318">
        <f>F262+H262-J262+L262-N262</f>
        <v>2455741.4276363635</v>
      </c>
      <c r="P262" s="318"/>
      <c r="Q262" s="318"/>
    </row>
    <row r="263" spans="1:21">
      <c r="A263" s="346"/>
      <c r="B263" s="434"/>
      <c r="C263" s="440" t="s">
        <v>283</v>
      </c>
      <c r="D263" s="341"/>
      <c r="E263" s="318"/>
      <c r="F263" s="472">
        <v>57272</v>
      </c>
      <c r="G263" s="344"/>
      <c r="H263" s="342">
        <f>'Journal IDR 399'!F55+'Journal IDR 399'!F58+'Journal IDR 399'!F61</f>
        <v>1452745</v>
      </c>
      <c r="I263" s="344"/>
      <c r="J263" s="342"/>
      <c r="K263" s="344"/>
      <c r="L263" s="342"/>
      <c r="M263" s="345"/>
      <c r="N263" s="342"/>
      <c r="O263" s="318">
        <f>F263+H263-J263+L263-N263</f>
        <v>1510017</v>
      </c>
      <c r="P263" s="318"/>
      <c r="Q263" s="318"/>
    </row>
    <row r="264" spans="1:21">
      <c r="A264" s="346"/>
      <c r="B264" s="434"/>
      <c r="C264" s="440" t="s">
        <v>284</v>
      </c>
      <c r="D264" s="341"/>
      <c r="E264" s="297"/>
      <c r="F264" s="472">
        <v>3617800</v>
      </c>
      <c r="G264" s="344"/>
      <c r="H264" s="342">
        <f>'BCA IDR'!F216</f>
        <v>3750000</v>
      </c>
      <c r="I264" s="344"/>
      <c r="J264" s="342"/>
      <c r="K264" s="344"/>
      <c r="L264" s="342"/>
      <c r="M264" s="345"/>
      <c r="N264" s="342"/>
      <c r="O264" s="318">
        <f t="shared" si="3"/>
        <v>7367800</v>
      </c>
      <c r="P264" s="318"/>
      <c r="Q264" s="318"/>
    </row>
    <row r="265" spans="1:21">
      <c r="A265" s="346"/>
      <c r="B265" s="434"/>
      <c r="C265" s="364" t="s">
        <v>285</v>
      </c>
      <c r="D265" s="341"/>
      <c r="E265" s="347">
        <v>1088483</v>
      </c>
      <c r="F265" s="472">
        <v>226761262</v>
      </c>
      <c r="G265" s="344"/>
      <c r="H265" s="318">
        <f>'BCA IDR'!F15+'BCA IDR'!F26+'BCA IDR'!F20+'BCA IDR'!F104+'BCA IDR'!F95+'BCA IDR'!J63+'BCA IDR'!F138+'BCA IDR'!F211+'BCA IDR'!J155</f>
        <v>5595795</v>
      </c>
      <c r="I265" s="344"/>
      <c r="J265" s="342"/>
      <c r="K265" s="344"/>
      <c r="L265" s="342"/>
      <c r="M265" s="345"/>
      <c r="N265" s="342"/>
      <c r="O265" s="318">
        <f t="shared" si="3"/>
        <v>232357057</v>
      </c>
      <c r="P265" s="318"/>
      <c r="Q265" s="318"/>
    </row>
    <row r="266" spans="1:21">
      <c r="A266" s="368"/>
      <c r="B266" s="423"/>
      <c r="C266" s="322" t="s">
        <v>709</v>
      </c>
      <c r="D266" s="317"/>
      <c r="E266" s="318"/>
      <c r="F266" s="472">
        <v>0</v>
      </c>
      <c r="G266" s="320"/>
      <c r="H266" s="318"/>
      <c r="I266" s="320"/>
      <c r="J266" s="318"/>
      <c r="K266" s="320"/>
      <c r="L266" s="318"/>
      <c r="M266" s="321"/>
      <c r="N266" s="318"/>
      <c r="O266" s="318">
        <f t="shared" si="3"/>
        <v>0</v>
      </c>
      <c r="P266" s="318"/>
      <c r="Q266" s="318"/>
    </row>
    <row r="267" spans="1:21" ht="15" thickBot="1">
      <c r="A267" s="297"/>
      <c r="B267" s="380"/>
      <c r="D267" s="308"/>
      <c r="E267" s="301"/>
      <c r="F267" s="302"/>
      <c r="G267" s="286"/>
      <c r="H267" s="301"/>
      <c r="I267" s="286"/>
      <c r="J267" s="301"/>
      <c r="K267" s="286"/>
      <c r="L267" s="301"/>
      <c r="M267" s="309"/>
      <c r="N267" s="301"/>
      <c r="O267" s="301"/>
      <c r="P267" s="301"/>
      <c r="Q267" s="301"/>
    </row>
    <row r="268" spans="1:21" ht="15" thickBot="1">
      <c r="A268" s="351"/>
      <c r="B268" s="333" t="s">
        <v>286</v>
      </c>
      <c r="C268" s="416"/>
      <c r="D268" s="410"/>
      <c r="E268" s="336">
        <f>+SUM(E205:E267)</f>
        <v>3874869468</v>
      </c>
      <c r="F268" s="337">
        <f>+SUM(F205:F267)</f>
        <v>13466736235.384785</v>
      </c>
      <c r="G268" s="295"/>
      <c r="H268" s="336">
        <f>+SUM(H205:H267)</f>
        <v>980554667.25454557</v>
      </c>
      <c r="I268" s="295"/>
      <c r="J268" s="336">
        <f>+SUM(J205:J267)</f>
        <v>6816340</v>
      </c>
      <c r="K268" s="295"/>
      <c r="L268" s="336">
        <f>+SUM(L205:L267)</f>
        <v>0</v>
      </c>
      <c r="M268" s="336"/>
      <c r="N268" s="336">
        <f>+SUM(N205:N267)</f>
        <v>0</v>
      </c>
      <c r="O268" s="336">
        <f>+SUM(O205:O267)</f>
        <v>14440474562.63933</v>
      </c>
      <c r="P268" s="336">
        <f>+SUM(P205:P267)</f>
        <v>0</v>
      </c>
      <c r="Q268" s="336">
        <f>+SUM(Q205:Q267)</f>
        <v>0</v>
      </c>
    </row>
    <row r="269" spans="1:21" ht="15" thickBot="1">
      <c r="A269" s="297"/>
      <c r="B269" s="380"/>
      <c r="D269" s="308"/>
      <c r="E269" s="309"/>
      <c r="F269" s="366"/>
      <c r="G269" s="286"/>
      <c r="H269" s="309"/>
      <c r="I269" s="286"/>
      <c r="J269" s="309"/>
      <c r="K269" s="286"/>
      <c r="L269" s="309"/>
      <c r="M269" s="309"/>
      <c r="N269" s="309"/>
      <c r="O269" s="309"/>
      <c r="P269" s="309"/>
      <c r="Q269" s="309"/>
    </row>
    <row r="270" spans="1:21" ht="15" thickBot="1">
      <c r="A270" s="332"/>
      <c r="B270" s="333" t="s">
        <v>287</v>
      </c>
      <c r="C270" s="334"/>
      <c r="D270" s="410"/>
      <c r="E270" s="336">
        <f>E201-E268</f>
        <v>1185335460</v>
      </c>
      <c r="F270" s="337">
        <f>F201-F268</f>
        <v>-13026340389.799122</v>
      </c>
      <c r="G270" s="295"/>
      <c r="H270" s="336">
        <f>H201-H268</f>
        <v>-910245046.28266215</v>
      </c>
      <c r="I270" s="295"/>
      <c r="J270" s="336">
        <f>J201-J268</f>
        <v>62597719.532734379</v>
      </c>
      <c r="K270" s="295"/>
      <c r="L270" s="336">
        <f>L201-L268</f>
        <v>0</v>
      </c>
      <c r="M270" s="336"/>
      <c r="N270" s="336">
        <f>N201-N268</f>
        <v>0</v>
      </c>
      <c r="O270" s="336">
        <f>O201-O268</f>
        <v>-14000974278.492817</v>
      </c>
      <c r="P270" s="336">
        <f>P201-P268</f>
        <v>0</v>
      </c>
      <c r="Q270" s="336">
        <f>Q201-Q268</f>
        <v>0</v>
      </c>
    </row>
    <row r="271" spans="1:21">
      <c r="A271" s="297"/>
      <c r="B271" s="380"/>
      <c r="D271" s="308"/>
      <c r="E271" s="309"/>
      <c r="F271" s="366"/>
      <c r="G271" s="286"/>
      <c r="H271" s="309"/>
      <c r="I271" s="286"/>
      <c r="J271" s="309"/>
      <c r="K271" s="286"/>
      <c r="L271" s="309"/>
      <c r="M271" s="309"/>
      <c r="N271" s="309"/>
      <c r="O271" s="309"/>
      <c r="P271" s="309"/>
      <c r="Q271" s="309"/>
    </row>
    <row r="272" spans="1:21">
      <c r="A272" s="297"/>
      <c r="B272" s="307" t="s">
        <v>288</v>
      </c>
      <c r="D272" s="313"/>
      <c r="E272" s="301"/>
      <c r="F272" s="302"/>
      <c r="G272" s="286"/>
      <c r="H272" s="301"/>
      <c r="I272" s="286"/>
      <c r="J272" s="301"/>
      <c r="K272" s="286"/>
      <c r="L272" s="301"/>
      <c r="M272" s="309"/>
      <c r="N272" s="301"/>
      <c r="O272" s="301"/>
      <c r="P272" s="301"/>
      <c r="Q272" s="301"/>
    </row>
    <row r="273" spans="1:21">
      <c r="A273" s="306"/>
      <c r="B273" s="307"/>
      <c r="C273" s="279"/>
      <c r="D273" s="308"/>
      <c r="E273" s="301"/>
      <c r="F273" s="302"/>
      <c r="G273" s="286"/>
      <c r="H273" s="301"/>
      <c r="I273" s="286"/>
      <c r="J273" s="301"/>
      <c r="K273" s="286"/>
      <c r="L273" s="301"/>
      <c r="M273" s="309"/>
      <c r="N273" s="301"/>
      <c r="O273" s="301"/>
      <c r="P273" s="301"/>
      <c r="Q273" s="301"/>
    </row>
    <row r="274" spans="1:21">
      <c r="A274" s="297"/>
      <c r="B274" s="307" t="s">
        <v>289</v>
      </c>
      <c r="D274" s="313"/>
      <c r="E274" s="301"/>
      <c r="F274" s="302"/>
      <c r="G274" s="286"/>
      <c r="H274" s="301"/>
      <c r="I274" s="286"/>
      <c r="J274" s="301"/>
      <c r="K274" s="286"/>
      <c r="L274" s="301"/>
      <c r="M274" s="309"/>
      <c r="N274" s="301"/>
      <c r="O274" s="301"/>
      <c r="P274" s="301"/>
      <c r="Q274" s="301"/>
    </row>
    <row r="275" spans="1:21">
      <c r="A275" s="346"/>
      <c r="B275" s="315"/>
      <c r="C275" s="322" t="s">
        <v>290</v>
      </c>
      <c r="D275" s="407"/>
      <c r="E275" s="318">
        <v>2211524</v>
      </c>
      <c r="F275" s="319">
        <v>18088477.41</v>
      </c>
      <c r="G275" s="320"/>
      <c r="H275" s="318"/>
      <c r="I275" s="320"/>
      <c r="J275" s="318">
        <f>'Journal IDR 474'!G9+'Journal IDR 399'!G38+'Journal USD'!J27+'BCA IDR'!G237</f>
        <v>482226.37</v>
      </c>
      <c r="K275" s="320"/>
      <c r="L275" s="318"/>
      <c r="M275" s="321"/>
      <c r="N275" s="318"/>
      <c r="O275" s="318">
        <f>F275+J275-H275+N275-L275</f>
        <v>18570703.780000001</v>
      </c>
      <c r="P275" s="318"/>
      <c r="Q275" s="318"/>
    </row>
    <row r="276" spans="1:21">
      <c r="A276" s="346"/>
      <c r="B276" s="315"/>
      <c r="C276" s="322" t="s">
        <v>751</v>
      </c>
      <c r="D276" s="407"/>
      <c r="E276" s="318">
        <v>0</v>
      </c>
      <c r="F276" s="319">
        <v>0</v>
      </c>
      <c r="G276" s="320"/>
      <c r="H276" s="318"/>
      <c r="I276" s="320"/>
      <c r="J276" s="318"/>
      <c r="K276" s="320"/>
      <c r="L276" s="318"/>
      <c r="M276" s="321"/>
      <c r="N276" s="318"/>
      <c r="O276" s="318">
        <f>F276+J276-H276+N276-L276</f>
        <v>0</v>
      </c>
      <c r="P276" s="318"/>
      <c r="Q276" s="318"/>
    </row>
    <row r="277" spans="1:21">
      <c r="A277" s="348"/>
      <c r="B277" s="414"/>
      <c r="C277" s="350" t="s">
        <v>291</v>
      </c>
      <c r="D277" s="327"/>
      <c r="E277" s="328"/>
      <c r="F277" s="329"/>
      <c r="G277" s="330"/>
      <c r="H277" s="328"/>
      <c r="I277" s="330"/>
      <c r="J277" s="328"/>
      <c r="K277" s="330"/>
      <c r="L277" s="328"/>
      <c r="M277" s="331"/>
      <c r="N277" s="328"/>
      <c r="O277" s="328"/>
      <c r="P277" s="328"/>
      <c r="Q277" s="328"/>
    </row>
    <row r="278" spans="1:21">
      <c r="A278" s="386"/>
      <c r="B278" s="414"/>
      <c r="C278" s="350" t="s">
        <v>292</v>
      </c>
      <c r="D278" s="327"/>
      <c r="E278" s="328">
        <v>-56593034</v>
      </c>
      <c r="F278" s="329">
        <v>0</v>
      </c>
      <c r="G278" s="330"/>
      <c r="H278" s="328"/>
      <c r="I278" s="330"/>
      <c r="J278" s="328"/>
      <c r="K278" s="330"/>
      <c r="L278" s="328"/>
      <c r="M278" s="331"/>
      <c r="N278" s="328"/>
      <c r="O278" s="318">
        <f>F278+J278-H278+N278-L278</f>
        <v>0</v>
      </c>
      <c r="P278" s="328"/>
      <c r="Q278" s="328"/>
    </row>
    <row r="279" spans="1:21" ht="15" thickBot="1">
      <c r="A279" s="417"/>
      <c r="B279" s="418"/>
      <c r="C279" s="387"/>
      <c r="D279" s="371"/>
      <c r="E279" s="372"/>
      <c r="F279" s="373"/>
      <c r="G279" s="388"/>
      <c r="H279" s="372"/>
      <c r="I279" s="388"/>
      <c r="J279" s="372"/>
      <c r="K279" s="388"/>
      <c r="L279" s="372"/>
      <c r="M279" s="389"/>
      <c r="N279" s="372"/>
      <c r="O279" s="372"/>
      <c r="P279" s="372"/>
      <c r="Q279" s="372"/>
    </row>
    <row r="280" spans="1:21" ht="15" thickBot="1">
      <c r="A280" s="351"/>
      <c r="B280" s="333" t="s">
        <v>293</v>
      </c>
      <c r="C280" s="416"/>
      <c r="D280" s="410"/>
      <c r="E280" s="336">
        <f>SUM(E275:E279)</f>
        <v>-54381510</v>
      </c>
      <c r="F280" s="337">
        <f>SUM(F275:F278)</f>
        <v>18088477.41</v>
      </c>
      <c r="G280" s="295"/>
      <c r="H280" s="336">
        <f>SUM(H275:H277)</f>
        <v>0</v>
      </c>
      <c r="I280" s="295"/>
      <c r="J280" s="336">
        <f>SUM(J275:J277)</f>
        <v>482226.37</v>
      </c>
      <c r="K280" s="295"/>
      <c r="L280" s="336">
        <f>SUM(L275:L277)</f>
        <v>0</v>
      </c>
      <c r="M280" s="336"/>
      <c r="N280" s="336">
        <f>SUM(N275:N277)</f>
        <v>0</v>
      </c>
      <c r="O280" s="336">
        <f>SUM(O275:O278)</f>
        <v>18570703.780000001</v>
      </c>
      <c r="P280" s="420">
        <f>SUM(P275:P278)</f>
        <v>0</v>
      </c>
      <c r="Q280" s="420">
        <f>SUM(Q275:Q278)</f>
        <v>0</v>
      </c>
    </row>
    <row r="281" spans="1:21">
      <c r="A281" s="297"/>
      <c r="B281" s="380"/>
      <c r="D281" s="308"/>
      <c r="E281" s="301"/>
      <c r="F281" s="302"/>
      <c r="G281" s="286"/>
      <c r="H281" s="301"/>
      <c r="I281" s="286"/>
      <c r="J281" s="301"/>
      <c r="K281" s="286"/>
      <c r="L281" s="301"/>
      <c r="M281" s="309"/>
      <c r="N281" s="301"/>
      <c r="O281" s="301"/>
      <c r="P281" s="301"/>
      <c r="Q281" s="301"/>
    </row>
    <row r="282" spans="1:21">
      <c r="A282" s="297"/>
      <c r="B282" s="307" t="s">
        <v>294</v>
      </c>
      <c r="D282" s="313"/>
      <c r="E282" s="342"/>
      <c r="F282" s="343"/>
      <c r="G282" s="286"/>
      <c r="H282" s="301"/>
      <c r="I282" s="286"/>
      <c r="J282" s="301"/>
      <c r="K282" s="286"/>
      <c r="L282" s="301"/>
      <c r="M282" s="309"/>
      <c r="N282" s="301"/>
      <c r="O282" s="301"/>
      <c r="P282" s="301"/>
      <c r="Q282" s="301"/>
    </row>
    <row r="283" spans="1:21">
      <c r="A283" s="297"/>
      <c r="B283" s="315"/>
      <c r="C283" s="322" t="s">
        <v>76</v>
      </c>
      <c r="D283" s="407"/>
      <c r="E283" s="435"/>
      <c r="F283" s="349"/>
      <c r="G283" s="320"/>
      <c r="H283" s="318"/>
      <c r="I283" s="320"/>
      <c r="J283" s="318"/>
      <c r="K283" s="320"/>
      <c r="L283" s="318"/>
      <c r="M283" s="321"/>
      <c r="N283" s="318"/>
      <c r="O283" s="318"/>
      <c r="P283" s="318"/>
      <c r="Q283" s="318"/>
      <c r="T283" s="439"/>
      <c r="U283" s="439"/>
    </row>
    <row r="284" spans="1:21">
      <c r="A284" s="297"/>
      <c r="B284" s="315"/>
      <c r="C284" s="322" t="s">
        <v>295</v>
      </c>
      <c r="D284" s="407"/>
      <c r="E284" s="318">
        <v>2241000</v>
      </c>
      <c r="F284" s="473">
        <v>6327275</v>
      </c>
      <c r="G284" s="320"/>
      <c r="H284" s="318">
        <f>'Journal USD'!J11+'Journal USD'!J14+'Journal IDR 474'!F6+'Journal IDR 399'!F7+'Journal IDR 399'!F27+'BCA IDR'!F5+'BCA IDR'!F21+'BCA IDR'!F31+'BCA IDR'!J89+'BCA IDR'!J170+'BCA IDR'!F219+'Journal IDR 399'!F32+'Journal IDR 399'!F35+'BCA IDR'!F234+'Journal IDR 399'!F49</f>
        <v>824650</v>
      </c>
      <c r="I284" s="320"/>
      <c r="J284" s="318"/>
      <c r="K284" s="320"/>
      <c r="L284" s="318"/>
      <c r="M284" s="321"/>
      <c r="N284" s="318"/>
      <c r="O284" s="318">
        <f>F284+H284-J284+L284-N284</f>
        <v>7151925</v>
      </c>
      <c r="P284" s="318">
        <v>0</v>
      </c>
      <c r="Q284" s="318">
        <v>0</v>
      </c>
      <c r="R284" s="441"/>
      <c r="T284" s="280"/>
      <c r="U284" s="280"/>
    </row>
    <row r="285" spans="1:21">
      <c r="A285" s="346"/>
      <c r="B285" s="315"/>
      <c r="C285" s="322" t="s">
        <v>399</v>
      </c>
      <c r="D285" s="407"/>
      <c r="E285" s="318"/>
      <c r="F285" s="319">
        <v>-662869377.58000016</v>
      </c>
      <c r="G285" s="320"/>
      <c r="H285" s="318"/>
      <c r="I285" s="320"/>
      <c r="J285" s="318">
        <f>'Journal USD'!G31+'Journal USD'!J8+'Journal USD'!G38+'Journal USD'!F45</f>
        <v>365898.71999986656</v>
      </c>
      <c r="K285" s="320"/>
      <c r="L285" s="318"/>
      <c r="M285" s="321"/>
      <c r="N285" s="318"/>
      <c r="O285" s="318">
        <f>F285+H285-J285+L285-N285</f>
        <v>-663235276.30000007</v>
      </c>
      <c r="P285" s="318"/>
      <c r="Q285" s="318"/>
      <c r="R285" s="441"/>
      <c r="T285" s="280"/>
      <c r="U285" s="280"/>
    </row>
    <row r="286" spans="1:21">
      <c r="A286" s="346"/>
      <c r="B286" s="315"/>
      <c r="C286" s="322" t="s">
        <v>296</v>
      </c>
      <c r="D286" s="407"/>
      <c r="E286" s="318">
        <v>8620932</v>
      </c>
      <c r="F286" s="473">
        <v>3398500</v>
      </c>
      <c r="G286" s="320"/>
      <c r="H286" s="318">
        <f>'BCA IDR'!F29</f>
        <v>485500</v>
      </c>
      <c r="I286" s="320"/>
      <c r="J286" s="318"/>
      <c r="K286" s="320"/>
      <c r="L286" s="318"/>
      <c r="M286" s="321"/>
      <c r="N286" s="318"/>
      <c r="O286" s="318">
        <f>F286+H286-J286+L286-N286</f>
        <v>3884000</v>
      </c>
      <c r="P286" s="318">
        <v>0</v>
      </c>
      <c r="Q286" s="318">
        <v>0</v>
      </c>
      <c r="T286" s="280"/>
      <c r="U286" s="280"/>
    </row>
    <row r="287" spans="1:21">
      <c r="A287" s="346"/>
      <c r="B287" s="315"/>
      <c r="C287" s="322" t="s">
        <v>319</v>
      </c>
      <c r="D287" s="407"/>
      <c r="E287" s="435">
        <v>1017</v>
      </c>
      <c r="F287" s="473">
        <v>2019</v>
      </c>
      <c r="G287" s="320"/>
      <c r="H287" s="318">
        <f>'BCA IDR'!F42+'BCA IDR'!F98+'BCA IDR'!F213</f>
        <v>236</v>
      </c>
      <c r="I287" s="320"/>
      <c r="J287" s="318"/>
      <c r="K287" s="320"/>
      <c r="L287" s="318"/>
      <c r="M287" s="321"/>
      <c r="N287" s="318"/>
      <c r="O287" s="318">
        <f>F287+H287-J287+L287-N287</f>
        <v>2255</v>
      </c>
      <c r="P287" s="318">
        <v>0</v>
      </c>
      <c r="Q287" s="318">
        <v>0</v>
      </c>
      <c r="T287" s="280"/>
    </row>
    <row r="288" spans="1:21">
      <c r="A288" s="348"/>
      <c r="B288" s="325"/>
      <c r="C288" s="350" t="s">
        <v>297</v>
      </c>
      <c r="D288" s="442"/>
      <c r="E288" s="328"/>
      <c r="F288" s="329">
        <v>0</v>
      </c>
      <c r="G288" s="330"/>
      <c r="H288" s="328"/>
      <c r="I288" s="330"/>
      <c r="J288" s="328"/>
      <c r="K288" s="330"/>
      <c r="L288" s="328"/>
      <c r="M288" s="331"/>
      <c r="N288" s="328"/>
      <c r="O288" s="318">
        <f>F288+H288-J288+L288-N288</f>
        <v>0</v>
      </c>
      <c r="P288" s="328">
        <v>0</v>
      </c>
      <c r="Q288" s="328">
        <v>0</v>
      </c>
      <c r="R288" s="441"/>
      <c r="T288" s="280"/>
      <c r="U288" s="280"/>
    </row>
    <row r="289" spans="1:21" ht="15" thickBot="1">
      <c r="A289" s="417"/>
      <c r="B289" s="418"/>
      <c r="C289" s="387"/>
      <c r="D289" s="371"/>
      <c r="E289" s="372"/>
      <c r="F289" s="373"/>
      <c r="G289" s="388"/>
      <c r="H289" s="372"/>
      <c r="I289" s="388"/>
      <c r="J289" s="372"/>
      <c r="K289" s="388"/>
      <c r="L289" s="372"/>
      <c r="M289" s="389"/>
      <c r="N289" s="372"/>
      <c r="O289" s="372"/>
      <c r="P289" s="372"/>
      <c r="Q289" s="372"/>
      <c r="T289" s="280"/>
      <c r="U289" s="280"/>
    </row>
    <row r="290" spans="1:21" ht="15" thickBot="1">
      <c r="A290" s="351"/>
      <c r="B290" s="333" t="s">
        <v>298</v>
      </c>
      <c r="C290" s="416"/>
      <c r="D290" s="410"/>
      <c r="E290" s="336">
        <f>SUM(E283:E289)</f>
        <v>10862949</v>
      </c>
      <c r="F290" s="337">
        <f>SUM(F283:F289)</f>
        <v>-653141583.58000016</v>
      </c>
      <c r="G290" s="295"/>
      <c r="H290" s="336">
        <f>SUM(H283:H289)</f>
        <v>1310386</v>
      </c>
      <c r="I290" s="295"/>
      <c r="J290" s="336">
        <f>SUM(J283:J289)</f>
        <v>365898.71999986656</v>
      </c>
      <c r="K290" s="295"/>
      <c r="L290" s="336">
        <f>SUM(L283:L289)</f>
        <v>0</v>
      </c>
      <c r="M290" s="336"/>
      <c r="N290" s="336">
        <f>SUM(N283:N289)</f>
        <v>0</v>
      </c>
      <c r="O290" s="336">
        <f>SUM(O283:O289)</f>
        <v>-652197096.30000007</v>
      </c>
      <c r="P290" s="420">
        <f>SUM(P283:P289)</f>
        <v>0</v>
      </c>
      <c r="Q290" s="420">
        <f>SUM(Q283:Q289)</f>
        <v>0</v>
      </c>
      <c r="T290" s="280"/>
      <c r="U290" s="280"/>
    </row>
    <row r="291" spans="1:21" ht="15" thickBot="1">
      <c r="A291" s="297"/>
      <c r="B291" s="380"/>
      <c r="D291" s="308"/>
      <c r="E291" s="422"/>
      <c r="F291" s="421"/>
      <c r="G291" s="286"/>
      <c r="H291" s="301"/>
      <c r="I291" s="286"/>
      <c r="J291" s="301"/>
      <c r="K291" s="286"/>
      <c r="L291" s="301"/>
      <c r="M291" s="309"/>
      <c r="N291" s="301"/>
      <c r="O291" s="301"/>
      <c r="P291" s="301"/>
      <c r="Q291" s="301"/>
    </row>
    <row r="292" spans="1:21" ht="15" thickBot="1">
      <c r="A292" s="351"/>
      <c r="B292" s="333" t="s">
        <v>299</v>
      </c>
      <c r="C292" s="416"/>
      <c r="D292" s="410"/>
      <c r="E292" s="336">
        <f>+E280-E290</f>
        <v>-65244459</v>
      </c>
      <c r="F292" s="337">
        <f>+F280-F290</f>
        <v>671230060.99000013</v>
      </c>
      <c r="G292" s="295"/>
      <c r="H292" s="336">
        <f>+H280-H290</f>
        <v>-1310386</v>
      </c>
      <c r="I292" s="295"/>
      <c r="J292" s="336">
        <f>+J280-J290</f>
        <v>116327.65000013344</v>
      </c>
      <c r="K292" s="295"/>
      <c r="L292" s="336">
        <f>+L280-L290</f>
        <v>0</v>
      </c>
      <c r="M292" s="336"/>
      <c r="N292" s="336">
        <f>+N280-N290</f>
        <v>0</v>
      </c>
      <c r="O292" s="336">
        <f>+O280-O290</f>
        <v>670767800.08000004</v>
      </c>
      <c r="P292" s="336">
        <f>+P280-P290</f>
        <v>0</v>
      </c>
      <c r="Q292" s="336">
        <f>+Q280-Q290</f>
        <v>0</v>
      </c>
    </row>
    <row r="293" spans="1:21" ht="15" thickBot="1">
      <c r="A293" s="297"/>
      <c r="B293" s="380"/>
      <c r="D293" s="308"/>
      <c r="E293" s="422"/>
      <c r="F293" s="421"/>
      <c r="G293" s="286"/>
      <c r="H293" s="422"/>
      <c r="I293" s="286"/>
      <c r="J293" s="422"/>
      <c r="K293" s="286"/>
      <c r="L293" s="422"/>
      <c r="M293" s="309"/>
      <c r="N293" s="422"/>
      <c r="O293" s="422"/>
      <c r="P293" s="422"/>
      <c r="Q293" s="422"/>
    </row>
    <row r="294" spans="1:21" ht="15" thickBot="1">
      <c r="A294" s="332"/>
      <c r="B294" s="333" t="s">
        <v>300</v>
      </c>
      <c r="C294" s="334"/>
      <c r="D294" s="410"/>
      <c r="E294" s="336">
        <f>+E270+E292</f>
        <v>1120091001</v>
      </c>
      <c r="F294" s="337">
        <f>+F270+F292</f>
        <v>-12355110328.809122</v>
      </c>
      <c r="G294" s="295"/>
      <c r="H294" s="336">
        <f>+H270+H292</f>
        <v>-911555432.28266215</v>
      </c>
      <c r="I294" s="295"/>
      <c r="J294" s="336">
        <f>+J270+J292</f>
        <v>62714047.182734512</v>
      </c>
      <c r="K294" s="295"/>
      <c r="L294" s="336">
        <f>+L270+L292</f>
        <v>0</v>
      </c>
      <c r="M294" s="336"/>
      <c r="N294" s="336">
        <f>+N270+N292</f>
        <v>0</v>
      </c>
      <c r="O294" s="336">
        <f>+O270+O292</f>
        <v>-13330206478.412817</v>
      </c>
      <c r="P294" s="336">
        <f>+P270+P292</f>
        <v>0</v>
      </c>
      <c r="Q294" s="336">
        <f>+Q270+Q292</f>
        <v>0</v>
      </c>
    </row>
    <row r="295" spans="1:21">
      <c r="A295" s="306"/>
      <c r="B295" s="307"/>
      <c r="C295" s="279"/>
      <c r="D295" s="313"/>
      <c r="E295" s="309"/>
      <c r="F295" s="366"/>
      <c r="G295" s="286"/>
      <c r="H295" s="309"/>
      <c r="I295" s="286"/>
      <c r="J295" s="309"/>
      <c r="K295" s="286"/>
      <c r="L295" s="301"/>
      <c r="M295" s="309"/>
      <c r="N295" s="301"/>
      <c r="O295" s="301"/>
      <c r="P295" s="301"/>
      <c r="Q295" s="301"/>
    </row>
    <row r="296" spans="1:21">
      <c r="A296" s="297"/>
      <c r="B296" s="307" t="s">
        <v>301</v>
      </c>
      <c r="D296" s="443"/>
      <c r="E296" s="309"/>
      <c r="F296" s="366"/>
      <c r="G296" s="286"/>
      <c r="H296" s="309"/>
      <c r="I296" s="286"/>
      <c r="J296" s="309"/>
      <c r="K296" s="286"/>
      <c r="L296" s="301"/>
      <c r="M296" s="309"/>
      <c r="N296" s="301"/>
      <c r="O296" s="301"/>
      <c r="P296" s="301"/>
      <c r="Q296" s="301"/>
    </row>
    <row r="297" spans="1:21">
      <c r="A297" s="444"/>
      <c r="B297" s="445"/>
      <c r="C297" s="446" t="s">
        <v>302</v>
      </c>
      <c r="D297" s="447"/>
      <c r="E297" s="318"/>
      <c r="F297" s="319"/>
      <c r="G297" s="320"/>
      <c r="H297" s="318"/>
      <c r="I297" s="320"/>
      <c r="J297" s="321"/>
      <c r="K297" s="320"/>
      <c r="L297" s="318"/>
      <c r="M297" s="321"/>
      <c r="N297" s="318"/>
      <c r="O297" s="318">
        <f>F297+J297+N297-H297-L297</f>
        <v>0</v>
      </c>
      <c r="P297" s="318">
        <v>0</v>
      </c>
      <c r="Q297" s="318">
        <v>0</v>
      </c>
    </row>
    <row r="298" spans="1:21">
      <c r="A298" s="444"/>
      <c r="B298" s="445"/>
      <c r="C298" s="446" t="s">
        <v>303</v>
      </c>
      <c r="D298" s="447"/>
      <c r="E298" s="435">
        <v>-22466536</v>
      </c>
      <c r="F298" s="349"/>
      <c r="G298" s="320" t="s">
        <v>199</v>
      </c>
      <c r="H298" s="321"/>
      <c r="I298" s="320"/>
      <c r="J298" s="321"/>
      <c r="K298" s="320"/>
      <c r="L298" s="318"/>
      <c r="M298" s="321"/>
      <c r="N298" s="318"/>
      <c r="O298" s="318">
        <f>F298+J298+N298-H298-L298</f>
        <v>0</v>
      </c>
      <c r="P298" s="318">
        <v>0</v>
      </c>
      <c r="Q298" s="318">
        <v>0</v>
      </c>
    </row>
    <row r="299" spans="1:21">
      <c r="A299" s="444"/>
      <c r="B299" s="445"/>
      <c r="C299" s="446" t="s">
        <v>304</v>
      </c>
      <c r="D299" s="447"/>
      <c r="E299" s="318"/>
      <c r="F299" s="319"/>
      <c r="G299" s="320"/>
      <c r="H299" s="318"/>
      <c r="I299" s="320"/>
      <c r="J299" s="318"/>
      <c r="K299" s="320"/>
      <c r="L299" s="318"/>
      <c r="M299" s="321"/>
      <c r="N299" s="318"/>
      <c r="O299" s="318">
        <f>F299+J299+N299-H299-L299</f>
        <v>0</v>
      </c>
      <c r="P299" s="318">
        <v>0</v>
      </c>
      <c r="Q299" s="318">
        <v>0</v>
      </c>
    </row>
    <row r="300" spans="1:21" ht="15" thickBot="1">
      <c r="A300" s="297"/>
      <c r="B300" s="380"/>
      <c r="D300" s="308"/>
      <c r="E300" s="301"/>
      <c r="F300" s="302"/>
      <c r="G300" s="286"/>
      <c r="H300" s="301"/>
      <c r="I300" s="286"/>
      <c r="J300" s="301"/>
      <c r="K300" s="286"/>
      <c r="L300" s="301"/>
      <c r="M300" s="309"/>
      <c r="N300" s="301"/>
      <c r="O300" s="301"/>
      <c r="P300" s="301"/>
      <c r="Q300" s="301"/>
    </row>
    <row r="301" spans="1:21" ht="15" thickBot="1">
      <c r="A301" s="332"/>
      <c r="B301" s="333" t="s">
        <v>305</v>
      </c>
      <c r="C301" s="334"/>
      <c r="D301" s="410"/>
      <c r="E301" s="336">
        <f>SUM(E297:E300)</f>
        <v>-22466536</v>
      </c>
      <c r="F301" s="337">
        <f>SUM(F297:F300)</f>
        <v>0</v>
      </c>
      <c r="G301" s="295"/>
      <c r="H301" s="336">
        <f>SUM(H297:H300)</f>
        <v>0</v>
      </c>
      <c r="I301" s="295"/>
      <c r="J301" s="336">
        <f>SUM(J297:J300)</f>
        <v>0</v>
      </c>
      <c r="K301" s="295"/>
      <c r="L301" s="336">
        <f>SUM(L297:L300)</f>
        <v>0</v>
      </c>
      <c r="M301" s="336"/>
      <c r="N301" s="336">
        <f>SUM(N297:N300)</f>
        <v>0</v>
      </c>
      <c r="O301" s="336">
        <f>SUM(O297:O300)</f>
        <v>0</v>
      </c>
      <c r="P301" s="336">
        <f>SUM(P297:P300)</f>
        <v>0</v>
      </c>
      <c r="Q301" s="336">
        <f>SUM(Q297:Q300)</f>
        <v>0</v>
      </c>
    </row>
    <row r="302" spans="1:21" s="279" customFormat="1" ht="15" thickBot="1">
      <c r="A302" s="306"/>
      <c r="B302" s="307"/>
      <c r="D302" s="313"/>
      <c r="E302" s="309"/>
      <c r="F302" s="366"/>
      <c r="G302" s="286"/>
      <c r="H302" s="309"/>
      <c r="I302" s="286"/>
      <c r="J302" s="309"/>
      <c r="K302" s="286"/>
      <c r="L302" s="309"/>
      <c r="M302" s="309"/>
      <c r="N302" s="309"/>
      <c r="O302" s="309"/>
      <c r="P302" s="309"/>
      <c r="Q302" s="309"/>
      <c r="R302" s="448"/>
      <c r="S302" s="292"/>
    </row>
    <row r="303" spans="1:21" s="279" customFormat="1" ht="15" thickBot="1">
      <c r="A303" s="332"/>
      <c r="B303" s="333" t="s">
        <v>306</v>
      </c>
      <c r="C303" s="334"/>
      <c r="D303" s="410"/>
      <c r="E303" s="336">
        <f>E294+E301</f>
        <v>1097624465</v>
      </c>
      <c r="F303" s="337">
        <f>F294+F301</f>
        <v>-12355110328.809122</v>
      </c>
      <c r="G303" s="295"/>
      <c r="H303" s="336">
        <f>H294+H301</f>
        <v>-911555432.28266215</v>
      </c>
      <c r="I303" s="295"/>
      <c r="J303" s="336">
        <f>J294+J301</f>
        <v>62714047.182734512</v>
      </c>
      <c r="K303" s="295"/>
      <c r="L303" s="336">
        <f>L294+L301</f>
        <v>0</v>
      </c>
      <c r="M303" s="336"/>
      <c r="N303" s="336">
        <f>N294+N301</f>
        <v>0</v>
      </c>
      <c r="O303" s="336">
        <f>O294+O301</f>
        <v>-13330206478.412817</v>
      </c>
      <c r="P303" s="336">
        <f>P294+P301</f>
        <v>0</v>
      </c>
      <c r="Q303" s="336">
        <f>Q294+Q301</f>
        <v>0</v>
      </c>
      <c r="R303" s="448"/>
      <c r="S303" s="292"/>
    </row>
    <row r="304" spans="1:21" s="279" customFormat="1">
      <c r="A304" s="306"/>
      <c r="B304" s="307"/>
      <c r="D304" s="313"/>
      <c r="E304" s="309"/>
      <c r="F304" s="366"/>
      <c r="G304" s="286"/>
      <c r="H304" s="309"/>
      <c r="I304" s="286"/>
      <c r="J304" s="309"/>
      <c r="K304" s="286"/>
      <c r="L304" s="309"/>
      <c r="M304" s="309"/>
      <c r="N304" s="309"/>
      <c r="O304" s="309"/>
      <c r="P304" s="309"/>
      <c r="Q304" s="309"/>
      <c r="R304" s="448"/>
      <c r="S304" s="292"/>
    </row>
    <row r="305" spans="1:19" s="279" customFormat="1">
      <c r="A305" s="314"/>
      <c r="B305" s="315" t="s">
        <v>307</v>
      </c>
      <c r="C305" s="316"/>
      <c r="D305" s="407"/>
      <c r="E305" s="321"/>
      <c r="F305" s="408"/>
      <c r="G305" s="320"/>
      <c r="H305" s="321"/>
      <c r="I305" s="320"/>
      <c r="J305" s="321"/>
      <c r="K305" s="320"/>
      <c r="L305" s="321"/>
      <c r="M305" s="321"/>
      <c r="N305" s="321"/>
      <c r="O305" s="321"/>
      <c r="P305" s="449"/>
      <c r="Q305" s="449"/>
      <c r="R305" s="448"/>
      <c r="S305" s="292"/>
    </row>
    <row r="306" spans="1:19" s="279" customFormat="1">
      <c r="A306" s="314"/>
      <c r="B306" s="382" t="s">
        <v>308</v>
      </c>
      <c r="C306" s="316"/>
      <c r="D306" s="407"/>
      <c r="E306" s="321"/>
      <c r="F306" s="408"/>
      <c r="G306" s="320"/>
      <c r="H306" s="318"/>
      <c r="I306" s="320"/>
      <c r="J306" s="318"/>
      <c r="K306" s="320"/>
      <c r="L306" s="321"/>
      <c r="M306" s="321"/>
      <c r="N306" s="321"/>
      <c r="O306" s="318">
        <f>F306+J306+N306-H306-L306</f>
        <v>0</v>
      </c>
      <c r="P306" s="318">
        <v>0</v>
      </c>
      <c r="Q306" s="318">
        <v>0</v>
      </c>
      <c r="R306" s="448"/>
      <c r="S306" s="292"/>
    </row>
    <row r="307" spans="1:19" s="279" customFormat="1">
      <c r="A307" s="314"/>
      <c r="B307" s="382" t="s">
        <v>309</v>
      </c>
      <c r="C307" s="316"/>
      <c r="D307" s="407"/>
      <c r="E307" s="321"/>
      <c r="F307" s="408"/>
      <c r="G307" s="320"/>
      <c r="H307" s="318"/>
      <c r="I307" s="320"/>
      <c r="J307" s="318"/>
      <c r="K307" s="320"/>
      <c r="L307" s="321"/>
      <c r="M307" s="321"/>
      <c r="N307" s="321"/>
      <c r="O307" s="318">
        <f>F307+J307+N307-H307-L307</f>
        <v>0</v>
      </c>
      <c r="P307" s="318">
        <v>0</v>
      </c>
      <c r="Q307" s="318">
        <v>0</v>
      </c>
      <c r="R307" s="448"/>
      <c r="S307" s="292"/>
    </row>
    <row r="308" spans="1:19" s="279" customFormat="1" ht="15" thickBot="1">
      <c r="A308" s="324"/>
      <c r="B308" s="414"/>
      <c r="C308" s="326"/>
      <c r="D308" s="442"/>
      <c r="E308" s="331"/>
      <c r="F308" s="450"/>
      <c r="G308" s="330"/>
      <c r="H308" s="331"/>
      <c r="I308" s="330"/>
      <c r="J308" s="331"/>
      <c r="K308" s="330"/>
      <c r="L308" s="331"/>
      <c r="M308" s="331"/>
      <c r="N308" s="331"/>
      <c r="O308" s="328"/>
      <c r="P308" s="328"/>
      <c r="Q308" s="328"/>
      <c r="R308" s="448"/>
      <c r="S308" s="292"/>
    </row>
    <row r="309" spans="1:19" s="279" customFormat="1" ht="15" thickBot="1">
      <c r="A309" s="332"/>
      <c r="B309" s="333" t="s">
        <v>310</v>
      </c>
      <c r="C309" s="334"/>
      <c r="D309" s="410"/>
      <c r="E309" s="336">
        <f>SUM(E305:E308)</f>
        <v>0</v>
      </c>
      <c r="F309" s="337">
        <f>SUM(F305:F308)</f>
        <v>0</v>
      </c>
      <c r="G309" s="295"/>
      <c r="H309" s="336">
        <f>SUM(H305:H308)</f>
        <v>0</v>
      </c>
      <c r="I309" s="295"/>
      <c r="J309" s="336">
        <f>SUM(J305:J308)</f>
        <v>0</v>
      </c>
      <c r="K309" s="295"/>
      <c r="L309" s="336">
        <f>SUM(L305:L308)</f>
        <v>0</v>
      </c>
      <c r="M309" s="336"/>
      <c r="N309" s="336">
        <f>SUM(N305:N308)</f>
        <v>0</v>
      </c>
      <c r="O309" s="336">
        <f>SUM(O305:O308)</f>
        <v>0</v>
      </c>
      <c r="P309" s="336">
        <f>SUM(P305:P308)</f>
        <v>0</v>
      </c>
      <c r="Q309" s="336">
        <f>SUM(Q305:Q308)</f>
        <v>0</v>
      </c>
      <c r="R309" s="448"/>
      <c r="S309" s="292"/>
    </row>
    <row r="310" spans="1:19" s="279" customFormat="1" ht="15" thickBot="1">
      <c r="A310" s="357"/>
      <c r="B310" s="412"/>
      <c r="C310" s="376"/>
      <c r="D310" s="403"/>
      <c r="E310" s="378"/>
      <c r="F310" s="379"/>
      <c r="G310" s="294"/>
      <c r="H310" s="378"/>
      <c r="I310" s="294"/>
      <c r="J310" s="378"/>
      <c r="K310" s="294"/>
      <c r="L310" s="378"/>
      <c r="M310" s="378"/>
      <c r="N310" s="378"/>
      <c r="O310" s="378"/>
      <c r="P310" s="451"/>
      <c r="Q310" s="451"/>
      <c r="R310" s="448"/>
      <c r="S310" s="292"/>
    </row>
    <row r="311" spans="1:19" s="279" customFormat="1">
      <c r="A311" s="297"/>
      <c r="B311" s="380"/>
      <c r="C311" s="272"/>
      <c r="D311" s="308"/>
      <c r="E311" s="301"/>
      <c r="F311" s="302"/>
      <c r="G311" s="286"/>
      <c r="H311" s="301"/>
      <c r="I311" s="286"/>
      <c r="J311" s="301"/>
      <c r="K311" s="286"/>
      <c r="L311" s="301"/>
      <c r="M311" s="309"/>
      <c r="N311" s="301"/>
      <c r="O311" s="301"/>
      <c r="P311" s="452"/>
      <c r="Q311" s="452"/>
      <c r="R311" s="448"/>
      <c r="S311" s="292"/>
    </row>
    <row r="312" spans="1:19" ht="15" thickBot="1">
      <c r="A312" s="357"/>
      <c r="B312" s="375" t="s">
        <v>311</v>
      </c>
      <c r="C312" s="376"/>
      <c r="D312" s="403"/>
      <c r="E312" s="378">
        <f>E303+E309</f>
        <v>1097624465</v>
      </c>
      <c r="F312" s="379">
        <f>F303+F309</f>
        <v>-12355110328.809122</v>
      </c>
      <c r="G312" s="294"/>
      <c r="H312" s="378">
        <f>H303+H309</f>
        <v>-911555432.28266215</v>
      </c>
      <c r="I312" s="294"/>
      <c r="J312" s="378">
        <f>J303+J309</f>
        <v>62714047.182734512</v>
      </c>
      <c r="K312" s="294"/>
      <c r="L312" s="378">
        <f>L303+L309</f>
        <v>0</v>
      </c>
      <c r="M312" s="378"/>
      <c r="N312" s="378">
        <f>N303+N309</f>
        <v>0</v>
      </c>
      <c r="O312" s="378">
        <f>O303+O309</f>
        <v>-13330206478.412817</v>
      </c>
      <c r="P312" s="378">
        <f>P303+P309</f>
        <v>0</v>
      </c>
      <c r="Q312" s="378">
        <f>Q303+Q309</f>
        <v>0</v>
      </c>
    </row>
    <row r="315" spans="1:19" ht="12.75" customHeight="1">
      <c r="Q315" s="453"/>
    </row>
    <row r="316" spans="1:19" ht="12.75" customHeight="1">
      <c r="D316" s="454" t="s">
        <v>312</v>
      </c>
      <c r="P316" s="455"/>
    </row>
    <row r="317" spans="1:19" ht="12.75" customHeight="1">
      <c r="D317" s="454" t="s">
        <v>313</v>
      </c>
      <c r="P317" s="455"/>
    </row>
    <row r="318" spans="1:19" ht="12.75" customHeight="1">
      <c r="D318" s="454"/>
      <c r="P318" s="455"/>
    </row>
    <row r="319" spans="1:19" ht="12.75" customHeight="1">
      <c r="D319" s="454" t="s">
        <v>314</v>
      </c>
      <c r="P319" s="455"/>
    </row>
    <row r="320" spans="1:19" ht="12.75" customHeight="1"/>
    <row r="321" spans="7:17" ht="12.75" customHeight="1"/>
    <row r="336" spans="7:17">
      <c r="G336" s="273"/>
      <c r="I336" s="273"/>
      <c r="K336" s="276"/>
      <c r="P336" s="272"/>
      <c r="Q336" s="272"/>
    </row>
    <row r="337" spans="7:17">
      <c r="G337" s="273"/>
      <c r="I337" s="273"/>
      <c r="K337" s="276"/>
      <c r="P337" s="272"/>
      <c r="Q337" s="272"/>
    </row>
    <row r="338" spans="7:17">
      <c r="G338" s="273"/>
      <c r="I338" s="273"/>
      <c r="K338" s="276"/>
      <c r="P338" s="272"/>
      <c r="Q338" s="272"/>
    </row>
    <row r="339" spans="7:17">
      <c r="G339" s="273"/>
      <c r="I339" s="273"/>
      <c r="K339" s="276"/>
      <c r="P339" s="272"/>
      <c r="Q339" s="272"/>
    </row>
    <row r="340" spans="7:17">
      <c r="G340" s="273"/>
      <c r="I340" s="273"/>
      <c r="K340" s="276"/>
      <c r="P340" s="272"/>
      <c r="Q340" s="272"/>
    </row>
    <row r="341" spans="7:17">
      <c r="G341" s="273"/>
      <c r="I341" s="273"/>
      <c r="K341" s="276"/>
      <c r="P341" s="272"/>
      <c r="Q341" s="272"/>
    </row>
    <row r="342" spans="7:17">
      <c r="G342" s="273"/>
      <c r="I342" s="273"/>
      <c r="K342" s="276"/>
      <c r="P342" s="272"/>
      <c r="Q342" s="272"/>
    </row>
    <row r="343" spans="7:17">
      <c r="G343" s="273"/>
      <c r="I343" s="273"/>
      <c r="K343" s="276"/>
      <c r="P343" s="272"/>
      <c r="Q343" s="272"/>
    </row>
    <row r="344" spans="7:17">
      <c r="G344" s="273"/>
      <c r="I344" s="273"/>
      <c r="K344" s="276"/>
      <c r="P344" s="272"/>
      <c r="Q344" s="272"/>
    </row>
    <row r="345" spans="7:17">
      <c r="G345" s="273"/>
      <c r="I345" s="273"/>
      <c r="K345" s="276"/>
      <c r="P345" s="272"/>
      <c r="Q345" s="272"/>
    </row>
    <row r="346" spans="7:17">
      <c r="G346" s="273"/>
      <c r="I346" s="273"/>
      <c r="K346" s="276"/>
      <c r="P346" s="272"/>
      <c r="Q346" s="272"/>
    </row>
    <row r="347" spans="7:17">
      <c r="G347" s="273"/>
      <c r="I347" s="273"/>
      <c r="K347" s="276"/>
      <c r="P347" s="272"/>
      <c r="Q347" s="272"/>
    </row>
    <row r="348" spans="7:17">
      <c r="G348" s="273"/>
      <c r="I348" s="273"/>
      <c r="K348" s="276"/>
      <c r="P348" s="272"/>
      <c r="Q348" s="272"/>
    </row>
    <row r="349" spans="7:17">
      <c r="G349" s="273"/>
      <c r="I349" s="273"/>
      <c r="K349" s="276"/>
      <c r="P349" s="272"/>
      <c r="Q349" s="272"/>
    </row>
    <row r="350" spans="7:17">
      <c r="G350" s="273"/>
      <c r="I350" s="273"/>
      <c r="K350" s="276"/>
      <c r="P350" s="272"/>
      <c r="Q350" s="272"/>
    </row>
    <row r="351" spans="7:17">
      <c r="G351" s="273"/>
      <c r="I351" s="273"/>
      <c r="K351" s="276"/>
      <c r="P351" s="272"/>
      <c r="Q351" s="272"/>
    </row>
    <row r="352" spans="7:17">
      <c r="G352" s="273"/>
      <c r="I352" s="273"/>
      <c r="K352" s="276"/>
      <c r="P352" s="272"/>
      <c r="Q352" s="272"/>
    </row>
    <row r="353" spans="7:17">
      <c r="G353" s="273"/>
      <c r="I353" s="273"/>
      <c r="K353" s="276"/>
      <c r="P353" s="272"/>
      <c r="Q353" s="272"/>
    </row>
    <row r="354" spans="7:17">
      <c r="G354" s="273"/>
      <c r="I354" s="273"/>
      <c r="K354" s="276"/>
      <c r="P354" s="272"/>
      <c r="Q354" s="272"/>
    </row>
    <row r="355" spans="7:17">
      <c r="G355" s="273"/>
      <c r="I355" s="273"/>
      <c r="K355" s="276"/>
      <c r="P355" s="272"/>
      <c r="Q355" s="272"/>
    </row>
    <row r="356" spans="7:17">
      <c r="G356" s="273"/>
      <c r="I356" s="273"/>
      <c r="K356" s="276"/>
      <c r="P356" s="272"/>
      <c r="Q356" s="272"/>
    </row>
    <row r="357" spans="7:17">
      <c r="G357" s="273"/>
      <c r="I357" s="273"/>
      <c r="K357" s="276"/>
      <c r="P357" s="272"/>
      <c r="Q357" s="272"/>
    </row>
    <row r="358" spans="7:17">
      <c r="G358" s="273"/>
      <c r="I358" s="273"/>
      <c r="K358" s="276"/>
      <c r="P358" s="272"/>
      <c r="Q358" s="272"/>
    </row>
    <row r="359" spans="7:17">
      <c r="G359" s="273"/>
      <c r="I359" s="273"/>
      <c r="K359" s="276"/>
      <c r="P359" s="272"/>
      <c r="Q359" s="272"/>
    </row>
    <row r="360" spans="7:17">
      <c r="G360" s="273"/>
      <c r="I360" s="273"/>
      <c r="K360" s="276"/>
      <c r="P360" s="272"/>
      <c r="Q360" s="272"/>
    </row>
    <row r="361" spans="7:17">
      <c r="G361" s="273"/>
      <c r="I361" s="273"/>
      <c r="K361" s="276"/>
      <c r="P361" s="272"/>
      <c r="Q361" s="272"/>
    </row>
    <row r="362" spans="7:17">
      <c r="G362" s="273"/>
      <c r="I362" s="273"/>
      <c r="K362" s="276"/>
      <c r="P362" s="272"/>
      <c r="Q362" s="272"/>
    </row>
  </sheetData>
  <dataConsolidate/>
  <mergeCells count="5">
    <mergeCell ref="A6:A8"/>
    <mergeCell ref="B6:D8"/>
    <mergeCell ref="G6:N6"/>
    <mergeCell ref="G7:J7"/>
    <mergeCell ref="K7:N7"/>
  </mergeCells>
  <pageMargins left="0.17" right="0.17" top="0.34" bottom="0.51" header="0.33" footer="0.5"/>
  <pageSetup paperSize="9" scale="60" orientation="portrait" verticalDpi="200" r:id="rId1"/>
  <headerFooter alignWithMargins="0"/>
  <rowBreaks count="1" manualBreakCount="1">
    <brk id="167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N94"/>
  <sheetViews>
    <sheetView zoomScale="90" zoomScaleNormal="90" workbookViewId="0">
      <selection activeCell="L48" sqref="L48"/>
    </sheetView>
  </sheetViews>
  <sheetFormatPr defaultRowHeight="12"/>
  <cols>
    <col min="1" max="1" width="11.28515625" style="123" customWidth="1"/>
    <col min="2" max="3" width="9.140625" style="123"/>
    <col min="4" max="5" width="15.7109375" style="123" customWidth="1"/>
    <col min="6" max="7" width="15.7109375" style="129" customWidth="1"/>
    <col min="8" max="8" width="32.140625" style="129" customWidth="1"/>
    <col min="9" max="10" width="15" style="129" bestFit="1" customWidth="1"/>
    <col min="11" max="11" width="31" style="129" customWidth="1"/>
    <col min="12" max="12" width="15.7109375" style="123" bestFit="1" customWidth="1"/>
    <col min="13" max="13" width="12.85546875" style="123" bestFit="1" customWidth="1"/>
    <col min="14" max="14" width="12" style="123" bestFit="1" customWidth="1"/>
    <col min="15" max="16384" width="9.140625" style="123"/>
  </cols>
  <sheetData>
    <row r="1" spans="1:12">
      <c r="A1" s="119" t="s">
        <v>347</v>
      </c>
      <c r="B1" s="120"/>
      <c r="C1" s="120"/>
      <c r="D1" s="120"/>
      <c r="E1" s="120"/>
      <c r="F1" s="121"/>
      <c r="G1" s="121"/>
      <c r="H1" s="121"/>
    </row>
    <row r="2" spans="1:12">
      <c r="A2" s="119" t="s">
        <v>344</v>
      </c>
      <c r="B2" s="120"/>
      <c r="C2" s="120"/>
      <c r="D2" s="120"/>
      <c r="E2" s="120"/>
      <c r="F2" s="121"/>
      <c r="G2" s="121"/>
      <c r="H2" s="121"/>
    </row>
    <row r="3" spans="1:12">
      <c r="A3" s="120" t="s">
        <v>350</v>
      </c>
      <c r="B3" s="120"/>
      <c r="C3" s="120"/>
      <c r="D3" s="120"/>
      <c r="E3" s="120"/>
      <c r="F3" s="121"/>
      <c r="G3" s="121"/>
      <c r="H3" s="121"/>
    </row>
    <row r="4" spans="1:12">
      <c r="A4" s="120"/>
      <c r="B4" s="120"/>
      <c r="C4" s="120"/>
      <c r="D4" s="120" t="s">
        <v>148</v>
      </c>
      <c r="E4" s="120" t="s">
        <v>149</v>
      </c>
      <c r="F4" s="121"/>
      <c r="G4" s="121"/>
      <c r="H4" s="121"/>
      <c r="I4" s="133" t="s">
        <v>352</v>
      </c>
      <c r="L4" s="469"/>
    </row>
    <row r="5" spans="1:12">
      <c r="D5" s="122"/>
      <c r="E5" s="122"/>
      <c r="F5" s="121"/>
      <c r="G5" s="121"/>
      <c r="H5" s="121"/>
    </row>
    <row r="6" spans="1:12">
      <c r="A6" s="546" t="s">
        <v>872</v>
      </c>
      <c r="B6" s="120" t="s">
        <v>873</v>
      </c>
      <c r="D6" s="562" t="s">
        <v>762</v>
      </c>
      <c r="E6" s="562"/>
      <c r="F6" s="556">
        <v>6420</v>
      </c>
      <c r="G6" s="556"/>
      <c r="H6" s="556" t="s">
        <v>871</v>
      </c>
      <c r="I6" s="560">
        <v>14905</v>
      </c>
      <c r="J6" s="560">
        <f>F6*I6</f>
        <v>95690100</v>
      </c>
      <c r="K6" s="559"/>
    </row>
    <row r="7" spans="1:12">
      <c r="D7" s="562"/>
      <c r="E7" s="562" t="s">
        <v>763</v>
      </c>
      <c r="F7" s="556"/>
      <c r="G7" s="556">
        <v>642</v>
      </c>
      <c r="H7" s="556" t="s">
        <v>764</v>
      </c>
      <c r="I7" s="560">
        <v>14864</v>
      </c>
      <c r="J7" s="560">
        <f>G7*I7</f>
        <v>9542688</v>
      </c>
      <c r="K7" s="566"/>
    </row>
    <row r="8" spans="1:12">
      <c r="D8" s="562" t="s">
        <v>765</v>
      </c>
      <c r="E8" s="562"/>
      <c r="F8" s="556"/>
      <c r="G8" s="556"/>
      <c r="H8" s="556" t="s">
        <v>766</v>
      </c>
      <c r="I8" s="560"/>
      <c r="J8" s="560">
        <f>J6-J7-J9</f>
        <v>26322</v>
      </c>
    </row>
    <row r="9" spans="1:12">
      <c r="D9" s="562"/>
      <c r="E9" s="123" t="s">
        <v>660</v>
      </c>
      <c r="F9" s="556"/>
      <c r="G9" s="556">
        <f>F6-G7</f>
        <v>5778</v>
      </c>
      <c r="H9" s="556" t="s">
        <v>871</v>
      </c>
      <c r="I9" s="560">
        <v>14905</v>
      </c>
      <c r="J9" s="560">
        <f>G9*I9</f>
        <v>86121090</v>
      </c>
    </row>
    <row r="10" spans="1:12">
      <c r="D10" s="562"/>
      <c r="E10" s="562"/>
      <c r="F10" s="556"/>
      <c r="G10" s="556"/>
      <c r="H10" s="556"/>
      <c r="I10" s="560"/>
      <c r="J10" s="560"/>
    </row>
    <row r="11" spans="1:12">
      <c r="A11" s="546" t="s">
        <v>872</v>
      </c>
      <c r="B11" s="120" t="s">
        <v>874</v>
      </c>
      <c r="D11" s="562" t="s">
        <v>767</v>
      </c>
      <c r="E11" s="562"/>
      <c r="F11" s="556">
        <v>20</v>
      </c>
      <c r="G11" s="556"/>
      <c r="H11" s="556" t="s">
        <v>768</v>
      </c>
      <c r="I11" s="560">
        <v>14905</v>
      </c>
      <c r="J11" s="560">
        <f>F11*I11</f>
        <v>298100</v>
      </c>
    </row>
    <row r="12" spans="1:12">
      <c r="D12" s="562"/>
      <c r="E12" s="123" t="s">
        <v>660</v>
      </c>
      <c r="F12" s="556"/>
      <c r="G12" s="556">
        <f>F11</f>
        <v>20</v>
      </c>
      <c r="H12" s="556" t="s">
        <v>768</v>
      </c>
      <c r="I12" s="560"/>
      <c r="J12" s="560"/>
    </row>
    <row r="13" spans="1:12">
      <c r="D13" s="562"/>
      <c r="E13" s="562"/>
      <c r="F13" s="556"/>
      <c r="G13" s="556"/>
      <c r="H13" s="556"/>
      <c r="I13" s="560"/>
      <c r="J13" s="560"/>
    </row>
    <row r="14" spans="1:12">
      <c r="A14" s="546" t="s">
        <v>872</v>
      </c>
      <c r="B14" s="120" t="s">
        <v>875</v>
      </c>
      <c r="D14" s="562" t="s">
        <v>767</v>
      </c>
      <c r="E14" s="562"/>
      <c r="F14" s="556">
        <v>10</v>
      </c>
      <c r="G14" s="556"/>
      <c r="H14" s="556" t="s">
        <v>769</v>
      </c>
      <c r="I14" s="560">
        <v>14905</v>
      </c>
      <c r="J14" s="560">
        <f>F14*I14</f>
        <v>149050</v>
      </c>
    </row>
    <row r="15" spans="1:12">
      <c r="D15" s="562"/>
      <c r="E15" s="123" t="s">
        <v>660</v>
      </c>
      <c r="F15" s="556"/>
      <c r="G15" s="556">
        <f>F14</f>
        <v>10</v>
      </c>
      <c r="H15" s="556" t="s">
        <v>769</v>
      </c>
      <c r="I15" s="560"/>
      <c r="J15" s="560"/>
    </row>
    <row r="16" spans="1:12" s="591" customFormat="1">
      <c r="D16" s="594"/>
      <c r="F16" s="595"/>
      <c r="G16" s="595"/>
      <c r="H16" s="595"/>
      <c r="I16" s="592"/>
      <c r="J16" s="592"/>
      <c r="K16" s="596"/>
    </row>
    <row r="17" spans="1:12">
      <c r="A17" s="570"/>
      <c r="D17" s="122" t="s">
        <v>346</v>
      </c>
      <c r="E17" s="562"/>
      <c r="F17" s="565">
        <f>36.99-7.4</f>
        <v>29.590000000000003</v>
      </c>
      <c r="G17" s="565"/>
      <c r="H17" s="556" t="s">
        <v>827</v>
      </c>
      <c r="I17" s="129">
        <v>14835</v>
      </c>
      <c r="J17" s="560">
        <f>F17*I17</f>
        <v>438967.65</v>
      </c>
    </row>
    <row r="18" spans="1:12">
      <c r="A18" s="569"/>
      <c r="D18" s="562"/>
      <c r="E18" s="131" t="s">
        <v>712</v>
      </c>
      <c r="F18" s="565"/>
      <c r="G18" s="565">
        <f>F17</f>
        <v>29.590000000000003</v>
      </c>
      <c r="H18" s="556" t="s">
        <v>827</v>
      </c>
      <c r="I18" s="560"/>
      <c r="J18" s="560"/>
    </row>
    <row r="19" spans="1:12">
      <c r="A19" s="569"/>
      <c r="D19" s="562"/>
      <c r="E19" s="562"/>
      <c r="F19" s="556"/>
      <c r="G19" s="556"/>
      <c r="H19" s="556"/>
      <c r="I19" s="560"/>
      <c r="J19" s="560"/>
    </row>
    <row r="20" spans="1:12">
      <c r="A20" s="570"/>
      <c r="D20" s="562" t="s">
        <v>753</v>
      </c>
      <c r="E20" s="562"/>
      <c r="F20" s="556">
        <v>150000</v>
      </c>
      <c r="G20" s="556"/>
      <c r="H20" s="556" t="s">
        <v>838</v>
      </c>
      <c r="I20" s="560">
        <v>14711</v>
      </c>
      <c r="J20" s="560">
        <f>F20*I20</f>
        <v>2206650000</v>
      </c>
    </row>
    <row r="21" spans="1:12">
      <c r="A21" s="546"/>
      <c r="D21" s="562"/>
      <c r="E21" s="562" t="s">
        <v>341</v>
      </c>
      <c r="F21" s="556"/>
      <c r="G21" s="556">
        <f>F20</f>
        <v>150000</v>
      </c>
      <c r="H21" s="556" t="s">
        <v>838</v>
      </c>
      <c r="I21" s="560"/>
      <c r="J21" s="560"/>
    </row>
    <row r="22" spans="1:12">
      <c r="D22" s="562"/>
      <c r="F22" s="556"/>
      <c r="G22" s="556"/>
      <c r="H22" s="556"/>
      <c r="I22" s="560"/>
      <c r="J22" s="560"/>
    </row>
    <row r="23" spans="1:12">
      <c r="A23" s="570"/>
      <c r="D23" s="562" t="s">
        <v>779</v>
      </c>
      <c r="E23" s="562"/>
      <c r="F23" s="122">
        <v>150000</v>
      </c>
      <c r="G23" s="122"/>
      <c r="H23" s="556" t="s">
        <v>839</v>
      </c>
      <c r="I23" s="560">
        <v>14780</v>
      </c>
      <c r="J23" s="560">
        <f>F23*I23</f>
        <v>2217000000</v>
      </c>
    </row>
    <row r="24" spans="1:12">
      <c r="D24" s="562"/>
      <c r="E24" s="562" t="s">
        <v>752</v>
      </c>
      <c r="F24" s="122"/>
      <c r="G24" s="122">
        <f>F23</f>
        <v>150000</v>
      </c>
      <c r="H24" s="556" t="s">
        <v>839</v>
      </c>
      <c r="I24" s="560"/>
      <c r="J24" s="560"/>
    </row>
    <row r="25" spans="1:12" s="591" customFormat="1">
      <c r="D25" s="597"/>
      <c r="F25" s="598"/>
      <c r="G25" s="598"/>
      <c r="H25" s="598"/>
      <c r="I25" s="596"/>
      <c r="J25" s="596"/>
      <c r="K25" s="596"/>
    </row>
    <row r="26" spans="1:12" s="131" customFormat="1">
      <c r="D26" s="122"/>
      <c r="F26" s="121"/>
      <c r="G26" s="121"/>
      <c r="H26" s="121"/>
      <c r="I26" s="132"/>
      <c r="J26" s="132"/>
      <c r="K26" s="132"/>
    </row>
    <row r="27" spans="1:12">
      <c r="A27" s="546" t="s">
        <v>1064</v>
      </c>
      <c r="B27" s="120" t="s">
        <v>1069</v>
      </c>
      <c r="D27" s="123" t="s">
        <v>351</v>
      </c>
      <c r="F27" s="134">
        <f>0.15-0.03</f>
        <v>0.12</v>
      </c>
      <c r="G27" s="134"/>
      <c r="H27" s="123" t="s">
        <v>1082</v>
      </c>
      <c r="I27" s="129">
        <v>15210</v>
      </c>
      <c r="J27" s="129">
        <f>F27*I27</f>
        <v>1825.2</v>
      </c>
      <c r="K27" s="129" t="s">
        <v>1072</v>
      </c>
    </row>
    <row r="28" spans="1:12">
      <c r="E28" s="123" t="s">
        <v>290</v>
      </c>
      <c r="F28" s="134"/>
      <c r="G28" s="134">
        <f>F27</f>
        <v>0.12</v>
      </c>
      <c r="H28" s="123" t="s">
        <v>1068</v>
      </c>
    </row>
    <row r="29" spans="1:12" s="563" customFormat="1">
      <c r="F29" s="564"/>
      <c r="G29" s="564"/>
      <c r="I29" s="564"/>
      <c r="J29" s="564"/>
      <c r="K29" s="564"/>
    </row>
    <row r="30" spans="1:12" s="131" customFormat="1">
      <c r="A30" s="570" t="s">
        <v>872</v>
      </c>
      <c r="B30" s="123" t="s">
        <v>565</v>
      </c>
      <c r="D30" s="123" t="s">
        <v>660</v>
      </c>
      <c r="E30" s="123"/>
      <c r="F30" s="129">
        <f>L35</f>
        <v>79392.239999866113</v>
      </c>
      <c r="G30" s="129"/>
      <c r="H30" s="123" t="s">
        <v>659</v>
      </c>
      <c r="I30" s="132"/>
      <c r="J30" s="534" t="s">
        <v>643</v>
      </c>
      <c r="K30" s="129"/>
      <c r="L30" s="123"/>
    </row>
    <row r="31" spans="1:12" s="131" customFormat="1">
      <c r="A31" s="128"/>
      <c r="D31" s="123"/>
      <c r="E31" s="123" t="s">
        <v>440</v>
      </c>
      <c r="F31" s="129"/>
      <c r="G31" s="129">
        <f>F30</f>
        <v>79392.239999866113</v>
      </c>
      <c r="H31" s="123" t="s">
        <v>659</v>
      </c>
      <c r="I31" s="132"/>
      <c r="J31" s="129"/>
      <c r="K31" s="129" t="s">
        <v>439</v>
      </c>
      <c r="L31" s="463">
        <v>808.02</v>
      </c>
    </row>
    <row r="32" spans="1:12" s="131" customFormat="1">
      <c r="A32" s="128"/>
      <c r="F32" s="132"/>
      <c r="G32" s="132"/>
      <c r="I32" s="132"/>
      <c r="J32" s="129"/>
      <c r="K32" s="129" t="s">
        <v>876</v>
      </c>
      <c r="L32" s="466">
        <v>14905</v>
      </c>
    </row>
    <row r="33" spans="1:14" s="131" customFormat="1" ht="13.5">
      <c r="A33" s="128"/>
      <c r="F33" s="132"/>
      <c r="G33" s="132"/>
      <c r="I33" s="132"/>
      <c r="J33" s="129"/>
      <c r="K33" s="129" t="s">
        <v>877</v>
      </c>
      <c r="L33" s="465">
        <f>L31*L32</f>
        <v>12043538.1</v>
      </c>
    </row>
    <row r="34" spans="1:14" s="131" customFormat="1" ht="12.75" thickBot="1">
      <c r="A34" s="128"/>
      <c r="F34" s="132"/>
      <c r="G34" s="132"/>
      <c r="I34" s="132"/>
      <c r="J34" s="129"/>
      <c r="K34" s="129" t="s">
        <v>878</v>
      </c>
      <c r="L34" s="466">
        <f>Worksheet!F23-J9-J11-J14</f>
        <v>11964145.860000134</v>
      </c>
    </row>
    <row r="35" spans="1:14" s="131" customFormat="1" ht="12.75" thickBot="1">
      <c r="A35" s="128"/>
      <c r="F35" s="132"/>
      <c r="G35" s="132"/>
      <c r="I35" s="132"/>
      <c r="J35" s="129"/>
      <c r="K35" s="129" t="s">
        <v>643</v>
      </c>
      <c r="L35" s="553">
        <f>L33-L34</f>
        <v>79392.239999866113</v>
      </c>
    </row>
    <row r="36" spans="1:14" s="131" customFormat="1">
      <c r="A36" s="128"/>
      <c r="F36" s="132"/>
      <c r="G36" s="132"/>
      <c r="I36" s="132"/>
      <c r="J36" s="132"/>
      <c r="K36" s="132"/>
    </row>
    <row r="37" spans="1:14">
      <c r="A37" s="570" t="s">
        <v>1064</v>
      </c>
      <c r="B37" s="123" t="s">
        <v>642</v>
      </c>
      <c r="D37" s="123" t="s">
        <v>660</v>
      </c>
      <c r="F37" s="129">
        <f>L42</f>
        <v>246446.10000000149</v>
      </c>
      <c r="H37" s="123" t="s">
        <v>659</v>
      </c>
      <c r="J37" s="534" t="s">
        <v>643</v>
      </c>
    </row>
    <row r="38" spans="1:14">
      <c r="A38" s="571"/>
      <c r="E38" s="123" t="s">
        <v>440</v>
      </c>
      <c r="G38" s="129">
        <f>F37</f>
        <v>246446.10000000149</v>
      </c>
      <c r="H38" s="123" t="s">
        <v>659</v>
      </c>
      <c r="K38" s="129" t="s">
        <v>439</v>
      </c>
      <c r="L38" s="463">
        <v>808.14</v>
      </c>
    </row>
    <row r="39" spans="1:14">
      <c r="A39" s="130"/>
      <c r="H39" s="123"/>
      <c r="K39" s="129" t="s">
        <v>1070</v>
      </c>
      <c r="L39" s="466">
        <v>15210</v>
      </c>
    </row>
    <row r="40" spans="1:14" ht="13.5">
      <c r="A40" s="130"/>
      <c r="H40" s="123"/>
      <c r="K40" s="129" t="s">
        <v>1071</v>
      </c>
      <c r="L40" s="572">
        <f>L38*L39</f>
        <v>12291809.4</v>
      </c>
    </row>
    <row r="41" spans="1:14" ht="12.75" thickBot="1">
      <c r="A41" s="130"/>
      <c r="H41" s="123"/>
      <c r="K41" s="129" t="s">
        <v>877</v>
      </c>
      <c r="L41" s="466">
        <f>L33+J27</f>
        <v>12045363.299999999</v>
      </c>
    </row>
    <row r="42" spans="1:14" ht="12.75" thickBot="1">
      <c r="A42" s="130"/>
      <c r="H42" s="123"/>
      <c r="K42" s="129" t="s">
        <v>643</v>
      </c>
      <c r="L42" s="551">
        <f>L40-L41</f>
        <v>246446.10000000149</v>
      </c>
    </row>
    <row r="43" spans="1:14">
      <c r="A43" s="130"/>
      <c r="H43" s="123"/>
    </row>
    <row r="44" spans="1:14">
      <c r="A44" s="130"/>
      <c r="H44" s="123"/>
    </row>
    <row r="45" spans="1:14">
      <c r="A45" s="569" t="s">
        <v>1111</v>
      </c>
      <c r="B45" s="123" t="s">
        <v>675</v>
      </c>
      <c r="D45" s="123" t="s">
        <v>660</v>
      </c>
      <c r="F45" s="129">
        <f>L50</f>
        <v>13738.379999998957</v>
      </c>
      <c r="H45" s="123" t="s">
        <v>659</v>
      </c>
      <c r="J45" s="534" t="s">
        <v>643</v>
      </c>
    </row>
    <row r="46" spans="1:14">
      <c r="A46" s="130"/>
      <c r="E46" s="123" t="s">
        <v>440</v>
      </c>
      <c r="G46" s="129">
        <f>F45</f>
        <v>13738.379999998957</v>
      </c>
      <c r="H46" s="123" t="s">
        <v>659</v>
      </c>
      <c r="K46" s="129" t="s">
        <v>439</v>
      </c>
      <c r="L46" s="463">
        <v>808.14</v>
      </c>
    </row>
    <row r="47" spans="1:14">
      <c r="K47" s="129" t="s">
        <v>1080</v>
      </c>
      <c r="L47" s="466">
        <v>15227</v>
      </c>
      <c r="N47" s="456"/>
    </row>
    <row r="48" spans="1:14" ht="13.5">
      <c r="K48" s="129" t="s">
        <v>1081</v>
      </c>
      <c r="L48" s="465">
        <f>L46*L47</f>
        <v>12305547.779999999</v>
      </c>
      <c r="M48" s="469"/>
      <c r="N48" s="456"/>
    </row>
    <row r="49" spans="1:13" ht="12.75" thickBot="1">
      <c r="K49" s="129" t="s">
        <v>1071</v>
      </c>
      <c r="L49" s="466">
        <f>L40</f>
        <v>12291809.4</v>
      </c>
      <c r="M49" s="464"/>
    </row>
    <row r="50" spans="1:13" ht="12.75" thickBot="1">
      <c r="K50" s="129" t="s">
        <v>643</v>
      </c>
      <c r="L50" s="553">
        <f>L48-L49</f>
        <v>13738.379999998957</v>
      </c>
    </row>
    <row r="51" spans="1:13" s="131" customFormat="1">
      <c r="L51" s="554"/>
    </row>
    <row r="52" spans="1:13">
      <c r="F52" s="123"/>
      <c r="G52" s="123"/>
      <c r="H52" s="123"/>
      <c r="I52" s="123"/>
      <c r="J52" s="123"/>
      <c r="K52" s="123"/>
      <c r="L52" s="469"/>
    </row>
    <row r="53" spans="1:13">
      <c r="A53" s="568"/>
      <c r="B53" s="123" t="s">
        <v>713</v>
      </c>
      <c r="D53" s="123" t="s">
        <v>440</v>
      </c>
      <c r="F53" s="129" t="e">
        <f>-L58</f>
        <v>#REF!</v>
      </c>
      <c r="H53" s="123" t="s">
        <v>659</v>
      </c>
      <c r="I53" s="123"/>
      <c r="J53" s="534" t="s">
        <v>643</v>
      </c>
    </row>
    <row r="54" spans="1:13">
      <c r="A54" s="130"/>
      <c r="E54" s="123" t="s">
        <v>660</v>
      </c>
      <c r="G54" s="129" t="e">
        <f>F53</f>
        <v>#REF!</v>
      </c>
      <c r="H54" s="123" t="s">
        <v>659</v>
      </c>
      <c r="I54" s="123"/>
      <c r="K54" s="129" t="s">
        <v>439</v>
      </c>
      <c r="L54" s="463">
        <v>156456.49</v>
      </c>
    </row>
    <row r="55" spans="1:13">
      <c r="F55" s="123"/>
      <c r="G55" s="123"/>
      <c r="H55" s="123"/>
      <c r="I55" s="123"/>
      <c r="K55" s="129" t="s">
        <v>780</v>
      </c>
      <c r="L55" s="466">
        <f>(14555+14411)/2</f>
        <v>14483</v>
      </c>
    </row>
    <row r="56" spans="1:13" ht="13.5">
      <c r="F56" s="123"/>
      <c r="G56" s="123"/>
      <c r="H56" s="123"/>
      <c r="I56" s="123"/>
      <c r="K56" s="129" t="s">
        <v>781</v>
      </c>
      <c r="L56" s="465">
        <f>L54*L55</f>
        <v>2265959344.6700001</v>
      </c>
    </row>
    <row r="57" spans="1:13" ht="12.75" thickBot="1">
      <c r="F57" s="123"/>
      <c r="G57" s="123"/>
      <c r="H57" s="123"/>
      <c r="I57" s="123"/>
      <c r="K57" s="129" t="s">
        <v>776</v>
      </c>
      <c r="L57" s="466" t="e">
        <f>L48-#REF!</f>
        <v>#REF!</v>
      </c>
    </row>
    <row r="58" spans="1:13" ht="12.75" thickBot="1">
      <c r="F58" s="123"/>
      <c r="G58" s="123"/>
      <c r="H58" s="123"/>
      <c r="I58" s="123"/>
      <c r="K58" s="129" t="s">
        <v>643</v>
      </c>
      <c r="L58" s="553" t="e">
        <f>L56-L57</f>
        <v>#REF!</v>
      </c>
    </row>
    <row r="59" spans="1:13">
      <c r="F59" s="123"/>
      <c r="G59" s="123"/>
      <c r="H59" s="123"/>
      <c r="I59" s="123"/>
      <c r="J59" s="123"/>
      <c r="K59" s="123"/>
      <c r="L59" s="469"/>
    </row>
    <row r="60" spans="1:13">
      <c r="F60" s="123"/>
      <c r="G60" s="123"/>
      <c r="H60" s="123"/>
      <c r="I60" s="123"/>
      <c r="J60" s="123"/>
      <c r="K60" s="123"/>
      <c r="L60" s="469"/>
    </row>
    <row r="61" spans="1:13">
      <c r="A61" s="568"/>
      <c r="B61" s="123" t="s">
        <v>724</v>
      </c>
      <c r="D61" s="123" t="s">
        <v>440</v>
      </c>
      <c r="F61" s="129">
        <f>-L66</f>
        <v>-44072219.73999992</v>
      </c>
      <c r="H61" s="123" t="s">
        <v>659</v>
      </c>
      <c r="I61" s="123"/>
      <c r="J61" s="534" t="s">
        <v>643</v>
      </c>
    </row>
    <row r="62" spans="1:13">
      <c r="A62" s="130"/>
      <c r="E62" s="123" t="s">
        <v>660</v>
      </c>
      <c r="G62" s="129">
        <f>F61</f>
        <v>-44072219.73999992</v>
      </c>
      <c r="H62" s="123" t="s">
        <v>659</v>
      </c>
      <c r="I62" s="123"/>
      <c r="K62" s="129" t="s">
        <v>439</v>
      </c>
      <c r="L62" s="463">
        <v>6456.49</v>
      </c>
    </row>
    <row r="63" spans="1:13">
      <c r="F63" s="123"/>
      <c r="G63" s="123"/>
      <c r="H63" s="123"/>
      <c r="I63" s="123"/>
      <c r="K63" s="129" t="s">
        <v>782</v>
      </c>
      <c r="L63" s="466">
        <f>(14481+14337)/2</f>
        <v>14409</v>
      </c>
    </row>
    <row r="64" spans="1:13" ht="13.5">
      <c r="F64" s="123"/>
      <c r="G64" s="123"/>
      <c r="H64" s="123"/>
      <c r="I64" s="123"/>
      <c r="K64" s="129" t="s">
        <v>783</v>
      </c>
      <c r="L64" s="465">
        <f>L62*L63</f>
        <v>93031564.409999996</v>
      </c>
    </row>
    <row r="65" spans="1:12" ht="12.75" thickBot="1">
      <c r="F65" s="123"/>
      <c r="G65" s="123"/>
      <c r="H65" s="123"/>
      <c r="I65" s="123"/>
      <c r="K65" s="129" t="s">
        <v>781</v>
      </c>
      <c r="L65" s="466">
        <f>L56-J23</f>
        <v>48959344.670000076</v>
      </c>
    </row>
    <row r="66" spans="1:12" ht="12.75" thickBot="1">
      <c r="F66" s="123"/>
      <c r="G66" s="123"/>
      <c r="H66" s="123"/>
      <c r="I66" s="123"/>
      <c r="K66" s="129" t="s">
        <v>643</v>
      </c>
      <c r="L66" s="553">
        <f>L64-L65</f>
        <v>44072219.73999992</v>
      </c>
    </row>
    <row r="67" spans="1:12">
      <c r="F67" s="123"/>
      <c r="G67" s="123"/>
      <c r="H67" s="123"/>
      <c r="I67" s="123"/>
      <c r="J67" s="123"/>
      <c r="K67" s="123"/>
      <c r="L67" s="469"/>
    </row>
    <row r="68" spans="1:12">
      <c r="F68" s="123"/>
      <c r="G68" s="123"/>
      <c r="H68" s="123"/>
      <c r="I68" s="123"/>
      <c r="J68" s="123"/>
      <c r="K68" s="123"/>
      <c r="L68" s="469"/>
    </row>
    <row r="69" spans="1:12">
      <c r="A69" s="568"/>
      <c r="B69" s="123" t="s">
        <v>785</v>
      </c>
      <c r="D69" s="123" t="s">
        <v>660</v>
      </c>
      <c r="F69" s="129">
        <f>L74</f>
        <v>25825.959999993443</v>
      </c>
      <c r="H69" s="123" t="s">
        <v>659</v>
      </c>
      <c r="I69" s="123"/>
      <c r="J69" s="534" t="s">
        <v>643</v>
      </c>
    </row>
    <row r="70" spans="1:12">
      <c r="A70" s="130"/>
      <c r="E70" s="123" t="s">
        <v>440</v>
      </c>
      <c r="G70" s="129">
        <f>F69</f>
        <v>25825.959999993443</v>
      </c>
      <c r="H70" s="123" t="s">
        <v>659</v>
      </c>
      <c r="I70" s="123"/>
      <c r="K70" s="129" t="s">
        <v>439</v>
      </c>
      <c r="L70" s="463">
        <v>6456.49</v>
      </c>
    </row>
    <row r="71" spans="1:12">
      <c r="F71" s="123"/>
      <c r="G71" s="123"/>
      <c r="H71" s="123"/>
      <c r="I71" s="123"/>
      <c r="K71" s="129" t="s">
        <v>777</v>
      </c>
      <c r="L71" s="466">
        <f>(14485+14341)/2</f>
        <v>14413</v>
      </c>
    </row>
    <row r="72" spans="1:12" ht="13.5">
      <c r="F72" s="123"/>
      <c r="G72" s="123"/>
      <c r="H72" s="123"/>
      <c r="I72" s="123"/>
      <c r="K72" s="129" t="s">
        <v>778</v>
      </c>
      <c r="L72" s="465">
        <f>L70*L71</f>
        <v>93057390.36999999</v>
      </c>
    </row>
    <row r="73" spans="1:12" ht="12.75" thickBot="1">
      <c r="F73" s="123"/>
      <c r="G73" s="123"/>
      <c r="H73" s="123"/>
      <c r="I73" s="123"/>
      <c r="K73" s="129" t="s">
        <v>783</v>
      </c>
      <c r="L73" s="466">
        <f>L64</f>
        <v>93031564.409999996</v>
      </c>
    </row>
    <row r="74" spans="1:12" ht="12.75" thickBot="1">
      <c r="F74" s="123"/>
      <c r="G74" s="123"/>
      <c r="H74" s="123"/>
      <c r="I74" s="123"/>
      <c r="K74" s="129" t="s">
        <v>643</v>
      </c>
      <c r="L74" s="553">
        <f>L72-L73</f>
        <v>25825.959999993443</v>
      </c>
    </row>
    <row r="75" spans="1:12">
      <c r="F75" s="123"/>
      <c r="G75" s="123"/>
      <c r="H75" s="123"/>
      <c r="I75" s="123"/>
      <c r="J75" s="123"/>
      <c r="K75" s="123"/>
      <c r="L75" s="469"/>
    </row>
    <row r="76" spans="1:12">
      <c r="F76" s="123"/>
      <c r="G76" s="123"/>
      <c r="H76" s="123"/>
      <c r="I76" s="123"/>
      <c r="J76" s="123"/>
      <c r="K76" s="123"/>
      <c r="L76" s="469"/>
    </row>
    <row r="77" spans="1:12">
      <c r="F77" s="123"/>
      <c r="G77" s="123"/>
      <c r="H77" s="123"/>
      <c r="I77" s="123"/>
      <c r="J77" s="123"/>
      <c r="K77" s="123"/>
      <c r="L77" s="469"/>
    </row>
    <row r="78" spans="1:12">
      <c r="F78" s="123"/>
      <c r="G78" s="123"/>
      <c r="H78" s="123"/>
      <c r="I78" s="123"/>
      <c r="J78" s="123"/>
      <c r="K78" s="123"/>
      <c r="L78" s="469"/>
    </row>
    <row r="79" spans="1:12">
      <c r="A79" s="570" t="s">
        <v>816</v>
      </c>
      <c r="B79" s="123" t="s">
        <v>713</v>
      </c>
      <c r="D79" s="123" t="s">
        <v>784</v>
      </c>
      <c r="F79" s="129">
        <f>L84</f>
        <v>2206650000</v>
      </c>
      <c r="H79" s="123" t="s">
        <v>756</v>
      </c>
      <c r="I79" s="123"/>
      <c r="J79" s="534" t="s">
        <v>643</v>
      </c>
    </row>
    <row r="80" spans="1:12">
      <c r="A80" s="130"/>
      <c r="E80" s="123" t="s">
        <v>440</v>
      </c>
      <c r="G80" s="129">
        <f>F79</f>
        <v>2206650000</v>
      </c>
      <c r="H80" s="123" t="s">
        <v>756</v>
      </c>
      <c r="I80" s="123"/>
      <c r="K80" s="129" t="s">
        <v>439</v>
      </c>
      <c r="L80" s="463">
        <v>150000</v>
      </c>
    </row>
    <row r="81" spans="6:12">
      <c r="F81" s="123"/>
      <c r="G81" s="123"/>
      <c r="H81" s="123"/>
      <c r="I81" s="123"/>
      <c r="K81" s="129" t="s">
        <v>817</v>
      </c>
      <c r="L81" s="466">
        <v>14711</v>
      </c>
    </row>
    <row r="82" spans="6:12" ht="13.5">
      <c r="F82" s="123"/>
      <c r="G82" s="123"/>
      <c r="H82" s="123"/>
      <c r="I82" s="123"/>
      <c r="K82" s="129" t="s">
        <v>818</v>
      </c>
      <c r="L82" s="465">
        <f>L80*L81</f>
        <v>2206650000</v>
      </c>
    </row>
    <row r="83" spans="6:12" ht="12.75" thickBot="1">
      <c r="F83" s="123"/>
      <c r="G83" s="123"/>
      <c r="H83" s="123"/>
      <c r="I83" s="123"/>
      <c r="K83" s="129" t="s">
        <v>778</v>
      </c>
      <c r="L83" s="466">
        <f>Worksheet!F32</f>
        <v>0</v>
      </c>
    </row>
    <row r="84" spans="6:12" ht="12.75" thickBot="1">
      <c r="F84" s="123"/>
      <c r="G84" s="123"/>
      <c r="H84" s="123"/>
      <c r="I84" s="123"/>
      <c r="K84" s="129" t="s">
        <v>643</v>
      </c>
      <c r="L84" s="553">
        <f>L82-L83</f>
        <v>2206650000</v>
      </c>
    </row>
    <row r="85" spans="6:12">
      <c r="F85" s="123"/>
      <c r="G85" s="123"/>
      <c r="H85" s="123"/>
      <c r="I85" s="123"/>
      <c r="J85" s="123"/>
      <c r="K85" s="123"/>
      <c r="L85" s="469"/>
    </row>
    <row r="86" spans="6:12">
      <c r="F86" s="123"/>
      <c r="G86" s="123"/>
      <c r="H86" s="123"/>
      <c r="I86" s="123"/>
      <c r="J86" s="123"/>
      <c r="K86" s="123"/>
      <c r="L86" s="469"/>
    </row>
    <row r="87" spans="6:12">
      <c r="F87" s="123"/>
      <c r="G87" s="123"/>
      <c r="H87" s="123"/>
      <c r="I87" s="123"/>
      <c r="J87" s="123"/>
      <c r="K87" s="123"/>
      <c r="L87" s="469"/>
    </row>
    <row r="88" spans="6:12">
      <c r="F88" s="123"/>
      <c r="G88" s="123"/>
      <c r="H88" s="123"/>
      <c r="I88" s="123"/>
      <c r="J88" s="123"/>
      <c r="K88" s="123"/>
      <c r="L88" s="469"/>
    </row>
    <row r="89" spans="6:12">
      <c r="K89" s="134"/>
    </row>
    <row r="90" spans="6:12">
      <c r="L90" s="464"/>
    </row>
    <row r="91" spans="6:12">
      <c r="L91" s="469"/>
    </row>
    <row r="93" spans="6:12">
      <c r="L93" s="464"/>
    </row>
    <row r="94" spans="6:12">
      <c r="L94" s="464"/>
    </row>
  </sheetData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V117"/>
  <sheetViews>
    <sheetView view="pageBreakPreview" zoomScale="90" zoomScaleNormal="90" zoomScaleSheetLayoutView="90" workbookViewId="0">
      <selection activeCell="R104" sqref="R104"/>
    </sheetView>
  </sheetViews>
  <sheetFormatPr defaultRowHeight="12"/>
  <cols>
    <col min="1" max="1" width="9.140625" style="457"/>
    <col min="2" max="2" width="35.5703125" style="457" bestFit="1" customWidth="1"/>
    <col min="3" max="3" width="35.5703125" style="457" customWidth="1"/>
    <col min="4" max="4" width="9.140625" style="457" customWidth="1"/>
    <col min="5" max="5" width="11.28515625" style="457" customWidth="1"/>
    <col min="6" max="6" width="13.5703125" style="457" bestFit="1" customWidth="1"/>
    <col min="7" max="7" width="12.140625" style="457" bestFit="1" customWidth="1"/>
    <col min="8" max="8" width="13.28515625" style="457" bestFit="1" customWidth="1"/>
    <col min="9" max="9" width="11" style="457" hidden="1" customWidth="1"/>
    <col min="10" max="12" width="10" style="457" hidden="1" customWidth="1"/>
    <col min="13" max="15" width="11" style="457" customWidth="1"/>
    <col min="16" max="20" width="11" style="457" bestFit="1" customWidth="1"/>
    <col min="21" max="21" width="11.85546875" style="457" bestFit="1" customWidth="1"/>
    <col min="22" max="22" width="12" style="457" bestFit="1" customWidth="1"/>
    <col min="23" max="16384" width="9.140625" style="457"/>
  </cols>
  <sheetData>
    <row r="1" spans="1:22">
      <c r="A1" s="86" t="s">
        <v>377</v>
      </c>
      <c r="B1" s="87"/>
      <c r="C1" s="87"/>
      <c r="D1" s="87"/>
      <c r="E1" s="87"/>
      <c r="F1" s="87"/>
      <c r="G1" s="88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>
      <c r="A2" s="87"/>
      <c r="B2" s="87"/>
      <c r="C2" s="87"/>
      <c r="D2" s="87"/>
      <c r="E2" s="87"/>
      <c r="F2" s="87"/>
      <c r="G2" s="88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>
      <c r="A3" s="89" t="s">
        <v>419</v>
      </c>
      <c r="B3" s="87"/>
      <c r="C3" s="87"/>
      <c r="D3" s="87"/>
      <c r="E3" s="90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2"/>
    </row>
    <row r="4" spans="1:22" ht="48">
      <c r="A4" s="93" t="s">
        <v>356</v>
      </c>
      <c r="B4" s="93" t="s">
        <v>357</v>
      </c>
      <c r="C4" s="93"/>
      <c r="D4" s="93" t="s">
        <v>358</v>
      </c>
      <c r="E4" s="94" t="s">
        <v>359</v>
      </c>
      <c r="F4" s="95" t="s">
        <v>360</v>
      </c>
      <c r="G4" s="95" t="s">
        <v>361</v>
      </c>
      <c r="H4" s="95" t="s">
        <v>665</v>
      </c>
      <c r="I4" s="95" t="s">
        <v>363</v>
      </c>
      <c r="J4" s="95" t="s">
        <v>364</v>
      </c>
      <c r="K4" s="95" t="s">
        <v>365</v>
      </c>
      <c r="L4" s="95" t="s">
        <v>366</v>
      </c>
      <c r="M4" s="95" t="s">
        <v>367</v>
      </c>
      <c r="N4" s="95" t="s">
        <v>368</v>
      </c>
      <c r="O4" s="95" t="s">
        <v>369</v>
      </c>
      <c r="P4" s="95" t="s">
        <v>370</v>
      </c>
      <c r="Q4" s="95" t="s">
        <v>371</v>
      </c>
      <c r="R4" s="95" t="s">
        <v>372</v>
      </c>
      <c r="S4" s="95" t="s">
        <v>373</v>
      </c>
      <c r="T4" s="95" t="s">
        <v>374</v>
      </c>
      <c r="U4" s="95" t="s">
        <v>666</v>
      </c>
      <c r="V4" s="95" t="s">
        <v>667</v>
      </c>
    </row>
    <row r="5" spans="1:22">
      <c r="A5" s="114"/>
      <c r="B5" s="114"/>
      <c r="C5" s="114"/>
      <c r="D5" s="115"/>
      <c r="E5" s="115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</row>
    <row r="6" spans="1:22">
      <c r="A6" s="96">
        <v>1</v>
      </c>
      <c r="B6" s="97" t="s">
        <v>381</v>
      </c>
      <c r="C6" s="535" t="s">
        <v>567</v>
      </c>
      <c r="D6" s="96">
        <v>4</v>
      </c>
      <c r="E6" s="98">
        <v>42832</v>
      </c>
      <c r="F6" s="99">
        <f>4560000+2120000</f>
        <v>6680000</v>
      </c>
      <c r="G6" s="99">
        <f t="shared" ref="G6:G11" si="0">F6/48</f>
        <v>139166.66666666666</v>
      </c>
      <c r="H6" s="99">
        <v>5427500</v>
      </c>
      <c r="I6" s="99">
        <f>G6</f>
        <v>139166.66666666666</v>
      </c>
      <c r="J6" s="99">
        <f>G6</f>
        <v>139166.66666666666</v>
      </c>
      <c r="K6" s="99">
        <f>G6</f>
        <v>139166.66666666666</v>
      </c>
      <c r="L6" s="99">
        <f t="shared" ref="L6:L15" si="1">G6</f>
        <v>139166.66666666666</v>
      </c>
      <c r="M6" s="99">
        <f t="shared" ref="M6:M15" si="2">G6</f>
        <v>139166.66666666666</v>
      </c>
      <c r="N6" s="99">
        <f t="shared" ref="N6:N15" si="3">G6</f>
        <v>139166.66666666666</v>
      </c>
      <c r="O6" s="99">
        <f t="shared" ref="O6:O12" si="4">G6</f>
        <v>139166.66666666666</v>
      </c>
      <c r="P6" s="99">
        <f t="shared" ref="P6:P15" si="5">G6</f>
        <v>139166.66666666666</v>
      </c>
      <c r="Q6" s="99">
        <f t="shared" ref="Q6:Q15" si="6">G6</f>
        <v>139166.66666666666</v>
      </c>
      <c r="R6" s="99">
        <f t="shared" ref="R6:R15" si="7">G6</f>
        <v>139166.66666666666</v>
      </c>
      <c r="S6" s="99">
        <f t="shared" ref="S6:S15" si="8">G6</f>
        <v>139166.66666666666</v>
      </c>
      <c r="T6" s="99">
        <f t="shared" ref="T6:T15" si="9">G6</f>
        <v>139166.66666666666</v>
      </c>
      <c r="U6" s="99">
        <f>SUM(I6:T6)</f>
        <v>1670000.0000000002</v>
      </c>
      <c r="V6" s="99">
        <f t="shared" ref="V6:V15" si="10">H6-U6</f>
        <v>3757500</v>
      </c>
    </row>
    <row r="7" spans="1:22">
      <c r="A7" s="96">
        <v>2</v>
      </c>
      <c r="B7" s="97" t="s">
        <v>381</v>
      </c>
      <c r="C7" s="535" t="s">
        <v>568</v>
      </c>
      <c r="D7" s="100" t="s">
        <v>376</v>
      </c>
      <c r="E7" s="98">
        <v>42832</v>
      </c>
      <c r="F7" s="99">
        <f t="shared" ref="F7:F12" si="11">4560000+2120000</f>
        <v>6680000</v>
      </c>
      <c r="G7" s="99">
        <f t="shared" si="0"/>
        <v>139166.66666666666</v>
      </c>
      <c r="H7" s="99">
        <v>5427500</v>
      </c>
      <c r="I7" s="99">
        <f t="shared" ref="I7:I56" si="12">G7</f>
        <v>139166.66666666666</v>
      </c>
      <c r="J7" s="99">
        <f t="shared" ref="J7:J56" si="13">G7</f>
        <v>139166.66666666666</v>
      </c>
      <c r="K7" s="99">
        <f t="shared" ref="K7:K56" si="14">G7</f>
        <v>139166.66666666666</v>
      </c>
      <c r="L7" s="99">
        <f t="shared" si="1"/>
        <v>139166.66666666666</v>
      </c>
      <c r="M7" s="99">
        <f t="shared" si="2"/>
        <v>139166.66666666666</v>
      </c>
      <c r="N7" s="99">
        <f t="shared" si="3"/>
        <v>139166.66666666666</v>
      </c>
      <c r="O7" s="99">
        <f t="shared" si="4"/>
        <v>139166.66666666666</v>
      </c>
      <c r="P7" s="99">
        <f t="shared" si="5"/>
        <v>139166.66666666666</v>
      </c>
      <c r="Q7" s="99">
        <f t="shared" si="6"/>
        <v>139166.66666666666</v>
      </c>
      <c r="R7" s="99">
        <f t="shared" si="7"/>
        <v>139166.66666666666</v>
      </c>
      <c r="S7" s="99">
        <f t="shared" si="8"/>
        <v>139166.66666666666</v>
      </c>
      <c r="T7" s="99">
        <f t="shared" si="9"/>
        <v>139166.66666666666</v>
      </c>
      <c r="U7" s="99">
        <f t="shared" ref="U7:U15" si="15">SUM(I7:T7)</f>
        <v>1670000.0000000002</v>
      </c>
      <c r="V7" s="99">
        <f t="shared" si="10"/>
        <v>3757500</v>
      </c>
    </row>
    <row r="8" spans="1:22">
      <c r="A8" s="96">
        <v>3</v>
      </c>
      <c r="B8" s="97" t="s">
        <v>381</v>
      </c>
      <c r="C8" s="535" t="s">
        <v>569</v>
      </c>
      <c r="D8" s="100" t="s">
        <v>376</v>
      </c>
      <c r="E8" s="98">
        <v>42832</v>
      </c>
      <c r="F8" s="99">
        <f t="shared" si="11"/>
        <v>6680000</v>
      </c>
      <c r="G8" s="99">
        <f t="shared" si="0"/>
        <v>139166.66666666666</v>
      </c>
      <c r="H8" s="99">
        <v>5427500</v>
      </c>
      <c r="I8" s="99">
        <f t="shared" si="12"/>
        <v>139166.66666666666</v>
      </c>
      <c r="J8" s="99">
        <f t="shared" si="13"/>
        <v>139166.66666666666</v>
      </c>
      <c r="K8" s="99">
        <f t="shared" si="14"/>
        <v>139166.66666666666</v>
      </c>
      <c r="L8" s="99">
        <f t="shared" si="1"/>
        <v>139166.66666666666</v>
      </c>
      <c r="M8" s="99">
        <f t="shared" si="2"/>
        <v>139166.66666666666</v>
      </c>
      <c r="N8" s="99">
        <f t="shared" si="3"/>
        <v>139166.66666666666</v>
      </c>
      <c r="O8" s="99">
        <f t="shared" si="4"/>
        <v>139166.66666666666</v>
      </c>
      <c r="P8" s="99">
        <f t="shared" si="5"/>
        <v>139166.66666666666</v>
      </c>
      <c r="Q8" s="99">
        <f t="shared" si="6"/>
        <v>139166.66666666666</v>
      </c>
      <c r="R8" s="99">
        <f t="shared" si="7"/>
        <v>139166.66666666666</v>
      </c>
      <c r="S8" s="99">
        <f t="shared" si="8"/>
        <v>139166.66666666666</v>
      </c>
      <c r="T8" s="99">
        <f t="shared" si="9"/>
        <v>139166.66666666666</v>
      </c>
      <c r="U8" s="99">
        <f t="shared" si="15"/>
        <v>1670000.0000000002</v>
      </c>
      <c r="V8" s="99">
        <f t="shared" si="10"/>
        <v>3757500</v>
      </c>
    </row>
    <row r="9" spans="1:22">
      <c r="A9" s="96">
        <v>4</v>
      </c>
      <c r="B9" s="97" t="s">
        <v>381</v>
      </c>
      <c r="C9" s="535" t="s">
        <v>570</v>
      </c>
      <c r="D9" s="100" t="s">
        <v>376</v>
      </c>
      <c r="E9" s="98">
        <v>42832</v>
      </c>
      <c r="F9" s="99">
        <f t="shared" si="11"/>
        <v>6680000</v>
      </c>
      <c r="G9" s="99">
        <f t="shared" si="0"/>
        <v>139166.66666666666</v>
      </c>
      <c r="H9" s="99">
        <v>5427500</v>
      </c>
      <c r="I9" s="99">
        <f t="shared" si="12"/>
        <v>139166.66666666666</v>
      </c>
      <c r="J9" s="99">
        <f t="shared" si="13"/>
        <v>139166.66666666666</v>
      </c>
      <c r="K9" s="99">
        <f t="shared" si="14"/>
        <v>139166.66666666666</v>
      </c>
      <c r="L9" s="99">
        <f t="shared" si="1"/>
        <v>139166.66666666666</v>
      </c>
      <c r="M9" s="99">
        <f t="shared" si="2"/>
        <v>139166.66666666666</v>
      </c>
      <c r="N9" s="99">
        <f t="shared" si="3"/>
        <v>139166.66666666666</v>
      </c>
      <c r="O9" s="99">
        <f t="shared" si="4"/>
        <v>139166.66666666666</v>
      </c>
      <c r="P9" s="99">
        <f t="shared" si="5"/>
        <v>139166.66666666666</v>
      </c>
      <c r="Q9" s="99">
        <f t="shared" si="6"/>
        <v>139166.66666666666</v>
      </c>
      <c r="R9" s="99">
        <f t="shared" si="7"/>
        <v>139166.66666666666</v>
      </c>
      <c r="S9" s="99">
        <f t="shared" si="8"/>
        <v>139166.66666666666</v>
      </c>
      <c r="T9" s="99">
        <f t="shared" si="9"/>
        <v>139166.66666666666</v>
      </c>
      <c r="U9" s="99">
        <f t="shared" si="15"/>
        <v>1670000.0000000002</v>
      </c>
      <c r="V9" s="99">
        <f t="shared" si="10"/>
        <v>3757500</v>
      </c>
    </row>
    <row r="10" spans="1:22">
      <c r="A10" s="96">
        <v>5</v>
      </c>
      <c r="B10" s="97" t="s">
        <v>381</v>
      </c>
      <c r="C10" s="535" t="s">
        <v>571</v>
      </c>
      <c r="D10" s="100" t="s">
        <v>376</v>
      </c>
      <c r="E10" s="98">
        <v>42832</v>
      </c>
      <c r="F10" s="99">
        <f t="shared" si="11"/>
        <v>6680000</v>
      </c>
      <c r="G10" s="99">
        <f t="shared" si="0"/>
        <v>139166.66666666666</v>
      </c>
      <c r="H10" s="99">
        <v>5427500</v>
      </c>
      <c r="I10" s="99">
        <f t="shared" si="12"/>
        <v>139166.66666666666</v>
      </c>
      <c r="J10" s="99">
        <f t="shared" si="13"/>
        <v>139166.66666666666</v>
      </c>
      <c r="K10" s="99">
        <f t="shared" si="14"/>
        <v>139166.66666666666</v>
      </c>
      <c r="L10" s="99">
        <f t="shared" si="1"/>
        <v>139166.66666666666</v>
      </c>
      <c r="M10" s="99">
        <f t="shared" si="2"/>
        <v>139166.66666666666</v>
      </c>
      <c r="N10" s="99">
        <f t="shared" si="3"/>
        <v>139166.66666666666</v>
      </c>
      <c r="O10" s="99">
        <f t="shared" si="4"/>
        <v>139166.66666666666</v>
      </c>
      <c r="P10" s="99">
        <f t="shared" si="5"/>
        <v>139166.66666666666</v>
      </c>
      <c r="Q10" s="99">
        <f t="shared" si="6"/>
        <v>139166.66666666666</v>
      </c>
      <c r="R10" s="99">
        <f t="shared" si="7"/>
        <v>139166.66666666666</v>
      </c>
      <c r="S10" s="99">
        <f t="shared" si="8"/>
        <v>139166.66666666666</v>
      </c>
      <c r="T10" s="99">
        <f t="shared" si="9"/>
        <v>139166.66666666666</v>
      </c>
      <c r="U10" s="99">
        <f t="shared" si="15"/>
        <v>1670000.0000000002</v>
      </c>
      <c r="V10" s="99">
        <f t="shared" si="10"/>
        <v>3757500</v>
      </c>
    </row>
    <row r="11" spans="1:22">
      <c r="A11" s="96">
        <v>6</v>
      </c>
      <c r="B11" s="97" t="s">
        <v>381</v>
      </c>
      <c r="C11" s="535" t="s">
        <v>572</v>
      </c>
      <c r="D11" s="100" t="s">
        <v>376</v>
      </c>
      <c r="E11" s="98">
        <v>42832</v>
      </c>
      <c r="F11" s="99">
        <f t="shared" si="11"/>
        <v>6680000</v>
      </c>
      <c r="G11" s="99">
        <f t="shared" si="0"/>
        <v>139166.66666666666</v>
      </c>
      <c r="H11" s="99">
        <v>5427500</v>
      </c>
      <c r="I11" s="99">
        <f t="shared" si="12"/>
        <v>139166.66666666666</v>
      </c>
      <c r="J11" s="99">
        <f t="shared" si="13"/>
        <v>139166.66666666666</v>
      </c>
      <c r="K11" s="99">
        <f t="shared" si="14"/>
        <v>139166.66666666666</v>
      </c>
      <c r="L11" s="99">
        <f t="shared" si="1"/>
        <v>139166.66666666666</v>
      </c>
      <c r="M11" s="99">
        <f t="shared" si="2"/>
        <v>139166.66666666666</v>
      </c>
      <c r="N11" s="99">
        <f t="shared" si="3"/>
        <v>139166.66666666666</v>
      </c>
      <c r="O11" s="99">
        <f t="shared" si="4"/>
        <v>139166.66666666666</v>
      </c>
      <c r="P11" s="99">
        <f t="shared" si="5"/>
        <v>139166.66666666666</v>
      </c>
      <c r="Q11" s="99">
        <f t="shared" si="6"/>
        <v>139166.66666666666</v>
      </c>
      <c r="R11" s="99">
        <f t="shared" si="7"/>
        <v>139166.66666666666</v>
      </c>
      <c r="S11" s="99">
        <f t="shared" si="8"/>
        <v>139166.66666666666</v>
      </c>
      <c r="T11" s="99">
        <f t="shared" si="9"/>
        <v>139166.66666666666</v>
      </c>
      <c r="U11" s="99">
        <f t="shared" si="15"/>
        <v>1670000.0000000002</v>
      </c>
      <c r="V11" s="99">
        <f t="shared" si="10"/>
        <v>3757500</v>
      </c>
    </row>
    <row r="12" spans="1:22">
      <c r="A12" s="96">
        <v>7</v>
      </c>
      <c r="B12" s="97" t="s">
        <v>381</v>
      </c>
      <c r="C12" s="535" t="s">
        <v>573</v>
      </c>
      <c r="D12" s="102">
        <v>4</v>
      </c>
      <c r="E12" s="98">
        <v>42832</v>
      </c>
      <c r="F12" s="99">
        <f t="shared" si="11"/>
        <v>6680000</v>
      </c>
      <c r="G12" s="103">
        <f>+F12/48</f>
        <v>139166.66666666666</v>
      </c>
      <c r="H12" s="99">
        <v>5427500</v>
      </c>
      <c r="I12" s="99">
        <f t="shared" si="12"/>
        <v>139166.66666666666</v>
      </c>
      <c r="J12" s="99">
        <f t="shared" si="13"/>
        <v>139166.66666666666</v>
      </c>
      <c r="K12" s="99">
        <f t="shared" si="14"/>
        <v>139166.66666666666</v>
      </c>
      <c r="L12" s="99">
        <f t="shared" si="1"/>
        <v>139166.66666666666</v>
      </c>
      <c r="M12" s="99">
        <f t="shared" si="2"/>
        <v>139166.66666666666</v>
      </c>
      <c r="N12" s="99">
        <f t="shared" si="3"/>
        <v>139166.66666666666</v>
      </c>
      <c r="O12" s="99">
        <f t="shared" si="4"/>
        <v>139166.66666666666</v>
      </c>
      <c r="P12" s="99">
        <f t="shared" si="5"/>
        <v>139166.66666666666</v>
      </c>
      <c r="Q12" s="99">
        <f t="shared" si="6"/>
        <v>139166.66666666666</v>
      </c>
      <c r="R12" s="99">
        <f t="shared" si="7"/>
        <v>139166.66666666666</v>
      </c>
      <c r="S12" s="99">
        <f t="shared" si="8"/>
        <v>139166.66666666666</v>
      </c>
      <c r="T12" s="99">
        <f t="shared" si="9"/>
        <v>139166.66666666666</v>
      </c>
      <c r="U12" s="99">
        <f t="shared" si="15"/>
        <v>1670000.0000000002</v>
      </c>
      <c r="V12" s="99">
        <f t="shared" si="10"/>
        <v>3757500</v>
      </c>
    </row>
    <row r="13" spans="1:22">
      <c r="A13" s="96">
        <v>8</v>
      </c>
      <c r="B13" s="97" t="s">
        <v>379</v>
      </c>
      <c r="C13" s="535" t="s">
        <v>574</v>
      </c>
      <c r="D13" s="102">
        <v>4</v>
      </c>
      <c r="E13" s="98">
        <v>42832</v>
      </c>
      <c r="F13" s="101">
        <v>1020000</v>
      </c>
      <c r="G13" s="103">
        <f>+F13/48</f>
        <v>21250</v>
      </c>
      <c r="H13" s="99">
        <v>828750</v>
      </c>
      <c r="I13" s="99">
        <f t="shared" si="12"/>
        <v>21250</v>
      </c>
      <c r="J13" s="99">
        <f t="shared" si="13"/>
        <v>21250</v>
      </c>
      <c r="K13" s="99">
        <f t="shared" si="14"/>
        <v>21250</v>
      </c>
      <c r="L13" s="99">
        <f t="shared" si="1"/>
        <v>21250</v>
      </c>
      <c r="M13" s="99">
        <f t="shared" si="2"/>
        <v>21250</v>
      </c>
      <c r="N13" s="99">
        <f t="shared" si="3"/>
        <v>21250</v>
      </c>
      <c r="O13" s="99">
        <f>G13</f>
        <v>21250</v>
      </c>
      <c r="P13" s="99">
        <f t="shared" si="5"/>
        <v>21250</v>
      </c>
      <c r="Q13" s="99">
        <f t="shared" si="6"/>
        <v>21250</v>
      </c>
      <c r="R13" s="99">
        <f t="shared" si="7"/>
        <v>21250</v>
      </c>
      <c r="S13" s="99">
        <f t="shared" si="8"/>
        <v>21250</v>
      </c>
      <c r="T13" s="99">
        <f t="shared" si="9"/>
        <v>21250</v>
      </c>
      <c r="U13" s="99">
        <f t="shared" si="15"/>
        <v>255000</v>
      </c>
      <c r="V13" s="99">
        <f t="shared" si="10"/>
        <v>573750</v>
      </c>
    </row>
    <row r="14" spans="1:22">
      <c r="A14" s="96">
        <v>9</v>
      </c>
      <c r="B14" s="97" t="s">
        <v>379</v>
      </c>
      <c r="C14" s="535" t="s">
        <v>575</v>
      </c>
      <c r="D14" s="96">
        <v>4</v>
      </c>
      <c r="E14" s="98">
        <v>42832</v>
      </c>
      <c r="F14" s="101">
        <v>1020000</v>
      </c>
      <c r="G14" s="103">
        <f>F14/48</f>
        <v>21250</v>
      </c>
      <c r="H14" s="99">
        <v>828750</v>
      </c>
      <c r="I14" s="99">
        <f t="shared" si="12"/>
        <v>21250</v>
      </c>
      <c r="J14" s="99">
        <f t="shared" si="13"/>
        <v>21250</v>
      </c>
      <c r="K14" s="99">
        <f t="shared" si="14"/>
        <v>21250</v>
      </c>
      <c r="L14" s="99">
        <f t="shared" si="1"/>
        <v>21250</v>
      </c>
      <c r="M14" s="99">
        <f t="shared" si="2"/>
        <v>21250</v>
      </c>
      <c r="N14" s="99">
        <f t="shared" si="3"/>
        <v>21250</v>
      </c>
      <c r="O14" s="99">
        <f>G14</f>
        <v>21250</v>
      </c>
      <c r="P14" s="99">
        <f t="shared" si="5"/>
        <v>21250</v>
      </c>
      <c r="Q14" s="99">
        <f t="shared" si="6"/>
        <v>21250</v>
      </c>
      <c r="R14" s="99">
        <f t="shared" si="7"/>
        <v>21250</v>
      </c>
      <c r="S14" s="99">
        <f t="shared" si="8"/>
        <v>21250</v>
      </c>
      <c r="T14" s="99">
        <f t="shared" si="9"/>
        <v>21250</v>
      </c>
      <c r="U14" s="99">
        <f t="shared" si="15"/>
        <v>255000</v>
      </c>
      <c r="V14" s="99">
        <f t="shared" si="10"/>
        <v>573750</v>
      </c>
    </row>
    <row r="15" spans="1:22">
      <c r="A15" s="96">
        <v>10</v>
      </c>
      <c r="B15" s="97" t="s">
        <v>379</v>
      </c>
      <c r="C15" s="535" t="s">
        <v>576</v>
      </c>
      <c r="D15" s="102">
        <v>4</v>
      </c>
      <c r="E15" s="98">
        <v>42832</v>
      </c>
      <c r="F15" s="101">
        <v>1020000</v>
      </c>
      <c r="G15" s="103">
        <f>+F15/48</f>
        <v>21250</v>
      </c>
      <c r="H15" s="99">
        <v>828750</v>
      </c>
      <c r="I15" s="99">
        <f t="shared" si="12"/>
        <v>21250</v>
      </c>
      <c r="J15" s="99">
        <f t="shared" si="13"/>
        <v>21250</v>
      </c>
      <c r="K15" s="99">
        <f t="shared" si="14"/>
        <v>21250</v>
      </c>
      <c r="L15" s="99">
        <f t="shared" si="1"/>
        <v>21250</v>
      </c>
      <c r="M15" s="99">
        <f t="shared" si="2"/>
        <v>21250</v>
      </c>
      <c r="N15" s="99">
        <f t="shared" si="3"/>
        <v>21250</v>
      </c>
      <c r="O15" s="99">
        <f>G15</f>
        <v>21250</v>
      </c>
      <c r="P15" s="99">
        <f t="shared" si="5"/>
        <v>21250</v>
      </c>
      <c r="Q15" s="99">
        <f t="shared" si="6"/>
        <v>21250</v>
      </c>
      <c r="R15" s="99">
        <f t="shared" si="7"/>
        <v>21250</v>
      </c>
      <c r="S15" s="99">
        <f t="shared" si="8"/>
        <v>21250</v>
      </c>
      <c r="T15" s="99">
        <f t="shared" si="9"/>
        <v>21250</v>
      </c>
      <c r="U15" s="99">
        <f t="shared" si="15"/>
        <v>255000</v>
      </c>
      <c r="V15" s="99">
        <f t="shared" si="10"/>
        <v>573750</v>
      </c>
    </row>
    <row r="16" spans="1:22">
      <c r="A16" s="96">
        <v>11</v>
      </c>
      <c r="B16" s="97" t="s">
        <v>381</v>
      </c>
      <c r="C16" s="535" t="s">
        <v>577</v>
      </c>
      <c r="D16" s="102">
        <v>4</v>
      </c>
      <c r="E16" s="98">
        <v>42832</v>
      </c>
      <c r="F16" s="101">
        <f>6745000+2120000</f>
        <v>8865000</v>
      </c>
      <c r="G16" s="103">
        <f t="shared" ref="G16:G36" si="16">+F16/48</f>
        <v>184687.5</v>
      </c>
      <c r="H16" s="99">
        <v>7202812.5</v>
      </c>
      <c r="I16" s="99">
        <f t="shared" si="12"/>
        <v>184687.5</v>
      </c>
      <c r="J16" s="99">
        <f t="shared" si="13"/>
        <v>184687.5</v>
      </c>
      <c r="K16" s="99">
        <f t="shared" si="14"/>
        <v>184687.5</v>
      </c>
      <c r="L16" s="99">
        <f t="shared" ref="L16:L36" si="17">G16</f>
        <v>184687.5</v>
      </c>
      <c r="M16" s="99">
        <f t="shared" ref="M16:M36" si="18">G16</f>
        <v>184687.5</v>
      </c>
      <c r="N16" s="99">
        <f t="shared" ref="N16:N36" si="19">G16</f>
        <v>184687.5</v>
      </c>
      <c r="O16" s="99">
        <f t="shared" ref="O16:O36" si="20">G16</f>
        <v>184687.5</v>
      </c>
      <c r="P16" s="99">
        <f t="shared" ref="P16:P36" si="21">G16</f>
        <v>184687.5</v>
      </c>
      <c r="Q16" s="99">
        <f t="shared" ref="Q16:Q36" si="22">G16</f>
        <v>184687.5</v>
      </c>
      <c r="R16" s="99">
        <f t="shared" ref="R16:R36" si="23">G16</f>
        <v>184687.5</v>
      </c>
      <c r="S16" s="99">
        <f t="shared" ref="S16:S36" si="24">G16</f>
        <v>184687.5</v>
      </c>
      <c r="T16" s="99">
        <f t="shared" ref="T16:T36" si="25">G16</f>
        <v>184687.5</v>
      </c>
      <c r="U16" s="99">
        <f t="shared" ref="U16:U36" si="26">SUM(I16:T16)</f>
        <v>2216250</v>
      </c>
      <c r="V16" s="99">
        <f t="shared" ref="V16:V36" si="27">H16-U16</f>
        <v>4986562.5</v>
      </c>
    </row>
    <row r="17" spans="1:22">
      <c r="A17" s="96">
        <v>12</v>
      </c>
      <c r="B17" s="97" t="s">
        <v>381</v>
      </c>
      <c r="C17" s="535" t="s">
        <v>578</v>
      </c>
      <c r="D17" s="102">
        <v>4</v>
      </c>
      <c r="E17" s="98">
        <v>42832</v>
      </c>
      <c r="F17" s="101">
        <f t="shared" ref="F17:F24" si="28">6745000+2120000</f>
        <v>8865000</v>
      </c>
      <c r="G17" s="103">
        <f t="shared" si="16"/>
        <v>184687.5</v>
      </c>
      <c r="H17" s="99">
        <v>7202812.5</v>
      </c>
      <c r="I17" s="99">
        <f t="shared" si="12"/>
        <v>184687.5</v>
      </c>
      <c r="J17" s="99">
        <f t="shared" si="13"/>
        <v>184687.5</v>
      </c>
      <c r="K17" s="99">
        <f t="shared" si="14"/>
        <v>184687.5</v>
      </c>
      <c r="L17" s="99">
        <f t="shared" si="17"/>
        <v>184687.5</v>
      </c>
      <c r="M17" s="99">
        <f t="shared" si="18"/>
        <v>184687.5</v>
      </c>
      <c r="N17" s="99">
        <f t="shared" si="19"/>
        <v>184687.5</v>
      </c>
      <c r="O17" s="99">
        <f t="shared" si="20"/>
        <v>184687.5</v>
      </c>
      <c r="P17" s="99">
        <f t="shared" si="21"/>
        <v>184687.5</v>
      </c>
      <c r="Q17" s="99">
        <f t="shared" si="22"/>
        <v>184687.5</v>
      </c>
      <c r="R17" s="99">
        <f t="shared" si="23"/>
        <v>184687.5</v>
      </c>
      <c r="S17" s="99">
        <f t="shared" si="24"/>
        <v>184687.5</v>
      </c>
      <c r="T17" s="99">
        <f t="shared" si="25"/>
        <v>184687.5</v>
      </c>
      <c r="U17" s="99">
        <f t="shared" si="26"/>
        <v>2216250</v>
      </c>
      <c r="V17" s="99">
        <f t="shared" si="27"/>
        <v>4986562.5</v>
      </c>
    </row>
    <row r="18" spans="1:22">
      <c r="A18" s="96">
        <v>13</v>
      </c>
      <c r="B18" s="97" t="s">
        <v>381</v>
      </c>
      <c r="C18" s="535" t="s">
        <v>579</v>
      </c>
      <c r="D18" s="102">
        <v>4</v>
      </c>
      <c r="E18" s="98">
        <v>42832</v>
      </c>
      <c r="F18" s="101">
        <f t="shared" si="28"/>
        <v>8865000</v>
      </c>
      <c r="G18" s="103">
        <f t="shared" si="16"/>
        <v>184687.5</v>
      </c>
      <c r="H18" s="99">
        <v>7202812.5</v>
      </c>
      <c r="I18" s="99">
        <f t="shared" si="12"/>
        <v>184687.5</v>
      </c>
      <c r="J18" s="99">
        <f t="shared" si="13"/>
        <v>184687.5</v>
      </c>
      <c r="K18" s="99">
        <f t="shared" si="14"/>
        <v>184687.5</v>
      </c>
      <c r="L18" s="99">
        <f t="shared" si="17"/>
        <v>184687.5</v>
      </c>
      <c r="M18" s="99">
        <f t="shared" si="18"/>
        <v>184687.5</v>
      </c>
      <c r="N18" s="99">
        <f t="shared" si="19"/>
        <v>184687.5</v>
      </c>
      <c r="O18" s="99">
        <f t="shared" si="20"/>
        <v>184687.5</v>
      </c>
      <c r="P18" s="99">
        <f t="shared" si="21"/>
        <v>184687.5</v>
      </c>
      <c r="Q18" s="99">
        <f t="shared" si="22"/>
        <v>184687.5</v>
      </c>
      <c r="R18" s="99">
        <f t="shared" si="23"/>
        <v>184687.5</v>
      </c>
      <c r="S18" s="99">
        <f t="shared" si="24"/>
        <v>184687.5</v>
      </c>
      <c r="T18" s="99">
        <f t="shared" si="25"/>
        <v>184687.5</v>
      </c>
      <c r="U18" s="99">
        <f t="shared" si="26"/>
        <v>2216250</v>
      </c>
      <c r="V18" s="99">
        <f t="shared" si="27"/>
        <v>4986562.5</v>
      </c>
    </row>
    <row r="19" spans="1:22">
      <c r="A19" s="96">
        <v>14</v>
      </c>
      <c r="B19" s="97" t="s">
        <v>381</v>
      </c>
      <c r="C19" s="535" t="s">
        <v>580</v>
      </c>
      <c r="D19" s="102">
        <v>4</v>
      </c>
      <c r="E19" s="98">
        <v>42832</v>
      </c>
      <c r="F19" s="101">
        <f t="shared" si="28"/>
        <v>8865000</v>
      </c>
      <c r="G19" s="103">
        <f t="shared" si="16"/>
        <v>184687.5</v>
      </c>
      <c r="H19" s="99">
        <v>7202812.5</v>
      </c>
      <c r="I19" s="99">
        <f t="shared" si="12"/>
        <v>184687.5</v>
      </c>
      <c r="J19" s="99">
        <f t="shared" si="13"/>
        <v>184687.5</v>
      </c>
      <c r="K19" s="99">
        <f t="shared" si="14"/>
        <v>184687.5</v>
      </c>
      <c r="L19" s="99">
        <f t="shared" si="17"/>
        <v>184687.5</v>
      </c>
      <c r="M19" s="99">
        <f t="shared" si="18"/>
        <v>184687.5</v>
      </c>
      <c r="N19" s="99">
        <f t="shared" si="19"/>
        <v>184687.5</v>
      </c>
      <c r="O19" s="99">
        <f t="shared" si="20"/>
        <v>184687.5</v>
      </c>
      <c r="P19" s="99">
        <f t="shared" si="21"/>
        <v>184687.5</v>
      </c>
      <c r="Q19" s="99">
        <f t="shared" si="22"/>
        <v>184687.5</v>
      </c>
      <c r="R19" s="99">
        <f t="shared" si="23"/>
        <v>184687.5</v>
      </c>
      <c r="S19" s="99">
        <f t="shared" si="24"/>
        <v>184687.5</v>
      </c>
      <c r="T19" s="99">
        <f t="shared" si="25"/>
        <v>184687.5</v>
      </c>
      <c r="U19" s="99">
        <f t="shared" si="26"/>
        <v>2216250</v>
      </c>
      <c r="V19" s="99">
        <f t="shared" si="27"/>
        <v>4986562.5</v>
      </c>
    </row>
    <row r="20" spans="1:22">
      <c r="A20" s="96">
        <v>15</v>
      </c>
      <c r="B20" s="97" t="s">
        <v>381</v>
      </c>
      <c r="C20" s="535" t="s">
        <v>581</v>
      </c>
      <c r="D20" s="102">
        <v>4</v>
      </c>
      <c r="E20" s="98">
        <v>42832</v>
      </c>
      <c r="F20" s="101">
        <f t="shared" si="28"/>
        <v>8865000</v>
      </c>
      <c r="G20" s="103">
        <f t="shared" si="16"/>
        <v>184687.5</v>
      </c>
      <c r="H20" s="99">
        <v>7202812.5</v>
      </c>
      <c r="I20" s="99">
        <f t="shared" si="12"/>
        <v>184687.5</v>
      </c>
      <c r="J20" s="99">
        <f t="shared" si="13"/>
        <v>184687.5</v>
      </c>
      <c r="K20" s="99">
        <f t="shared" si="14"/>
        <v>184687.5</v>
      </c>
      <c r="L20" s="99">
        <f t="shared" si="17"/>
        <v>184687.5</v>
      </c>
      <c r="M20" s="99">
        <f t="shared" si="18"/>
        <v>184687.5</v>
      </c>
      <c r="N20" s="99">
        <f t="shared" si="19"/>
        <v>184687.5</v>
      </c>
      <c r="O20" s="99">
        <f t="shared" si="20"/>
        <v>184687.5</v>
      </c>
      <c r="P20" s="99">
        <f t="shared" si="21"/>
        <v>184687.5</v>
      </c>
      <c r="Q20" s="99">
        <f t="shared" si="22"/>
        <v>184687.5</v>
      </c>
      <c r="R20" s="99">
        <f t="shared" si="23"/>
        <v>184687.5</v>
      </c>
      <c r="S20" s="99">
        <f t="shared" si="24"/>
        <v>184687.5</v>
      </c>
      <c r="T20" s="99">
        <f t="shared" si="25"/>
        <v>184687.5</v>
      </c>
      <c r="U20" s="99">
        <f t="shared" si="26"/>
        <v>2216250</v>
      </c>
      <c r="V20" s="99">
        <f t="shared" si="27"/>
        <v>4986562.5</v>
      </c>
    </row>
    <row r="21" spans="1:22">
      <c r="A21" s="96">
        <v>16</v>
      </c>
      <c r="B21" s="97" t="s">
        <v>381</v>
      </c>
      <c r="C21" s="535" t="s">
        <v>582</v>
      </c>
      <c r="D21" s="102">
        <v>4</v>
      </c>
      <c r="E21" s="98">
        <v>42832</v>
      </c>
      <c r="F21" s="101">
        <f t="shared" si="28"/>
        <v>8865000</v>
      </c>
      <c r="G21" s="103">
        <f t="shared" si="16"/>
        <v>184687.5</v>
      </c>
      <c r="H21" s="99">
        <v>7202812.5</v>
      </c>
      <c r="I21" s="99">
        <f t="shared" si="12"/>
        <v>184687.5</v>
      </c>
      <c r="J21" s="99">
        <f t="shared" si="13"/>
        <v>184687.5</v>
      </c>
      <c r="K21" s="99">
        <f t="shared" si="14"/>
        <v>184687.5</v>
      </c>
      <c r="L21" s="99">
        <f t="shared" si="17"/>
        <v>184687.5</v>
      </c>
      <c r="M21" s="99">
        <f t="shared" si="18"/>
        <v>184687.5</v>
      </c>
      <c r="N21" s="99">
        <f t="shared" si="19"/>
        <v>184687.5</v>
      </c>
      <c r="O21" s="99">
        <f t="shared" si="20"/>
        <v>184687.5</v>
      </c>
      <c r="P21" s="99">
        <f t="shared" si="21"/>
        <v>184687.5</v>
      </c>
      <c r="Q21" s="99">
        <f t="shared" si="22"/>
        <v>184687.5</v>
      </c>
      <c r="R21" s="99">
        <f t="shared" si="23"/>
        <v>184687.5</v>
      </c>
      <c r="S21" s="99">
        <f t="shared" si="24"/>
        <v>184687.5</v>
      </c>
      <c r="T21" s="99">
        <f t="shared" si="25"/>
        <v>184687.5</v>
      </c>
      <c r="U21" s="99">
        <f t="shared" si="26"/>
        <v>2216250</v>
      </c>
      <c r="V21" s="99">
        <f t="shared" si="27"/>
        <v>4986562.5</v>
      </c>
    </row>
    <row r="22" spans="1:22">
      <c r="A22" s="96">
        <v>17</v>
      </c>
      <c r="B22" s="97" t="s">
        <v>381</v>
      </c>
      <c r="C22" s="535" t="s">
        <v>583</v>
      </c>
      <c r="D22" s="102">
        <v>4</v>
      </c>
      <c r="E22" s="98">
        <v>42832</v>
      </c>
      <c r="F22" s="101">
        <f t="shared" si="28"/>
        <v>8865000</v>
      </c>
      <c r="G22" s="103">
        <f t="shared" si="16"/>
        <v>184687.5</v>
      </c>
      <c r="H22" s="99">
        <v>7202812.5</v>
      </c>
      <c r="I22" s="99">
        <f t="shared" si="12"/>
        <v>184687.5</v>
      </c>
      <c r="J22" s="99">
        <f t="shared" si="13"/>
        <v>184687.5</v>
      </c>
      <c r="K22" s="99">
        <f t="shared" si="14"/>
        <v>184687.5</v>
      </c>
      <c r="L22" s="99">
        <f t="shared" si="17"/>
        <v>184687.5</v>
      </c>
      <c r="M22" s="99">
        <f t="shared" si="18"/>
        <v>184687.5</v>
      </c>
      <c r="N22" s="99">
        <f t="shared" si="19"/>
        <v>184687.5</v>
      </c>
      <c r="O22" s="99">
        <f t="shared" si="20"/>
        <v>184687.5</v>
      </c>
      <c r="P22" s="99">
        <f t="shared" si="21"/>
        <v>184687.5</v>
      </c>
      <c r="Q22" s="99">
        <f t="shared" si="22"/>
        <v>184687.5</v>
      </c>
      <c r="R22" s="99">
        <f t="shared" si="23"/>
        <v>184687.5</v>
      </c>
      <c r="S22" s="99">
        <f t="shared" si="24"/>
        <v>184687.5</v>
      </c>
      <c r="T22" s="99">
        <f t="shared" si="25"/>
        <v>184687.5</v>
      </c>
      <c r="U22" s="99">
        <f t="shared" si="26"/>
        <v>2216250</v>
      </c>
      <c r="V22" s="99">
        <f t="shared" si="27"/>
        <v>4986562.5</v>
      </c>
    </row>
    <row r="23" spans="1:22">
      <c r="A23" s="96">
        <v>18</v>
      </c>
      <c r="B23" s="97" t="s">
        <v>381</v>
      </c>
      <c r="C23" s="535" t="s">
        <v>584</v>
      </c>
      <c r="D23" s="102">
        <v>4</v>
      </c>
      <c r="E23" s="98">
        <v>42832</v>
      </c>
      <c r="F23" s="101">
        <f t="shared" si="28"/>
        <v>8865000</v>
      </c>
      <c r="G23" s="103">
        <f t="shared" si="16"/>
        <v>184687.5</v>
      </c>
      <c r="H23" s="99">
        <v>7202812.5</v>
      </c>
      <c r="I23" s="99">
        <f t="shared" si="12"/>
        <v>184687.5</v>
      </c>
      <c r="J23" s="99">
        <f t="shared" si="13"/>
        <v>184687.5</v>
      </c>
      <c r="K23" s="99">
        <f t="shared" si="14"/>
        <v>184687.5</v>
      </c>
      <c r="L23" s="99">
        <f t="shared" si="17"/>
        <v>184687.5</v>
      </c>
      <c r="M23" s="99">
        <f t="shared" si="18"/>
        <v>184687.5</v>
      </c>
      <c r="N23" s="99">
        <f t="shared" si="19"/>
        <v>184687.5</v>
      </c>
      <c r="O23" s="99">
        <f t="shared" si="20"/>
        <v>184687.5</v>
      </c>
      <c r="P23" s="99">
        <f t="shared" si="21"/>
        <v>184687.5</v>
      </c>
      <c r="Q23" s="99">
        <f t="shared" si="22"/>
        <v>184687.5</v>
      </c>
      <c r="R23" s="99">
        <f t="shared" si="23"/>
        <v>184687.5</v>
      </c>
      <c r="S23" s="99">
        <f t="shared" si="24"/>
        <v>184687.5</v>
      </c>
      <c r="T23" s="99">
        <f t="shared" si="25"/>
        <v>184687.5</v>
      </c>
      <c r="U23" s="99">
        <f t="shared" si="26"/>
        <v>2216250</v>
      </c>
      <c r="V23" s="99">
        <f t="shared" si="27"/>
        <v>4986562.5</v>
      </c>
    </row>
    <row r="24" spans="1:22">
      <c r="A24" s="96">
        <v>19</v>
      </c>
      <c r="B24" s="97" t="s">
        <v>381</v>
      </c>
      <c r="C24" s="535" t="s">
        <v>585</v>
      </c>
      <c r="D24" s="102">
        <v>4</v>
      </c>
      <c r="E24" s="98">
        <v>42832</v>
      </c>
      <c r="F24" s="101">
        <f t="shared" si="28"/>
        <v>8865000</v>
      </c>
      <c r="G24" s="103">
        <f t="shared" si="16"/>
        <v>184687.5</v>
      </c>
      <c r="H24" s="99">
        <v>7202812.5</v>
      </c>
      <c r="I24" s="99">
        <f t="shared" si="12"/>
        <v>184687.5</v>
      </c>
      <c r="J24" s="99">
        <f t="shared" si="13"/>
        <v>184687.5</v>
      </c>
      <c r="K24" s="99">
        <f t="shared" si="14"/>
        <v>184687.5</v>
      </c>
      <c r="L24" s="99">
        <f t="shared" si="17"/>
        <v>184687.5</v>
      </c>
      <c r="M24" s="99">
        <f t="shared" si="18"/>
        <v>184687.5</v>
      </c>
      <c r="N24" s="99">
        <f t="shared" si="19"/>
        <v>184687.5</v>
      </c>
      <c r="O24" s="99">
        <f t="shared" si="20"/>
        <v>184687.5</v>
      </c>
      <c r="P24" s="99">
        <f t="shared" si="21"/>
        <v>184687.5</v>
      </c>
      <c r="Q24" s="99">
        <f t="shared" si="22"/>
        <v>184687.5</v>
      </c>
      <c r="R24" s="99">
        <f t="shared" si="23"/>
        <v>184687.5</v>
      </c>
      <c r="S24" s="99">
        <f t="shared" si="24"/>
        <v>184687.5</v>
      </c>
      <c r="T24" s="99">
        <f t="shared" si="25"/>
        <v>184687.5</v>
      </c>
      <c r="U24" s="99">
        <f t="shared" si="26"/>
        <v>2216250</v>
      </c>
      <c r="V24" s="99">
        <f t="shared" si="27"/>
        <v>4986562.5</v>
      </c>
    </row>
    <row r="25" spans="1:22">
      <c r="A25" s="96">
        <v>20</v>
      </c>
      <c r="B25" s="97" t="s">
        <v>380</v>
      </c>
      <c r="C25" s="535" t="s">
        <v>586</v>
      </c>
      <c r="D25" s="102">
        <v>4</v>
      </c>
      <c r="E25" s="98">
        <v>42832</v>
      </c>
      <c r="F25" s="101">
        <v>1755000</v>
      </c>
      <c r="G25" s="103">
        <f t="shared" si="16"/>
        <v>36562.5</v>
      </c>
      <c r="H25" s="99">
        <v>1425937.5</v>
      </c>
      <c r="I25" s="99">
        <f t="shared" si="12"/>
        <v>36562.5</v>
      </c>
      <c r="J25" s="99">
        <f t="shared" si="13"/>
        <v>36562.5</v>
      </c>
      <c r="K25" s="99">
        <f t="shared" si="14"/>
        <v>36562.5</v>
      </c>
      <c r="L25" s="99">
        <f t="shared" si="17"/>
        <v>36562.5</v>
      </c>
      <c r="M25" s="99">
        <f t="shared" si="18"/>
        <v>36562.5</v>
      </c>
      <c r="N25" s="99">
        <f t="shared" si="19"/>
        <v>36562.5</v>
      </c>
      <c r="O25" s="99">
        <f t="shared" si="20"/>
        <v>36562.5</v>
      </c>
      <c r="P25" s="99">
        <f t="shared" si="21"/>
        <v>36562.5</v>
      </c>
      <c r="Q25" s="99">
        <f t="shared" si="22"/>
        <v>36562.5</v>
      </c>
      <c r="R25" s="99">
        <f t="shared" si="23"/>
        <v>36562.5</v>
      </c>
      <c r="S25" s="99">
        <f t="shared" si="24"/>
        <v>36562.5</v>
      </c>
      <c r="T25" s="99">
        <f t="shared" si="25"/>
        <v>36562.5</v>
      </c>
      <c r="U25" s="99">
        <f t="shared" si="26"/>
        <v>438750</v>
      </c>
      <c r="V25" s="99">
        <f t="shared" si="27"/>
        <v>987187.5</v>
      </c>
    </row>
    <row r="26" spans="1:22">
      <c r="A26" s="96">
        <v>21</v>
      </c>
      <c r="B26" s="97" t="s">
        <v>382</v>
      </c>
      <c r="C26" s="535" t="s">
        <v>587</v>
      </c>
      <c r="D26" s="102">
        <v>4</v>
      </c>
      <c r="E26" s="98">
        <v>42832</v>
      </c>
      <c r="F26" s="101">
        <v>2775000</v>
      </c>
      <c r="G26" s="103">
        <f t="shared" si="16"/>
        <v>57812.5</v>
      </c>
      <c r="H26" s="99">
        <v>2254687.5</v>
      </c>
      <c r="I26" s="99">
        <f t="shared" si="12"/>
        <v>57812.5</v>
      </c>
      <c r="J26" s="99">
        <f t="shared" si="13"/>
        <v>57812.5</v>
      </c>
      <c r="K26" s="99">
        <f t="shared" si="14"/>
        <v>57812.5</v>
      </c>
      <c r="L26" s="99">
        <f t="shared" si="17"/>
        <v>57812.5</v>
      </c>
      <c r="M26" s="99">
        <f t="shared" si="18"/>
        <v>57812.5</v>
      </c>
      <c r="N26" s="99">
        <f t="shared" si="19"/>
        <v>57812.5</v>
      </c>
      <c r="O26" s="99">
        <f t="shared" si="20"/>
        <v>57812.5</v>
      </c>
      <c r="P26" s="99">
        <f t="shared" si="21"/>
        <v>57812.5</v>
      </c>
      <c r="Q26" s="99">
        <f t="shared" si="22"/>
        <v>57812.5</v>
      </c>
      <c r="R26" s="99">
        <f t="shared" si="23"/>
        <v>57812.5</v>
      </c>
      <c r="S26" s="99">
        <f t="shared" si="24"/>
        <v>57812.5</v>
      </c>
      <c r="T26" s="99">
        <f t="shared" si="25"/>
        <v>57812.5</v>
      </c>
      <c r="U26" s="99">
        <f t="shared" si="26"/>
        <v>693750</v>
      </c>
      <c r="V26" s="99">
        <f t="shared" si="27"/>
        <v>1560937.5</v>
      </c>
    </row>
    <row r="27" spans="1:22">
      <c r="A27" s="96">
        <v>22</v>
      </c>
      <c r="B27" s="97" t="s">
        <v>383</v>
      </c>
      <c r="C27" s="535" t="s">
        <v>588</v>
      </c>
      <c r="D27" s="102">
        <v>4</v>
      </c>
      <c r="E27" s="98">
        <v>42832</v>
      </c>
      <c r="F27" s="101">
        <v>2050000</v>
      </c>
      <c r="G27" s="103">
        <f t="shared" si="16"/>
        <v>42708.333333333336</v>
      </c>
      <c r="H27" s="99">
        <v>1665625</v>
      </c>
      <c r="I27" s="99">
        <f t="shared" si="12"/>
        <v>42708.333333333336</v>
      </c>
      <c r="J27" s="99">
        <f t="shared" si="13"/>
        <v>42708.333333333336</v>
      </c>
      <c r="K27" s="99">
        <f t="shared" si="14"/>
        <v>42708.333333333336</v>
      </c>
      <c r="L27" s="99">
        <f t="shared" si="17"/>
        <v>42708.333333333336</v>
      </c>
      <c r="M27" s="99">
        <f t="shared" si="18"/>
        <v>42708.333333333336</v>
      </c>
      <c r="N27" s="99">
        <f t="shared" si="19"/>
        <v>42708.333333333336</v>
      </c>
      <c r="O27" s="99">
        <f t="shared" si="20"/>
        <v>42708.333333333336</v>
      </c>
      <c r="P27" s="99">
        <f t="shared" si="21"/>
        <v>42708.333333333336</v>
      </c>
      <c r="Q27" s="99">
        <f t="shared" si="22"/>
        <v>42708.333333333336</v>
      </c>
      <c r="R27" s="99">
        <f t="shared" si="23"/>
        <v>42708.333333333336</v>
      </c>
      <c r="S27" s="99">
        <f t="shared" si="24"/>
        <v>42708.333333333336</v>
      </c>
      <c r="T27" s="99">
        <f t="shared" si="25"/>
        <v>42708.333333333336</v>
      </c>
      <c r="U27" s="99">
        <f t="shared" si="26"/>
        <v>512499.99999999994</v>
      </c>
      <c r="V27" s="99">
        <f t="shared" si="27"/>
        <v>1153125</v>
      </c>
    </row>
    <row r="28" spans="1:22">
      <c r="A28" s="96">
        <v>23</v>
      </c>
      <c r="B28" s="97" t="s">
        <v>383</v>
      </c>
      <c r="C28" s="535" t="s">
        <v>589</v>
      </c>
      <c r="D28" s="102">
        <v>4</v>
      </c>
      <c r="E28" s="98">
        <v>42832</v>
      </c>
      <c r="F28" s="101">
        <v>2050000</v>
      </c>
      <c r="G28" s="103">
        <f t="shared" si="16"/>
        <v>42708.333333333336</v>
      </c>
      <c r="H28" s="99">
        <v>1665625</v>
      </c>
      <c r="I28" s="99">
        <f t="shared" si="12"/>
        <v>42708.333333333336</v>
      </c>
      <c r="J28" s="99">
        <f t="shared" si="13"/>
        <v>42708.333333333336</v>
      </c>
      <c r="K28" s="99">
        <f t="shared" si="14"/>
        <v>42708.333333333336</v>
      </c>
      <c r="L28" s="99">
        <f t="shared" si="17"/>
        <v>42708.333333333336</v>
      </c>
      <c r="M28" s="99">
        <f t="shared" si="18"/>
        <v>42708.333333333336</v>
      </c>
      <c r="N28" s="99">
        <f t="shared" si="19"/>
        <v>42708.333333333336</v>
      </c>
      <c r="O28" s="99">
        <f t="shared" si="20"/>
        <v>42708.333333333336</v>
      </c>
      <c r="P28" s="99">
        <f t="shared" si="21"/>
        <v>42708.333333333336</v>
      </c>
      <c r="Q28" s="99">
        <f t="shared" si="22"/>
        <v>42708.333333333336</v>
      </c>
      <c r="R28" s="99">
        <f t="shared" si="23"/>
        <v>42708.333333333336</v>
      </c>
      <c r="S28" s="99">
        <f t="shared" si="24"/>
        <v>42708.333333333336</v>
      </c>
      <c r="T28" s="99">
        <f t="shared" si="25"/>
        <v>42708.333333333336</v>
      </c>
      <c r="U28" s="99">
        <f t="shared" si="26"/>
        <v>512499.99999999994</v>
      </c>
      <c r="V28" s="99">
        <f t="shared" si="27"/>
        <v>1153125</v>
      </c>
    </row>
    <row r="29" spans="1:22">
      <c r="A29" s="96">
        <v>24</v>
      </c>
      <c r="B29" s="97" t="s">
        <v>383</v>
      </c>
      <c r="C29" s="535" t="s">
        <v>590</v>
      </c>
      <c r="D29" s="102">
        <v>4</v>
      </c>
      <c r="E29" s="98">
        <v>42832</v>
      </c>
      <c r="F29" s="101">
        <v>2050000</v>
      </c>
      <c r="G29" s="103">
        <f t="shared" si="16"/>
        <v>42708.333333333336</v>
      </c>
      <c r="H29" s="99">
        <v>1665625</v>
      </c>
      <c r="I29" s="99">
        <f t="shared" si="12"/>
        <v>42708.333333333336</v>
      </c>
      <c r="J29" s="99">
        <f t="shared" si="13"/>
        <v>42708.333333333336</v>
      </c>
      <c r="K29" s="99">
        <f t="shared" si="14"/>
        <v>42708.333333333336</v>
      </c>
      <c r="L29" s="99">
        <f t="shared" si="17"/>
        <v>42708.333333333336</v>
      </c>
      <c r="M29" s="99">
        <f t="shared" si="18"/>
        <v>42708.333333333336</v>
      </c>
      <c r="N29" s="99">
        <f t="shared" si="19"/>
        <v>42708.333333333336</v>
      </c>
      <c r="O29" s="99">
        <f t="shared" si="20"/>
        <v>42708.333333333336</v>
      </c>
      <c r="P29" s="99">
        <f t="shared" si="21"/>
        <v>42708.333333333336</v>
      </c>
      <c r="Q29" s="99">
        <f t="shared" si="22"/>
        <v>42708.333333333336</v>
      </c>
      <c r="R29" s="99">
        <f t="shared" si="23"/>
        <v>42708.333333333336</v>
      </c>
      <c r="S29" s="99">
        <f t="shared" si="24"/>
        <v>42708.333333333336</v>
      </c>
      <c r="T29" s="99">
        <f t="shared" si="25"/>
        <v>42708.333333333336</v>
      </c>
      <c r="U29" s="99">
        <f t="shared" si="26"/>
        <v>512499.99999999994</v>
      </c>
      <c r="V29" s="99">
        <f t="shared" si="27"/>
        <v>1153125</v>
      </c>
    </row>
    <row r="30" spans="1:22">
      <c r="A30" s="96">
        <v>25</v>
      </c>
      <c r="B30" s="97" t="s">
        <v>385</v>
      </c>
      <c r="C30" s="535" t="s">
        <v>591</v>
      </c>
      <c r="D30" s="102">
        <v>4</v>
      </c>
      <c r="E30" s="98">
        <v>42832</v>
      </c>
      <c r="F30" s="101">
        <v>635000</v>
      </c>
      <c r="G30" s="103">
        <f t="shared" si="16"/>
        <v>13229.166666666666</v>
      </c>
      <c r="H30" s="99">
        <v>515937.5</v>
      </c>
      <c r="I30" s="99">
        <f t="shared" si="12"/>
        <v>13229.166666666666</v>
      </c>
      <c r="J30" s="99">
        <f t="shared" si="13"/>
        <v>13229.166666666666</v>
      </c>
      <c r="K30" s="99">
        <f t="shared" si="14"/>
        <v>13229.166666666666</v>
      </c>
      <c r="L30" s="99">
        <f t="shared" si="17"/>
        <v>13229.166666666666</v>
      </c>
      <c r="M30" s="99">
        <f t="shared" si="18"/>
        <v>13229.166666666666</v>
      </c>
      <c r="N30" s="99">
        <f t="shared" si="19"/>
        <v>13229.166666666666</v>
      </c>
      <c r="O30" s="99">
        <f t="shared" si="20"/>
        <v>13229.166666666666</v>
      </c>
      <c r="P30" s="99">
        <f t="shared" si="21"/>
        <v>13229.166666666666</v>
      </c>
      <c r="Q30" s="99">
        <f t="shared" si="22"/>
        <v>13229.166666666666</v>
      </c>
      <c r="R30" s="99">
        <f t="shared" si="23"/>
        <v>13229.166666666666</v>
      </c>
      <c r="S30" s="99">
        <f t="shared" si="24"/>
        <v>13229.166666666666</v>
      </c>
      <c r="T30" s="99">
        <f t="shared" si="25"/>
        <v>13229.166666666666</v>
      </c>
      <c r="U30" s="99">
        <f t="shared" si="26"/>
        <v>158750</v>
      </c>
      <c r="V30" s="99">
        <f t="shared" si="27"/>
        <v>357187.5</v>
      </c>
    </row>
    <row r="31" spans="1:22">
      <c r="A31" s="96">
        <v>26</v>
      </c>
      <c r="B31" s="97" t="s">
        <v>385</v>
      </c>
      <c r="C31" s="535" t="s">
        <v>592</v>
      </c>
      <c r="D31" s="102">
        <v>4</v>
      </c>
      <c r="E31" s="98">
        <v>42832</v>
      </c>
      <c r="F31" s="101">
        <v>635000</v>
      </c>
      <c r="G31" s="103">
        <f t="shared" si="16"/>
        <v>13229.166666666666</v>
      </c>
      <c r="H31" s="99">
        <v>515937.5</v>
      </c>
      <c r="I31" s="99">
        <f t="shared" si="12"/>
        <v>13229.166666666666</v>
      </c>
      <c r="J31" s="99">
        <f t="shared" si="13"/>
        <v>13229.166666666666</v>
      </c>
      <c r="K31" s="99">
        <f t="shared" si="14"/>
        <v>13229.166666666666</v>
      </c>
      <c r="L31" s="99">
        <f t="shared" si="17"/>
        <v>13229.166666666666</v>
      </c>
      <c r="M31" s="99">
        <f t="shared" si="18"/>
        <v>13229.166666666666</v>
      </c>
      <c r="N31" s="99">
        <f t="shared" si="19"/>
        <v>13229.166666666666</v>
      </c>
      <c r="O31" s="99">
        <f t="shared" si="20"/>
        <v>13229.166666666666</v>
      </c>
      <c r="P31" s="99">
        <f t="shared" si="21"/>
        <v>13229.166666666666</v>
      </c>
      <c r="Q31" s="99">
        <f t="shared" si="22"/>
        <v>13229.166666666666</v>
      </c>
      <c r="R31" s="99">
        <f t="shared" si="23"/>
        <v>13229.166666666666</v>
      </c>
      <c r="S31" s="99">
        <f t="shared" si="24"/>
        <v>13229.166666666666</v>
      </c>
      <c r="T31" s="99">
        <f t="shared" si="25"/>
        <v>13229.166666666666</v>
      </c>
      <c r="U31" s="99">
        <f t="shared" si="26"/>
        <v>158750</v>
      </c>
      <c r="V31" s="99">
        <f t="shared" si="27"/>
        <v>357187.5</v>
      </c>
    </row>
    <row r="32" spans="1:22">
      <c r="A32" s="96">
        <v>27</v>
      </c>
      <c r="B32" s="97" t="s">
        <v>384</v>
      </c>
      <c r="C32" s="535" t="s">
        <v>593</v>
      </c>
      <c r="D32" s="102">
        <v>4</v>
      </c>
      <c r="E32" s="98">
        <v>42832</v>
      </c>
      <c r="F32" s="101">
        <v>1350000</v>
      </c>
      <c r="G32" s="103">
        <f t="shared" si="16"/>
        <v>28125</v>
      </c>
      <c r="H32" s="99">
        <v>1096875</v>
      </c>
      <c r="I32" s="99">
        <f t="shared" si="12"/>
        <v>28125</v>
      </c>
      <c r="J32" s="99">
        <f t="shared" si="13"/>
        <v>28125</v>
      </c>
      <c r="K32" s="99">
        <f t="shared" si="14"/>
        <v>28125</v>
      </c>
      <c r="L32" s="99">
        <f t="shared" si="17"/>
        <v>28125</v>
      </c>
      <c r="M32" s="99">
        <f t="shared" si="18"/>
        <v>28125</v>
      </c>
      <c r="N32" s="99">
        <f t="shared" si="19"/>
        <v>28125</v>
      </c>
      <c r="O32" s="99">
        <f t="shared" si="20"/>
        <v>28125</v>
      </c>
      <c r="P32" s="99">
        <f t="shared" si="21"/>
        <v>28125</v>
      </c>
      <c r="Q32" s="99">
        <f t="shared" si="22"/>
        <v>28125</v>
      </c>
      <c r="R32" s="99">
        <f t="shared" si="23"/>
        <v>28125</v>
      </c>
      <c r="S32" s="99">
        <f t="shared" si="24"/>
        <v>28125</v>
      </c>
      <c r="T32" s="99">
        <f t="shared" si="25"/>
        <v>28125</v>
      </c>
      <c r="U32" s="99">
        <f t="shared" si="26"/>
        <v>337500</v>
      </c>
      <c r="V32" s="99">
        <f t="shared" si="27"/>
        <v>759375</v>
      </c>
    </row>
    <row r="33" spans="1:22">
      <c r="A33" s="96">
        <v>28</v>
      </c>
      <c r="B33" s="97" t="s">
        <v>386</v>
      </c>
      <c r="C33" s="535" t="s">
        <v>594</v>
      </c>
      <c r="D33" s="102">
        <v>4</v>
      </c>
      <c r="E33" s="98">
        <v>42832</v>
      </c>
      <c r="F33" s="101">
        <v>2900000</v>
      </c>
      <c r="G33" s="103">
        <f t="shared" si="16"/>
        <v>60416.666666666664</v>
      </c>
      <c r="H33" s="99">
        <v>2356250</v>
      </c>
      <c r="I33" s="99">
        <f t="shared" si="12"/>
        <v>60416.666666666664</v>
      </c>
      <c r="J33" s="99">
        <f t="shared" si="13"/>
        <v>60416.666666666664</v>
      </c>
      <c r="K33" s="99">
        <f t="shared" si="14"/>
        <v>60416.666666666664</v>
      </c>
      <c r="L33" s="99">
        <f t="shared" si="17"/>
        <v>60416.666666666664</v>
      </c>
      <c r="M33" s="99">
        <f t="shared" si="18"/>
        <v>60416.666666666664</v>
      </c>
      <c r="N33" s="99">
        <f t="shared" si="19"/>
        <v>60416.666666666664</v>
      </c>
      <c r="O33" s="99">
        <f t="shared" si="20"/>
        <v>60416.666666666664</v>
      </c>
      <c r="P33" s="99">
        <f t="shared" si="21"/>
        <v>60416.666666666664</v>
      </c>
      <c r="Q33" s="99">
        <f t="shared" si="22"/>
        <v>60416.666666666664</v>
      </c>
      <c r="R33" s="99">
        <f t="shared" si="23"/>
        <v>60416.666666666664</v>
      </c>
      <c r="S33" s="99">
        <f t="shared" si="24"/>
        <v>60416.666666666664</v>
      </c>
      <c r="T33" s="99">
        <f t="shared" si="25"/>
        <v>60416.666666666664</v>
      </c>
      <c r="U33" s="99">
        <f t="shared" si="26"/>
        <v>724999.99999999988</v>
      </c>
      <c r="V33" s="99">
        <f t="shared" si="27"/>
        <v>1631250</v>
      </c>
    </row>
    <row r="34" spans="1:22">
      <c r="A34" s="96">
        <v>29</v>
      </c>
      <c r="B34" s="97" t="s">
        <v>387</v>
      </c>
      <c r="C34" s="535" t="s">
        <v>595</v>
      </c>
      <c r="D34" s="102">
        <v>4</v>
      </c>
      <c r="E34" s="98">
        <v>42832</v>
      </c>
      <c r="F34" s="101">
        <v>15150000</v>
      </c>
      <c r="G34" s="103">
        <f t="shared" si="16"/>
        <v>315625</v>
      </c>
      <c r="H34" s="99">
        <v>12309375</v>
      </c>
      <c r="I34" s="99">
        <f t="shared" si="12"/>
        <v>315625</v>
      </c>
      <c r="J34" s="99">
        <f t="shared" si="13"/>
        <v>315625</v>
      </c>
      <c r="K34" s="99">
        <f t="shared" si="14"/>
        <v>315625</v>
      </c>
      <c r="L34" s="99">
        <f t="shared" si="17"/>
        <v>315625</v>
      </c>
      <c r="M34" s="99">
        <f t="shared" si="18"/>
        <v>315625</v>
      </c>
      <c r="N34" s="99">
        <f t="shared" si="19"/>
        <v>315625</v>
      </c>
      <c r="O34" s="99">
        <f t="shared" si="20"/>
        <v>315625</v>
      </c>
      <c r="P34" s="99">
        <f t="shared" si="21"/>
        <v>315625</v>
      </c>
      <c r="Q34" s="99">
        <f t="shared" si="22"/>
        <v>315625</v>
      </c>
      <c r="R34" s="99">
        <f t="shared" si="23"/>
        <v>315625</v>
      </c>
      <c r="S34" s="99">
        <f t="shared" si="24"/>
        <v>315625</v>
      </c>
      <c r="T34" s="99">
        <f t="shared" si="25"/>
        <v>315625</v>
      </c>
      <c r="U34" s="99">
        <f t="shared" si="26"/>
        <v>3787500</v>
      </c>
      <c r="V34" s="99">
        <f t="shared" si="27"/>
        <v>8521875</v>
      </c>
    </row>
    <row r="35" spans="1:22">
      <c r="A35" s="96">
        <v>30</v>
      </c>
      <c r="B35" s="97" t="s">
        <v>378</v>
      </c>
      <c r="C35" s="535" t="s">
        <v>596</v>
      </c>
      <c r="D35" s="102">
        <v>4</v>
      </c>
      <c r="E35" s="98">
        <v>42832</v>
      </c>
      <c r="F35" s="101">
        <v>2115000</v>
      </c>
      <c r="G35" s="103">
        <f t="shared" si="16"/>
        <v>44062.5</v>
      </c>
      <c r="H35" s="99">
        <v>1718437.5</v>
      </c>
      <c r="I35" s="99">
        <f t="shared" si="12"/>
        <v>44062.5</v>
      </c>
      <c r="J35" s="99">
        <f t="shared" si="13"/>
        <v>44062.5</v>
      </c>
      <c r="K35" s="99">
        <f t="shared" si="14"/>
        <v>44062.5</v>
      </c>
      <c r="L35" s="99">
        <f t="shared" si="17"/>
        <v>44062.5</v>
      </c>
      <c r="M35" s="99">
        <f t="shared" si="18"/>
        <v>44062.5</v>
      </c>
      <c r="N35" s="99">
        <f t="shared" si="19"/>
        <v>44062.5</v>
      </c>
      <c r="O35" s="99">
        <f t="shared" si="20"/>
        <v>44062.5</v>
      </c>
      <c r="P35" s="99">
        <f t="shared" si="21"/>
        <v>44062.5</v>
      </c>
      <c r="Q35" s="99">
        <f t="shared" si="22"/>
        <v>44062.5</v>
      </c>
      <c r="R35" s="99">
        <f t="shared" si="23"/>
        <v>44062.5</v>
      </c>
      <c r="S35" s="99">
        <f t="shared" si="24"/>
        <v>44062.5</v>
      </c>
      <c r="T35" s="99">
        <f t="shared" si="25"/>
        <v>44062.5</v>
      </c>
      <c r="U35" s="99">
        <f t="shared" si="26"/>
        <v>528750</v>
      </c>
      <c r="V35" s="99">
        <f t="shared" si="27"/>
        <v>1189687.5</v>
      </c>
    </row>
    <row r="36" spans="1:22">
      <c r="A36" s="96">
        <v>31</v>
      </c>
      <c r="B36" s="97" t="s">
        <v>378</v>
      </c>
      <c r="C36" s="535" t="s">
        <v>597</v>
      </c>
      <c r="D36" s="102">
        <v>4</v>
      </c>
      <c r="E36" s="98">
        <v>42832</v>
      </c>
      <c r="F36" s="101">
        <v>2115000</v>
      </c>
      <c r="G36" s="103">
        <f t="shared" si="16"/>
        <v>44062.5</v>
      </c>
      <c r="H36" s="99">
        <v>1718437.5</v>
      </c>
      <c r="I36" s="99">
        <f t="shared" si="12"/>
        <v>44062.5</v>
      </c>
      <c r="J36" s="99">
        <f t="shared" si="13"/>
        <v>44062.5</v>
      </c>
      <c r="K36" s="99">
        <f t="shared" si="14"/>
        <v>44062.5</v>
      </c>
      <c r="L36" s="99">
        <f t="shared" si="17"/>
        <v>44062.5</v>
      </c>
      <c r="M36" s="99">
        <f t="shared" si="18"/>
        <v>44062.5</v>
      </c>
      <c r="N36" s="99">
        <f t="shared" si="19"/>
        <v>44062.5</v>
      </c>
      <c r="O36" s="99">
        <f t="shared" si="20"/>
        <v>44062.5</v>
      </c>
      <c r="P36" s="99">
        <f t="shared" si="21"/>
        <v>44062.5</v>
      </c>
      <c r="Q36" s="99">
        <f t="shared" si="22"/>
        <v>44062.5</v>
      </c>
      <c r="R36" s="99">
        <f t="shared" si="23"/>
        <v>44062.5</v>
      </c>
      <c r="S36" s="99">
        <f t="shared" si="24"/>
        <v>44062.5</v>
      </c>
      <c r="T36" s="99">
        <f t="shared" si="25"/>
        <v>44062.5</v>
      </c>
      <c r="U36" s="99">
        <f t="shared" si="26"/>
        <v>528750</v>
      </c>
      <c r="V36" s="99">
        <f t="shared" si="27"/>
        <v>1189687.5</v>
      </c>
    </row>
    <row r="37" spans="1:22">
      <c r="A37" s="96">
        <v>32</v>
      </c>
      <c r="B37" s="97" t="s">
        <v>388</v>
      </c>
      <c r="C37" s="535" t="s">
        <v>598</v>
      </c>
      <c r="D37" s="96">
        <v>4</v>
      </c>
      <c r="E37" s="98">
        <v>42832</v>
      </c>
      <c r="F37" s="99">
        <v>1775000</v>
      </c>
      <c r="G37" s="103">
        <f t="shared" ref="G37:G46" si="29">+F37/48</f>
        <v>36979.166666666664</v>
      </c>
      <c r="H37" s="99">
        <v>1442187.5</v>
      </c>
      <c r="I37" s="99">
        <f t="shared" si="12"/>
        <v>36979.166666666664</v>
      </c>
      <c r="J37" s="99">
        <f t="shared" si="13"/>
        <v>36979.166666666664</v>
      </c>
      <c r="K37" s="99">
        <f t="shared" si="14"/>
        <v>36979.166666666664</v>
      </c>
      <c r="L37" s="99">
        <f t="shared" ref="L37:L56" si="30">G37</f>
        <v>36979.166666666664</v>
      </c>
      <c r="M37" s="99">
        <f t="shared" ref="M37:M56" si="31">G37</f>
        <v>36979.166666666664</v>
      </c>
      <c r="N37" s="99">
        <f t="shared" ref="N37:N43" si="32">G37</f>
        <v>36979.166666666664</v>
      </c>
      <c r="O37" s="99">
        <f t="shared" ref="O37:O43" si="33">G37</f>
        <v>36979.166666666664</v>
      </c>
      <c r="P37" s="99">
        <f t="shared" ref="P37:P43" si="34">G37</f>
        <v>36979.166666666664</v>
      </c>
      <c r="Q37" s="99">
        <f t="shared" ref="Q37:Q43" si="35">G37</f>
        <v>36979.166666666664</v>
      </c>
      <c r="R37" s="99">
        <f t="shared" ref="R37:R43" si="36">G37</f>
        <v>36979.166666666664</v>
      </c>
      <c r="S37" s="99">
        <f t="shared" ref="S37:S43" si="37">G37</f>
        <v>36979.166666666664</v>
      </c>
      <c r="T37" s="99">
        <f t="shared" ref="T37:T43" si="38">G37</f>
        <v>36979.166666666664</v>
      </c>
      <c r="U37" s="99">
        <f t="shared" ref="U37:U42" si="39">SUM(I37:T37)</f>
        <v>443750.00000000006</v>
      </c>
      <c r="V37" s="99">
        <f t="shared" ref="V37:V42" si="40">H37-U37</f>
        <v>998437.5</v>
      </c>
    </row>
    <row r="38" spans="1:22">
      <c r="A38" s="96">
        <v>33</v>
      </c>
      <c r="B38" s="97" t="s">
        <v>389</v>
      </c>
      <c r="C38" s="535" t="s">
        <v>599</v>
      </c>
      <c r="D38" s="96">
        <v>4</v>
      </c>
      <c r="E38" s="98">
        <v>42832</v>
      </c>
      <c r="F38" s="99">
        <v>2995000</v>
      </c>
      <c r="G38" s="103">
        <f t="shared" si="29"/>
        <v>62395.833333333336</v>
      </c>
      <c r="H38" s="99">
        <v>2433437.5</v>
      </c>
      <c r="I38" s="99">
        <f t="shared" si="12"/>
        <v>62395.833333333336</v>
      </c>
      <c r="J38" s="99">
        <f t="shared" si="13"/>
        <v>62395.833333333336</v>
      </c>
      <c r="K38" s="99">
        <f t="shared" si="14"/>
        <v>62395.833333333336</v>
      </c>
      <c r="L38" s="99">
        <f t="shared" si="30"/>
        <v>62395.833333333336</v>
      </c>
      <c r="M38" s="99">
        <f t="shared" si="31"/>
        <v>62395.833333333336</v>
      </c>
      <c r="N38" s="99">
        <f t="shared" si="32"/>
        <v>62395.833333333336</v>
      </c>
      <c r="O38" s="99">
        <f t="shared" si="33"/>
        <v>62395.833333333336</v>
      </c>
      <c r="P38" s="99">
        <f t="shared" si="34"/>
        <v>62395.833333333336</v>
      </c>
      <c r="Q38" s="99">
        <f t="shared" si="35"/>
        <v>62395.833333333336</v>
      </c>
      <c r="R38" s="99">
        <f t="shared" si="36"/>
        <v>62395.833333333336</v>
      </c>
      <c r="S38" s="99">
        <f t="shared" si="37"/>
        <v>62395.833333333336</v>
      </c>
      <c r="T38" s="99">
        <f t="shared" si="38"/>
        <v>62395.833333333336</v>
      </c>
      <c r="U38" s="99">
        <f t="shared" si="39"/>
        <v>748750.00000000012</v>
      </c>
      <c r="V38" s="99">
        <f t="shared" si="40"/>
        <v>1684687.5</v>
      </c>
    </row>
    <row r="39" spans="1:22">
      <c r="A39" s="96">
        <v>34</v>
      </c>
      <c r="B39" s="97" t="s">
        <v>389</v>
      </c>
      <c r="C39" s="535" t="s">
        <v>600</v>
      </c>
      <c r="D39" s="96">
        <v>4</v>
      </c>
      <c r="E39" s="98">
        <v>42832</v>
      </c>
      <c r="F39" s="99">
        <v>2995000</v>
      </c>
      <c r="G39" s="103">
        <f t="shared" si="29"/>
        <v>62395.833333333336</v>
      </c>
      <c r="H39" s="99">
        <v>2433437.5</v>
      </c>
      <c r="I39" s="99">
        <f t="shared" si="12"/>
        <v>62395.833333333336</v>
      </c>
      <c r="J39" s="99">
        <f t="shared" si="13"/>
        <v>62395.833333333336</v>
      </c>
      <c r="K39" s="99">
        <f t="shared" si="14"/>
        <v>62395.833333333336</v>
      </c>
      <c r="L39" s="99">
        <f t="shared" si="30"/>
        <v>62395.833333333336</v>
      </c>
      <c r="M39" s="99">
        <f t="shared" si="31"/>
        <v>62395.833333333336</v>
      </c>
      <c r="N39" s="99">
        <f t="shared" si="32"/>
        <v>62395.833333333336</v>
      </c>
      <c r="O39" s="99">
        <f t="shared" si="33"/>
        <v>62395.833333333336</v>
      </c>
      <c r="P39" s="99">
        <f t="shared" si="34"/>
        <v>62395.833333333336</v>
      </c>
      <c r="Q39" s="99">
        <f t="shared" si="35"/>
        <v>62395.833333333336</v>
      </c>
      <c r="R39" s="99">
        <f t="shared" si="36"/>
        <v>62395.833333333336</v>
      </c>
      <c r="S39" s="99">
        <f t="shared" si="37"/>
        <v>62395.833333333336</v>
      </c>
      <c r="T39" s="99">
        <f t="shared" si="38"/>
        <v>62395.833333333336</v>
      </c>
      <c r="U39" s="99">
        <f t="shared" si="39"/>
        <v>748750.00000000012</v>
      </c>
      <c r="V39" s="99">
        <f t="shared" si="40"/>
        <v>1684687.5</v>
      </c>
    </row>
    <row r="40" spans="1:22">
      <c r="A40" s="96">
        <v>35</v>
      </c>
      <c r="B40" s="97" t="s">
        <v>390</v>
      </c>
      <c r="C40" s="535" t="s">
        <v>601</v>
      </c>
      <c r="D40" s="96">
        <v>4</v>
      </c>
      <c r="E40" s="98">
        <v>42851</v>
      </c>
      <c r="F40" s="99">
        <v>825000</v>
      </c>
      <c r="G40" s="103">
        <f t="shared" si="29"/>
        <v>17187.5</v>
      </c>
      <c r="H40" s="99">
        <v>670312.5</v>
      </c>
      <c r="I40" s="99">
        <f t="shared" si="12"/>
        <v>17187.5</v>
      </c>
      <c r="J40" s="99">
        <f t="shared" si="13"/>
        <v>17187.5</v>
      </c>
      <c r="K40" s="99">
        <f t="shared" si="14"/>
        <v>17187.5</v>
      </c>
      <c r="L40" s="99">
        <f t="shared" si="30"/>
        <v>17187.5</v>
      </c>
      <c r="M40" s="99">
        <f t="shared" si="31"/>
        <v>17187.5</v>
      </c>
      <c r="N40" s="99">
        <f t="shared" si="32"/>
        <v>17187.5</v>
      </c>
      <c r="O40" s="99">
        <f t="shared" si="33"/>
        <v>17187.5</v>
      </c>
      <c r="P40" s="99">
        <f t="shared" si="34"/>
        <v>17187.5</v>
      </c>
      <c r="Q40" s="99">
        <f t="shared" si="35"/>
        <v>17187.5</v>
      </c>
      <c r="R40" s="99">
        <f t="shared" si="36"/>
        <v>17187.5</v>
      </c>
      <c r="S40" s="99">
        <f t="shared" si="37"/>
        <v>17187.5</v>
      </c>
      <c r="T40" s="99">
        <f t="shared" si="38"/>
        <v>17187.5</v>
      </c>
      <c r="U40" s="99">
        <f t="shared" si="39"/>
        <v>206250</v>
      </c>
      <c r="V40" s="99">
        <f t="shared" si="40"/>
        <v>464062.5</v>
      </c>
    </row>
    <row r="41" spans="1:22">
      <c r="A41" s="96">
        <v>36</v>
      </c>
      <c r="B41" s="97" t="s">
        <v>391</v>
      </c>
      <c r="C41" s="535" t="s">
        <v>602</v>
      </c>
      <c r="D41" s="96">
        <v>4</v>
      </c>
      <c r="E41" s="98">
        <v>42851</v>
      </c>
      <c r="F41" s="99">
        <v>3135000</v>
      </c>
      <c r="G41" s="103">
        <f t="shared" si="29"/>
        <v>65312.5</v>
      </c>
      <c r="H41" s="99">
        <v>2547187.5</v>
      </c>
      <c r="I41" s="99">
        <f t="shared" si="12"/>
        <v>65312.5</v>
      </c>
      <c r="J41" s="99">
        <f t="shared" si="13"/>
        <v>65312.5</v>
      </c>
      <c r="K41" s="99">
        <f t="shared" si="14"/>
        <v>65312.5</v>
      </c>
      <c r="L41" s="99">
        <f t="shared" si="30"/>
        <v>65312.5</v>
      </c>
      <c r="M41" s="99">
        <f t="shared" si="31"/>
        <v>65312.5</v>
      </c>
      <c r="N41" s="99">
        <f t="shared" si="32"/>
        <v>65312.5</v>
      </c>
      <c r="O41" s="99">
        <f t="shared" si="33"/>
        <v>65312.5</v>
      </c>
      <c r="P41" s="99">
        <f t="shared" si="34"/>
        <v>65312.5</v>
      </c>
      <c r="Q41" s="99">
        <f t="shared" si="35"/>
        <v>65312.5</v>
      </c>
      <c r="R41" s="99">
        <f t="shared" si="36"/>
        <v>65312.5</v>
      </c>
      <c r="S41" s="99">
        <f t="shared" si="37"/>
        <v>65312.5</v>
      </c>
      <c r="T41" s="99">
        <f t="shared" si="38"/>
        <v>65312.5</v>
      </c>
      <c r="U41" s="99">
        <f t="shared" si="39"/>
        <v>783750</v>
      </c>
      <c r="V41" s="99">
        <f t="shared" si="40"/>
        <v>1763437.5</v>
      </c>
    </row>
    <row r="42" spans="1:22">
      <c r="A42" s="96">
        <v>37</v>
      </c>
      <c r="B42" s="97" t="s">
        <v>392</v>
      </c>
      <c r="C42" s="535" t="s">
        <v>603</v>
      </c>
      <c r="D42" s="96">
        <v>4</v>
      </c>
      <c r="E42" s="98">
        <v>42851</v>
      </c>
      <c r="F42" s="99">
        <v>1540000</v>
      </c>
      <c r="G42" s="103">
        <f t="shared" si="29"/>
        <v>32083.333333333332</v>
      </c>
      <c r="H42" s="99">
        <v>1251250</v>
      </c>
      <c r="I42" s="99">
        <f t="shared" si="12"/>
        <v>32083.333333333332</v>
      </c>
      <c r="J42" s="99">
        <f t="shared" si="13"/>
        <v>32083.333333333332</v>
      </c>
      <c r="K42" s="99">
        <f t="shared" si="14"/>
        <v>32083.333333333332</v>
      </c>
      <c r="L42" s="99">
        <f t="shared" si="30"/>
        <v>32083.333333333332</v>
      </c>
      <c r="M42" s="99">
        <f t="shared" si="31"/>
        <v>32083.333333333332</v>
      </c>
      <c r="N42" s="99">
        <f t="shared" si="32"/>
        <v>32083.333333333332</v>
      </c>
      <c r="O42" s="99">
        <f t="shared" si="33"/>
        <v>32083.333333333332</v>
      </c>
      <c r="P42" s="99">
        <f t="shared" si="34"/>
        <v>32083.333333333332</v>
      </c>
      <c r="Q42" s="99">
        <f t="shared" si="35"/>
        <v>32083.333333333332</v>
      </c>
      <c r="R42" s="99">
        <f t="shared" si="36"/>
        <v>32083.333333333332</v>
      </c>
      <c r="S42" s="99">
        <f t="shared" si="37"/>
        <v>32083.333333333332</v>
      </c>
      <c r="T42" s="99">
        <f t="shared" si="38"/>
        <v>32083.333333333332</v>
      </c>
      <c r="U42" s="99">
        <f t="shared" si="39"/>
        <v>384999.99999999994</v>
      </c>
      <c r="V42" s="99">
        <f t="shared" si="40"/>
        <v>866250</v>
      </c>
    </row>
    <row r="43" spans="1:22">
      <c r="A43" s="96">
        <v>38</v>
      </c>
      <c r="B43" s="97" t="s">
        <v>408</v>
      </c>
      <c r="C43" s="535" t="s">
        <v>604</v>
      </c>
      <c r="D43" s="96">
        <v>4</v>
      </c>
      <c r="E43" s="98">
        <v>42858</v>
      </c>
      <c r="F43" s="99">
        <v>2650000</v>
      </c>
      <c r="G43" s="103">
        <f t="shared" si="29"/>
        <v>55208.333333333336</v>
      </c>
      <c r="H43" s="99">
        <v>2208333.3333333335</v>
      </c>
      <c r="I43" s="99">
        <f t="shared" si="12"/>
        <v>55208.333333333336</v>
      </c>
      <c r="J43" s="99">
        <f t="shared" si="13"/>
        <v>55208.333333333336</v>
      </c>
      <c r="K43" s="99">
        <f t="shared" si="14"/>
        <v>55208.333333333336</v>
      </c>
      <c r="L43" s="99">
        <f t="shared" si="30"/>
        <v>55208.333333333336</v>
      </c>
      <c r="M43" s="99">
        <f t="shared" si="31"/>
        <v>55208.333333333336</v>
      </c>
      <c r="N43" s="99">
        <f t="shared" si="32"/>
        <v>55208.333333333336</v>
      </c>
      <c r="O43" s="99">
        <f t="shared" si="33"/>
        <v>55208.333333333336</v>
      </c>
      <c r="P43" s="99">
        <f t="shared" si="34"/>
        <v>55208.333333333336</v>
      </c>
      <c r="Q43" s="99">
        <f t="shared" si="35"/>
        <v>55208.333333333336</v>
      </c>
      <c r="R43" s="99">
        <f t="shared" si="36"/>
        <v>55208.333333333336</v>
      </c>
      <c r="S43" s="99">
        <f t="shared" si="37"/>
        <v>55208.333333333336</v>
      </c>
      <c r="T43" s="99">
        <f t="shared" si="38"/>
        <v>55208.333333333336</v>
      </c>
      <c r="U43" s="99">
        <f t="shared" ref="U43:U50" si="41">SUM(I43:T43)</f>
        <v>662500</v>
      </c>
      <c r="V43" s="99">
        <f t="shared" ref="V43:V50" si="42">H43-U43</f>
        <v>1545833.3333333335</v>
      </c>
    </row>
    <row r="44" spans="1:22">
      <c r="A44" s="96">
        <v>39</v>
      </c>
      <c r="B44" s="97" t="s">
        <v>409</v>
      </c>
      <c r="C44" s="535" t="s">
        <v>605</v>
      </c>
      <c r="D44" s="96">
        <v>4</v>
      </c>
      <c r="E44" s="98">
        <v>42858</v>
      </c>
      <c r="F44" s="99">
        <v>2379000</v>
      </c>
      <c r="G44" s="103">
        <f t="shared" si="29"/>
        <v>49562.5</v>
      </c>
      <c r="H44" s="99">
        <v>1982500</v>
      </c>
      <c r="I44" s="99">
        <f t="shared" si="12"/>
        <v>49562.5</v>
      </c>
      <c r="J44" s="99">
        <f t="shared" si="13"/>
        <v>49562.5</v>
      </c>
      <c r="K44" s="99">
        <f t="shared" si="14"/>
        <v>49562.5</v>
      </c>
      <c r="L44" s="99">
        <f t="shared" si="30"/>
        <v>49562.5</v>
      </c>
      <c r="M44" s="99">
        <f t="shared" si="31"/>
        <v>49562.5</v>
      </c>
      <c r="N44" s="99">
        <f t="shared" ref="N44:N56" si="43">G44</f>
        <v>49562.5</v>
      </c>
      <c r="O44" s="99">
        <f t="shared" ref="O44:O56" si="44">G44</f>
        <v>49562.5</v>
      </c>
      <c r="P44" s="99">
        <f t="shared" ref="P44:P50" si="45">G44</f>
        <v>49562.5</v>
      </c>
      <c r="Q44" s="99">
        <f t="shared" ref="Q44:Q50" si="46">G44</f>
        <v>49562.5</v>
      </c>
      <c r="R44" s="99">
        <f t="shared" ref="R44:R50" si="47">G44</f>
        <v>49562.5</v>
      </c>
      <c r="S44" s="99">
        <f t="shared" ref="S44:S50" si="48">G44</f>
        <v>49562.5</v>
      </c>
      <c r="T44" s="99">
        <f t="shared" ref="T44:T50" si="49">G44</f>
        <v>49562.5</v>
      </c>
      <c r="U44" s="99">
        <f t="shared" si="41"/>
        <v>594750</v>
      </c>
      <c r="V44" s="99">
        <f t="shared" si="42"/>
        <v>1387750</v>
      </c>
    </row>
    <row r="45" spans="1:22">
      <c r="A45" s="96">
        <v>40</v>
      </c>
      <c r="B45" s="97" t="s">
        <v>410</v>
      </c>
      <c r="C45" s="535" t="s">
        <v>606</v>
      </c>
      <c r="D45" s="96">
        <v>4</v>
      </c>
      <c r="E45" s="98">
        <v>42858</v>
      </c>
      <c r="F45" s="99">
        <f>3379000-310000</f>
        <v>3069000</v>
      </c>
      <c r="G45" s="103">
        <f t="shared" si="29"/>
        <v>63937.5</v>
      </c>
      <c r="H45" s="99">
        <v>2557500</v>
      </c>
      <c r="I45" s="99">
        <f t="shared" si="12"/>
        <v>63937.5</v>
      </c>
      <c r="J45" s="99">
        <f t="shared" si="13"/>
        <v>63937.5</v>
      </c>
      <c r="K45" s="99">
        <f t="shared" si="14"/>
        <v>63937.5</v>
      </c>
      <c r="L45" s="99">
        <f t="shared" si="30"/>
        <v>63937.5</v>
      </c>
      <c r="M45" s="99">
        <f t="shared" si="31"/>
        <v>63937.5</v>
      </c>
      <c r="N45" s="99">
        <f t="shared" si="43"/>
        <v>63937.5</v>
      </c>
      <c r="O45" s="99">
        <f t="shared" si="44"/>
        <v>63937.5</v>
      </c>
      <c r="P45" s="99">
        <f t="shared" si="45"/>
        <v>63937.5</v>
      </c>
      <c r="Q45" s="99">
        <f t="shared" si="46"/>
        <v>63937.5</v>
      </c>
      <c r="R45" s="99">
        <f t="shared" si="47"/>
        <v>63937.5</v>
      </c>
      <c r="S45" s="99">
        <f t="shared" si="48"/>
        <v>63937.5</v>
      </c>
      <c r="T45" s="99">
        <f t="shared" si="49"/>
        <v>63937.5</v>
      </c>
      <c r="U45" s="99">
        <f t="shared" si="41"/>
        <v>767250</v>
      </c>
      <c r="V45" s="99">
        <f t="shared" si="42"/>
        <v>1790250</v>
      </c>
    </row>
    <row r="46" spans="1:22">
      <c r="A46" s="96">
        <v>41</v>
      </c>
      <c r="B46" s="97" t="s">
        <v>411</v>
      </c>
      <c r="C46" s="535" t="s">
        <v>607</v>
      </c>
      <c r="D46" s="96">
        <v>4</v>
      </c>
      <c r="E46" s="98">
        <v>42858</v>
      </c>
      <c r="F46" s="99">
        <v>1639000</v>
      </c>
      <c r="G46" s="103">
        <f t="shared" si="29"/>
        <v>34145.833333333336</v>
      </c>
      <c r="H46" s="99">
        <v>1365833.3333333333</v>
      </c>
      <c r="I46" s="99">
        <f t="shared" si="12"/>
        <v>34145.833333333336</v>
      </c>
      <c r="J46" s="99">
        <f t="shared" si="13"/>
        <v>34145.833333333336</v>
      </c>
      <c r="K46" s="99">
        <f t="shared" si="14"/>
        <v>34145.833333333336</v>
      </c>
      <c r="L46" s="99">
        <f t="shared" si="30"/>
        <v>34145.833333333336</v>
      </c>
      <c r="M46" s="99">
        <f t="shared" si="31"/>
        <v>34145.833333333336</v>
      </c>
      <c r="N46" s="99">
        <f t="shared" si="43"/>
        <v>34145.833333333336</v>
      </c>
      <c r="O46" s="99">
        <f t="shared" si="44"/>
        <v>34145.833333333336</v>
      </c>
      <c r="P46" s="99">
        <f t="shared" si="45"/>
        <v>34145.833333333336</v>
      </c>
      <c r="Q46" s="99">
        <f t="shared" si="46"/>
        <v>34145.833333333336</v>
      </c>
      <c r="R46" s="99">
        <f t="shared" si="47"/>
        <v>34145.833333333336</v>
      </c>
      <c r="S46" s="99">
        <f t="shared" si="48"/>
        <v>34145.833333333336</v>
      </c>
      <c r="T46" s="99">
        <f t="shared" si="49"/>
        <v>34145.833333333336</v>
      </c>
      <c r="U46" s="99">
        <f t="shared" si="41"/>
        <v>409749.99999999994</v>
      </c>
      <c r="V46" s="99">
        <f t="shared" si="42"/>
        <v>956083.33333333326</v>
      </c>
    </row>
    <row r="47" spans="1:22">
      <c r="A47" s="96">
        <v>42</v>
      </c>
      <c r="B47" s="97" t="s">
        <v>406</v>
      </c>
      <c r="C47" s="535" t="s">
        <v>608</v>
      </c>
      <c r="D47" s="96">
        <v>4</v>
      </c>
      <c r="E47" s="98">
        <v>42860</v>
      </c>
      <c r="F47" s="99">
        <v>116141000</v>
      </c>
      <c r="G47" s="103">
        <f>+F47/48</f>
        <v>2419604.1666666665</v>
      </c>
      <c r="H47" s="99">
        <v>96784166.666666672</v>
      </c>
      <c r="I47" s="99">
        <f t="shared" si="12"/>
        <v>2419604.1666666665</v>
      </c>
      <c r="J47" s="99">
        <f t="shared" si="13"/>
        <v>2419604.1666666665</v>
      </c>
      <c r="K47" s="99">
        <f t="shared" si="14"/>
        <v>2419604.1666666665</v>
      </c>
      <c r="L47" s="99">
        <f t="shared" si="30"/>
        <v>2419604.1666666665</v>
      </c>
      <c r="M47" s="99">
        <f t="shared" si="31"/>
        <v>2419604.1666666665</v>
      </c>
      <c r="N47" s="99">
        <f t="shared" si="43"/>
        <v>2419604.1666666665</v>
      </c>
      <c r="O47" s="99">
        <f t="shared" si="44"/>
        <v>2419604.1666666665</v>
      </c>
      <c r="P47" s="99">
        <f t="shared" si="45"/>
        <v>2419604.1666666665</v>
      </c>
      <c r="Q47" s="99">
        <f t="shared" si="46"/>
        <v>2419604.1666666665</v>
      </c>
      <c r="R47" s="99">
        <f t="shared" si="47"/>
        <v>2419604.1666666665</v>
      </c>
      <c r="S47" s="99">
        <f t="shared" si="48"/>
        <v>2419604.1666666665</v>
      </c>
      <c r="T47" s="99">
        <f t="shared" si="49"/>
        <v>2419604.1666666665</v>
      </c>
      <c r="U47" s="99">
        <f t="shared" si="41"/>
        <v>29035250.000000004</v>
      </c>
      <c r="V47" s="99">
        <f t="shared" si="42"/>
        <v>67748916.666666672</v>
      </c>
    </row>
    <row r="48" spans="1:22" s="462" customFormat="1">
      <c r="A48" s="96">
        <v>43</v>
      </c>
      <c r="B48" s="97" t="s">
        <v>407</v>
      </c>
      <c r="C48" s="535" t="s">
        <v>609</v>
      </c>
      <c r="D48" s="96">
        <v>4</v>
      </c>
      <c r="E48" s="98">
        <v>42860</v>
      </c>
      <c r="F48" s="99">
        <v>22365000</v>
      </c>
      <c r="G48" s="103">
        <f>+F48/48</f>
        <v>465937.5</v>
      </c>
      <c r="H48" s="99">
        <v>18637500</v>
      </c>
      <c r="I48" s="99">
        <f t="shared" si="12"/>
        <v>465937.5</v>
      </c>
      <c r="J48" s="99">
        <f t="shared" si="13"/>
        <v>465937.5</v>
      </c>
      <c r="K48" s="99">
        <f t="shared" si="14"/>
        <v>465937.5</v>
      </c>
      <c r="L48" s="99">
        <f t="shared" si="30"/>
        <v>465937.5</v>
      </c>
      <c r="M48" s="99">
        <f t="shared" si="31"/>
        <v>465937.5</v>
      </c>
      <c r="N48" s="99">
        <f t="shared" si="43"/>
        <v>465937.5</v>
      </c>
      <c r="O48" s="99">
        <f t="shared" si="44"/>
        <v>465937.5</v>
      </c>
      <c r="P48" s="99">
        <f t="shared" si="45"/>
        <v>465937.5</v>
      </c>
      <c r="Q48" s="99">
        <f t="shared" si="46"/>
        <v>465937.5</v>
      </c>
      <c r="R48" s="99">
        <f t="shared" si="47"/>
        <v>465937.5</v>
      </c>
      <c r="S48" s="99">
        <f t="shared" si="48"/>
        <v>465937.5</v>
      </c>
      <c r="T48" s="99">
        <f t="shared" si="49"/>
        <v>465937.5</v>
      </c>
      <c r="U48" s="99">
        <f t="shared" si="41"/>
        <v>5591250</v>
      </c>
      <c r="V48" s="99">
        <f t="shared" si="42"/>
        <v>13046250</v>
      </c>
    </row>
    <row r="49" spans="1:22">
      <c r="A49" s="96">
        <v>44</v>
      </c>
      <c r="B49" s="97" t="s">
        <v>414</v>
      </c>
      <c r="C49" s="535" t="s">
        <v>610</v>
      </c>
      <c r="D49" s="96">
        <v>4</v>
      </c>
      <c r="E49" s="98">
        <v>42873</v>
      </c>
      <c r="F49" s="99">
        <v>2900000</v>
      </c>
      <c r="G49" s="103">
        <f>+F49/48</f>
        <v>60416.666666666664</v>
      </c>
      <c r="H49" s="99">
        <v>2416666.6666666665</v>
      </c>
      <c r="I49" s="99">
        <f t="shared" si="12"/>
        <v>60416.666666666664</v>
      </c>
      <c r="J49" s="99">
        <f t="shared" si="13"/>
        <v>60416.666666666664</v>
      </c>
      <c r="K49" s="99">
        <f t="shared" si="14"/>
        <v>60416.666666666664</v>
      </c>
      <c r="L49" s="99">
        <f t="shared" si="30"/>
        <v>60416.666666666664</v>
      </c>
      <c r="M49" s="99">
        <f t="shared" si="31"/>
        <v>60416.666666666664</v>
      </c>
      <c r="N49" s="99">
        <f t="shared" si="43"/>
        <v>60416.666666666664</v>
      </c>
      <c r="O49" s="99">
        <f t="shared" si="44"/>
        <v>60416.666666666664</v>
      </c>
      <c r="P49" s="99">
        <f t="shared" si="45"/>
        <v>60416.666666666664</v>
      </c>
      <c r="Q49" s="99">
        <f t="shared" si="46"/>
        <v>60416.666666666664</v>
      </c>
      <c r="R49" s="99">
        <f t="shared" si="47"/>
        <v>60416.666666666664</v>
      </c>
      <c r="S49" s="99">
        <f t="shared" si="48"/>
        <v>60416.666666666664</v>
      </c>
      <c r="T49" s="99">
        <f t="shared" si="49"/>
        <v>60416.666666666664</v>
      </c>
      <c r="U49" s="99">
        <f t="shared" si="41"/>
        <v>724999.99999999988</v>
      </c>
      <c r="V49" s="99">
        <f t="shared" si="42"/>
        <v>1691666.6666666665</v>
      </c>
    </row>
    <row r="50" spans="1:22">
      <c r="A50" s="96">
        <v>45</v>
      </c>
      <c r="B50" s="97" t="s">
        <v>415</v>
      </c>
      <c r="C50" s="535" t="s">
        <v>611</v>
      </c>
      <c r="D50" s="96">
        <v>4</v>
      </c>
      <c r="E50" s="98">
        <v>42873</v>
      </c>
      <c r="F50" s="99">
        <v>2050000</v>
      </c>
      <c r="G50" s="103">
        <f>+F50/48</f>
        <v>42708.333333333336</v>
      </c>
      <c r="H50" s="99">
        <v>1708333.3333333333</v>
      </c>
      <c r="I50" s="99">
        <f t="shared" si="12"/>
        <v>42708.333333333336</v>
      </c>
      <c r="J50" s="99">
        <f t="shared" si="13"/>
        <v>42708.333333333336</v>
      </c>
      <c r="K50" s="99">
        <f t="shared" si="14"/>
        <v>42708.333333333336</v>
      </c>
      <c r="L50" s="99">
        <f t="shared" si="30"/>
        <v>42708.333333333336</v>
      </c>
      <c r="M50" s="99">
        <f t="shared" si="31"/>
        <v>42708.333333333336</v>
      </c>
      <c r="N50" s="99">
        <f t="shared" si="43"/>
        <v>42708.333333333336</v>
      </c>
      <c r="O50" s="99">
        <f t="shared" si="44"/>
        <v>42708.333333333336</v>
      </c>
      <c r="P50" s="99">
        <f t="shared" si="45"/>
        <v>42708.333333333336</v>
      </c>
      <c r="Q50" s="99">
        <f t="shared" si="46"/>
        <v>42708.333333333336</v>
      </c>
      <c r="R50" s="99">
        <f t="shared" si="47"/>
        <v>42708.333333333336</v>
      </c>
      <c r="S50" s="99">
        <f t="shared" si="48"/>
        <v>42708.333333333336</v>
      </c>
      <c r="T50" s="99">
        <f t="shared" si="49"/>
        <v>42708.333333333336</v>
      </c>
      <c r="U50" s="99">
        <f t="shared" si="41"/>
        <v>512499.99999999994</v>
      </c>
      <c r="V50" s="99">
        <f t="shared" si="42"/>
        <v>1195833.3333333333</v>
      </c>
    </row>
    <row r="51" spans="1:22">
      <c r="A51" s="96">
        <v>67</v>
      </c>
      <c r="B51" s="97" t="s">
        <v>441</v>
      </c>
      <c r="C51" s="535" t="s">
        <v>612</v>
      </c>
      <c r="D51" s="96">
        <v>4</v>
      </c>
      <c r="E51" s="98">
        <v>42871</v>
      </c>
      <c r="F51" s="99">
        <v>1525000</v>
      </c>
      <c r="G51" s="103">
        <f>+F51/48+4</f>
        <v>31774.833333333332</v>
      </c>
      <c r="H51" s="99">
        <v>1270801.3333333333</v>
      </c>
      <c r="I51" s="99">
        <f t="shared" si="12"/>
        <v>31774.833333333332</v>
      </c>
      <c r="J51" s="99">
        <f t="shared" si="13"/>
        <v>31774.833333333332</v>
      </c>
      <c r="K51" s="99">
        <f t="shared" si="14"/>
        <v>31774.833333333332</v>
      </c>
      <c r="L51" s="99">
        <f t="shared" si="30"/>
        <v>31774.833333333332</v>
      </c>
      <c r="M51" s="99">
        <f t="shared" si="31"/>
        <v>31774.833333333332</v>
      </c>
      <c r="N51" s="99">
        <f t="shared" si="43"/>
        <v>31774.833333333332</v>
      </c>
      <c r="O51" s="99">
        <f t="shared" si="44"/>
        <v>31774.833333333332</v>
      </c>
      <c r="P51" s="99">
        <f t="shared" ref="P51:P72" si="50">G51</f>
        <v>31774.833333333332</v>
      </c>
      <c r="Q51" s="99">
        <f t="shared" ref="Q51:Q59" si="51">G51</f>
        <v>31774.833333333332</v>
      </c>
      <c r="R51" s="99">
        <f t="shared" ref="R51:R59" si="52">G51</f>
        <v>31774.833333333332</v>
      </c>
      <c r="S51" s="99">
        <f>G51</f>
        <v>31774.833333333332</v>
      </c>
      <c r="T51" s="99">
        <f>G51</f>
        <v>31774.833333333332</v>
      </c>
      <c r="U51" s="99">
        <f t="shared" ref="U51:U59" si="53">SUM(I51:T51)</f>
        <v>381297.99999999994</v>
      </c>
      <c r="V51" s="99">
        <f t="shared" ref="V51:V59" si="54">H51-U51</f>
        <v>889503.33333333326</v>
      </c>
    </row>
    <row r="52" spans="1:22">
      <c r="A52" s="96">
        <v>69</v>
      </c>
      <c r="B52" s="97" t="s">
        <v>560</v>
      </c>
      <c r="C52" s="535" t="s">
        <v>613</v>
      </c>
      <c r="D52" s="96">
        <v>4</v>
      </c>
      <c r="E52" s="98">
        <v>42907</v>
      </c>
      <c r="F52" s="99">
        <v>2600000</v>
      </c>
      <c r="G52" s="103">
        <f t="shared" ref="G52:G57" si="55">+F52/48</f>
        <v>54166.666666666664</v>
      </c>
      <c r="H52" s="99">
        <v>2220833.3333333335</v>
      </c>
      <c r="I52" s="99">
        <f t="shared" si="12"/>
        <v>54166.666666666664</v>
      </c>
      <c r="J52" s="99">
        <f t="shared" si="13"/>
        <v>54166.666666666664</v>
      </c>
      <c r="K52" s="99">
        <f t="shared" si="14"/>
        <v>54166.666666666664</v>
      </c>
      <c r="L52" s="99">
        <f t="shared" si="30"/>
        <v>54166.666666666664</v>
      </c>
      <c r="M52" s="99">
        <f t="shared" si="31"/>
        <v>54166.666666666664</v>
      </c>
      <c r="N52" s="99">
        <f t="shared" si="43"/>
        <v>54166.666666666664</v>
      </c>
      <c r="O52" s="99">
        <f t="shared" si="44"/>
        <v>54166.666666666664</v>
      </c>
      <c r="P52" s="99">
        <f t="shared" si="50"/>
        <v>54166.666666666664</v>
      </c>
      <c r="Q52" s="99">
        <f t="shared" si="51"/>
        <v>54166.666666666664</v>
      </c>
      <c r="R52" s="99">
        <f t="shared" si="52"/>
        <v>54166.666666666664</v>
      </c>
      <c r="S52" s="99">
        <f>G52</f>
        <v>54166.666666666664</v>
      </c>
      <c r="T52" s="99">
        <f>G52</f>
        <v>54166.666666666664</v>
      </c>
      <c r="U52" s="99">
        <f t="shared" si="53"/>
        <v>650000</v>
      </c>
      <c r="V52" s="99">
        <f t="shared" si="54"/>
        <v>1570833.3333333335</v>
      </c>
    </row>
    <row r="53" spans="1:22">
      <c r="A53" s="96">
        <v>70</v>
      </c>
      <c r="B53" s="97" t="s">
        <v>561</v>
      </c>
      <c r="C53" s="535" t="s">
        <v>614</v>
      </c>
      <c r="D53" s="96">
        <v>4</v>
      </c>
      <c r="E53" s="98">
        <v>42907</v>
      </c>
      <c r="F53" s="99">
        <v>2400000</v>
      </c>
      <c r="G53" s="103">
        <f t="shared" si="55"/>
        <v>50000</v>
      </c>
      <c r="H53" s="99">
        <v>2050000</v>
      </c>
      <c r="I53" s="99">
        <f t="shared" si="12"/>
        <v>50000</v>
      </c>
      <c r="J53" s="99">
        <f t="shared" si="13"/>
        <v>50000</v>
      </c>
      <c r="K53" s="99">
        <f t="shared" si="14"/>
        <v>50000</v>
      </c>
      <c r="L53" s="99">
        <f t="shared" si="30"/>
        <v>50000</v>
      </c>
      <c r="M53" s="99">
        <f t="shared" si="31"/>
        <v>50000</v>
      </c>
      <c r="N53" s="99">
        <f t="shared" si="43"/>
        <v>50000</v>
      </c>
      <c r="O53" s="99">
        <f t="shared" si="44"/>
        <v>50000</v>
      </c>
      <c r="P53" s="99">
        <f t="shared" si="50"/>
        <v>50000</v>
      </c>
      <c r="Q53" s="99">
        <f t="shared" si="51"/>
        <v>50000</v>
      </c>
      <c r="R53" s="99">
        <f t="shared" si="52"/>
        <v>50000</v>
      </c>
      <c r="S53" s="99">
        <f>G53</f>
        <v>50000</v>
      </c>
      <c r="T53" s="99">
        <f>G53</f>
        <v>50000</v>
      </c>
      <c r="U53" s="99">
        <f t="shared" si="53"/>
        <v>600000</v>
      </c>
      <c r="V53" s="99">
        <f t="shared" si="54"/>
        <v>1450000</v>
      </c>
    </row>
    <row r="54" spans="1:22">
      <c r="A54" s="96">
        <v>72</v>
      </c>
      <c r="B54" s="97" t="s">
        <v>637</v>
      </c>
      <c r="C54" s="535" t="s">
        <v>639</v>
      </c>
      <c r="D54" s="96">
        <v>4</v>
      </c>
      <c r="E54" s="98">
        <v>42949</v>
      </c>
      <c r="F54" s="99">
        <v>4600000</v>
      </c>
      <c r="G54" s="103">
        <f t="shared" si="55"/>
        <v>95833.333333333328</v>
      </c>
      <c r="H54" s="99">
        <v>4120833.3333333335</v>
      </c>
      <c r="I54" s="99">
        <f t="shared" si="12"/>
        <v>95833.333333333328</v>
      </c>
      <c r="J54" s="99">
        <f t="shared" si="13"/>
        <v>95833.333333333328</v>
      </c>
      <c r="K54" s="99">
        <f t="shared" si="14"/>
        <v>95833.333333333328</v>
      </c>
      <c r="L54" s="99">
        <f t="shared" si="30"/>
        <v>95833.333333333328</v>
      </c>
      <c r="M54" s="99">
        <f t="shared" si="31"/>
        <v>95833.333333333328</v>
      </c>
      <c r="N54" s="99">
        <f t="shared" si="43"/>
        <v>95833.333333333328</v>
      </c>
      <c r="O54" s="99">
        <f t="shared" si="44"/>
        <v>95833.333333333328</v>
      </c>
      <c r="P54" s="99">
        <f t="shared" si="50"/>
        <v>95833.333333333328</v>
      </c>
      <c r="Q54" s="99">
        <f t="shared" si="51"/>
        <v>95833.333333333328</v>
      </c>
      <c r="R54" s="99">
        <f t="shared" si="52"/>
        <v>95833.333333333328</v>
      </c>
      <c r="S54" s="99">
        <f>G54</f>
        <v>95833.333333333328</v>
      </c>
      <c r="T54" s="99">
        <f>G54</f>
        <v>95833.333333333328</v>
      </c>
      <c r="U54" s="99">
        <f t="shared" si="53"/>
        <v>1150000</v>
      </c>
      <c r="V54" s="99">
        <f t="shared" si="54"/>
        <v>2970833.3333333335</v>
      </c>
    </row>
    <row r="55" spans="1:22">
      <c r="A55" s="96">
        <v>73</v>
      </c>
      <c r="B55" s="97" t="s">
        <v>638</v>
      </c>
      <c r="C55" s="535" t="s">
        <v>640</v>
      </c>
      <c r="D55" s="96">
        <v>4</v>
      </c>
      <c r="E55" s="98">
        <v>42949</v>
      </c>
      <c r="F55" s="99">
        <v>4950000</v>
      </c>
      <c r="G55" s="103">
        <f t="shared" si="55"/>
        <v>103125</v>
      </c>
      <c r="H55" s="99">
        <v>4434375</v>
      </c>
      <c r="I55" s="99">
        <f t="shared" si="12"/>
        <v>103125</v>
      </c>
      <c r="J55" s="99">
        <f t="shared" si="13"/>
        <v>103125</v>
      </c>
      <c r="K55" s="99">
        <f t="shared" si="14"/>
        <v>103125</v>
      </c>
      <c r="L55" s="99">
        <f t="shared" si="30"/>
        <v>103125</v>
      </c>
      <c r="M55" s="99">
        <f t="shared" si="31"/>
        <v>103125</v>
      </c>
      <c r="N55" s="99">
        <f t="shared" si="43"/>
        <v>103125</v>
      </c>
      <c r="O55" s="99">
        <f t="shared" si="44"/>
        <v>103125</v>
      </c>
      <c r="P55" s="99">
        <f t="shared" si="50"/>
        <v>103125</v>
      </c>
      <c r="Q55" s="99">
        <f t="shared" si="51"/>
        <v>103125</v>
      </c>
      <c r="R55" s="99">
        <f t="shared" si="52"/>
        <v>103125</v>
      </c>
      <c r="S55" s="99">
        <f>G55</f>
        <v>103125</v>
      </c>
      <c r="T55" s="99">
        <f>G55</f>
        <v>103125</v>
      </c>
      <c r="U55" s="99">
        <f t="shared" si="53"/>
        <v>1237500</v>
      </c>
      <c r="V55" s="99">
        <f t="shared" si="54"/>
        <v>3196875</v>
      </c>
    </row>
    <row r="56" spans="1:22">
      <c r="A56" s="96">
        <v>75</v>
      </c>
      <c r="B56" s="97" t="s">
        <v>663</v>
      </c>
      <c r="C56" s="535" t="s">
        <v>664</v>
      </c>
      <c r="D56" s="96">
        <v>4</v>
      </c>
      <c r="E56" s="98">
        <v>43111</v>
      </c>
      <c r="F56" s="99">
        <v>3750000</v>
      </c>
      <c r="G56" s="103">
        <f t="shared" si="55"/>
        <v>78125</v>
      </c>
      <c r="H56" s="99">
        <f t="shared" ref="H56:H63" si="56">F56</f>
        <v>3750000</v>
      </c>
      <c r="I56" s="99">
        <f t="shared" si="12"/>
        <v>78125</v>
      </c>
      <c r="J56" s="99">
        <f t="shared" si="13"/>
        <v>78125</v>
      </c>
      <c r="K56" s="99">
        <f t="shared" si="14"/>
        <v>78125</v>
      </c>
      <c r="L56" s="99">
        <f t="shared" si="30"/>
        <v>78125</v>
      </c>
      <c r="M56" s="99">
        <f t="shared" si="31"/>
        <v>78125</v>
      </c>
      <c r="N56" s="99">
        <f t="shared" si="43"/>
        <v>78125</v>
      </c>
      <c r="O56" s="99">
        <f t="shared" si="44"/>
        <v>78125</v>
      </c>
      <c r="P56" s="99">
        <f t="shared" si="50"/>
        <v>78125</v>
      </c>
      <c r="Q56" s="99">
        <f t="shared" si="51"/>
        <v>78125</v>
      </c>
      <c r="R56" s="99">
        <f t="shared" si="52"/>
        <v>78125</v>
      </c>
      <c r="S56" s="99">
        <f>I56</f>
        <v>78125</v>
      </c>
      <c r="T56" s="99">
        <f>J56</f>
        <v>78125</v>
      </c>
      <c r="U56" s="99">
        <f t="shared" si="53"/>
        <v>937500</v>
      </c>
      <c r="V56" s="99">
        <f t="shared" si="54"/>
        <v>2812500</v>
      </c>
    </row>
    <row r="57" spans="1:22">
      <c r="A57" s="96">
        <v>76</v>
      </c>
      <c r="B57" s="97" t="s">
        <v>668</v>
      </c>
      <c r="C57" s="535" t="s">
        <v>669</v>
      </c>
      <c r="D57" s="96">
        <v>4</v>
      </c>
      <c r="E57" s="98">
        <v>43116</v>
      </c>
      <c r="F57" s="99">
        <v>1885000</v>
      </c>
      <c r="G57" s="103">
        <f t="shared" si="55"/>
        <v>39270.833333333336</v>
      </c>
      <c r="H57" s="99">
        <f t="shared" si="56"/>
        <v>1885000</v>
      </c>
      <c r="I57" s="99">
        <f>G57</f>
        <v>39270.833333333336</v>
      </c>
      <c r="J57" s="99">
        <f>G57</f>
        <v>39270.833333333336</v>
      </c>
      <c r="K57" s="99">
        <f>G57</f>
        <v>39270.833333333336</v>
      </c>
      <c r="L57" s="99">
        <f>G57</f>
        <v>39270.833333333336</v>
      </c>
      <c r="M57" s="99">
        <f t="shared" ref="M57:M62" si="57">G57</f>
        <v>39270.833333333336</v>
      </c>
      <c r="N57" s="99">
        <f t="shared" ref="N57:N62" si="58">G57</f>
        <v>39270.833333333336</v>
      </c>
      <c r="O57" s="99">
        <f t="shared" ref="O57:O62" si="59">G57</f>
        <v>39270.833333333336</v>
      </c>
      <c r="P57" s="99">
        <f t="shared" ref="P57:P63" si="60">G57</f>
        <v>39270.833333333336</v>
      </c>
      <c r="Q57" s="99">
        <f t="shared" si="51"/>
        <v>39270.833333333336</v>
      </c>
      <c r="R57" s="99">
        <f t="shared" si="52"/>
        <v>39270.833333333336</v>
      </c>
      <c r="S57" s="99">
        <f>I57</f>
        <v>39270.833333333336</v>
      </c>
      <c r="T57" s="99">
        <f>J57</f>
        <v>39270.833333333336</v>
      </c>
      <c r="U57" s="99">
        <f t="shared" si="53"/>
        <v>471249.99999999994</v>
      </c>
      <c r="V57" s="99">
        <f t="shared" si="54"/>
        <v>1413750</v>
      </c>
    </row>
    <row r="58" spans="1:22">
      <c r="A58" s="96">
        <v>77</v>
      </c>
      <c r="B58" s="97" t="s">
        <v>690</v>
      </c>
      <c r="C58" s="535" t="s">
        <v>689</v>
      </c>
      <c r="D58" s="96">
        <v>4</v>
      </c>
      <c r="E58" s="98">
        <v>43151</v>
      </c>
      <c r="F58" s="99">
        <f>22580000/2</f>
        <v>11290000</v>
      </c>
      <c r="G58" s="103">
        <f t="shared" ref="G58:G63" si="61">+F58/48</f>
        <v>235208.33333333334</v>
      </c>
      <c r="H58" s="99">
        <f t="shared" si="56"/>
        <v>11290000</v>
      </c>
      <c r="I58" s="99">
        <v>0</v>
      </c>
      <c r="J58" s="99">
        <f>G58</f>
        <v>235208.33333333334</v>
      </c>
      <c r="K58" s="99">
        <f>G58</f>
        <v>235208.33333333334</v>
      </c>
      <c r="L58" s="99">
        <f>G58</f>
        <v>235208.33333333334</v>
      </c>
      <c r="M58" s="99">
        <f t="shared" si="57"/>
        <v>235208.33333333334</v>
      </c>
      <c r="N58" s="99">
        <f t="shared" si="58"/>
        <v>235208.33333333334</v>
      </c>
      <c r="O58" s="99">
        <f t="shared" si="59"/>
        <v>235208.33333333334</v>
      </c>
      <c r="P58" s="99">
        <f t="shared" si="60"/>
        <v>235208.33333333334</v>
      </c>
      <c r="Q58" s="99">
        <f t="shared" si="51"/>
        <v>235208.33333333334</v>
      </c>
      <c r="R58" s="99">
        <f t="shared" si="52"/>
        <v>235208.33333333334</v>
      </c>
      <c r="S58" s="99">
        <f>G58</f>
        <v>235208.33333333334</v>
      </c>
      <c r="T58" s="99">
        <f>G58</f>
        <v>235208.33333333334</v>
      </c>
      <c r="U58" s="99">
        <f t="shared" si="53"/>
        <v>2587291.666666667</v>
      </c>
      <c r="V58" s="99">
        <f t="shared" si="54"/>
        <v>8702708.3333333321</v>
      </c>
    </row>
    <row r="59" spans="1:22">
      <c r="A59" s="96">
        <v>78</v>
      </c>
      <c r="B59" s="97" t="s">
        <v>690</v>
      </c>
      <c r="C59" s="535" t="s">
        <v>691</v>
      </c>
      <c r="D59" s="96">
        <v>4</v>
      </c>
      <c r="E59" s="98">
        <v>43151</v>
      </c>
      <c r="F59" s="99">
        <f>22580000/2</f>
        <v>11290000</v>
      </c>
      <c r="G59" s="103">
        <f t="shared" si="61"/>
        <v>235208.33333333334</v>
      </c>
      <c r="H59" s="99">
        <f t="shared" si="56"/>
        <v>11290000</v>
      </c>
      <c r="I59" s="99">
        <v>0</v>
      </c>
      <c r="J59" s="99">
        <f>G59</f>
        <v>235208.33333333334</v>
      </c>
      <c r="K59" s="99">
        <f>G59</f>
        <v>235208.33333333334</v>
      </c>
      <c r="L59" s="99">
        <f>G59</f>
        <v>235208.33333333334</v>
      </c>
      <c r="M59" s="99">
        <f t="shared" si="57"/>
        <v>235208.33333333334</v>
      </c>
      <c r="N59" s="99">
        <f t="shared" si="58"/>
        <v>235208.33333333334</v>
      </c>
      <c r="O59" s="99">
        <f t="shared" si="59"/>
        <v>235208.33333333334</v>
      </c>
      <c r="P59" s="99">
        <f t="shared" si="60"/>
        <v>235208.33333333334</v>
      </c>
      <c r="Q59" s="99">
        <f t="shared" si="51"/>
        <v>235208.33333333334</v>
      </c>
      <c r="R59" s="99">
        <f t="shared" si="52"/>
        <v>235208.33333333334</v>
      </c>
      <c r="S59" s="99">
        <f>G59</f>
        <v>235208.33333333334</v>
      </c>
      <c r="T59" s="99">
        <f>G59</f>
        <v>235208.33333333334</v>
      </c>
      <c r="U59" s="99">
        <f t="shared" si="53"/>
        <v>2587291.666666667</v>
      </c>
      <c r="V59" s="99">
        <f t="shared" si="54"/>
        <v>8702708.3333333321</v>
      </c>
    </row>
    <row r="60" spans="1:22">
      <c r="A60" s="96">
        <v>79</v>
      </c>
      <c r="B60" s="97" t="s">
        <v>704</v>
      </c>
      <c r="C60" s="535" t="s">
        <v>705</v>
      </c>
      <c r="D60" s="96">
        <v>4</v>
      </c>
      <c r="E60" s="98">
        <v>43160</v>
      </c>
      <c r="F60" s="99">
        <v>2400000</v>
      </c>
      <c r="G60" s="103">
        <f t="shared" si="61"/>
        <v>50000</v>
      </c>
      <c r="H60" s="99">
        <f t="shared" si="56"/>
        <v>2400000</v>
      </c>
      <c r="I60" s="99">
        <v>0</v>
      </c>
      <c r="J60" s="99">
        <v>0</v>
      </c>
      <c r="K60" s="99">
        <f>G60</f>
        <v>50000</v>
      </c>
      <c r="L60" s="99">
        <f>G60</f>
        <v>50000</v>
      </c>
      <c r="M60" s="99">
        <f t="shared" si="57"/>
        <v>50000</v>
      </c>
      <c r="N60" s="99">
        <f t="shared" si="58"/>
        <v>50000</v>
      </c>
      <c r="O60" s="99">
        <f t="shared" si="59"/>
        <v>50000</v>
      </c>
      <c r="P60" s="99">
        <f t="shared" si="60"/>
        <v>50000</v>
      </c>
      <c r="Q60" s="99">
        <f>G60</f>
        <v>50000</v>
      </c>
      <c r="R60" s="99">
        <f>G60</f>
        <v>50000</v>
      </c>
      <c r="S60" s="99">
        <f>G60</f>
        <v>50000</v>
      </c>
      <c r="T60" s="99">
        <f>G60</f>
        <v>50000</v>
      </c>
      <c r="U60" s="99">
        <f t="shared" ref="U60:U65" si="62">SUM(I60:T60)</f>
        <v>500000</v>
      </c>
      <c r="V60" s="99">
        <f t="shared" ref="V60:V65" si="63">H60-U60</f>
        <v>1900000</v>
      </c>
    </row>
    <row r="61" spans="1:22">
      <c r="A61" s="96">
        <v>80</v>
      </c>
      <c r="B61" s="97" t="s">
        <v>706</v>
      </c>
      <c r="C61" s="535" t="s">
        <v>707</v>
      </c>
      <c r="D61" s="96">
        <v>4</v>
      </c>
      <c r="E61" s="98">
        <v>43179</v>
      </c>
      <c r="F61" s="99">
        <v>9891750</v>
      </c>
      <c r="G61" s="103">
        <f t="shared" si="61"/>
        <v>206078.125</v>
      </c>
      <c r="H61" s="99">
        <f t="shared" si="56"/>
        <v>9891750</v>
      </c>
      <c r="I61" s="99">
        <v>0</v>
      </c>
      <c r="J61" s="99">
        <v>0</v>
      </c>
      <c r="K61" s="99">
        <f>G61</f>
        <v>206078.125</v>
      </c>
      <c r="L61" s="99">
        <f>G61</f>
        <v>206078.125</v>
      </c>
      <c r="M61" s="99">
        <f t="shared" si="57"/>
        <v>206078.125</v>
      </c>
      <c r="N61" s="99">
        <f t="shared" si="58"/>
        <v>206078.125</v>
      </c>
      <c r="O61" s="99">
        <f t="shared" si="59"/>
        <v>206078.125</v>
      </c>
      <c r="P61" s="99">
        <f t="shared" si="60"/>
        <v>206078.125</v>
      </c>
      <c r="Q61" s="99">
        <f>G61</f>
        <v>206078.125</v>
      </c>
      <c r="R61" s="99">
        <f>G61</f>
        <v>206078.125</v>
      </c>
      <c r="S61" s="99">
        <f>G61</f>
        <v>206078.125</v>
      </c>
      <c r="T61" s="99">
        <f>G61</f>
        <v>206078.125</v>
      </c>
      <c r="U61" s="99">
        <f t="shared" si="62"/>
        <v>2060781.25</v>
      </c>
      <c r="V61" s="99">
        <f t="shared" si="63"/>
        <v>7830968.75</v>
      </c>
    </row>
    <row r="62" spans="1:22">
      <c r="A62" s="96">
        <v>82</v>
      </c>
      <c r="B62" s="97" t="s">
        <v>690</v>
      </c>
      <c r="C62" s="535" t="s">
        <v>741</v>
      </c>
      <c r="D62" s="96">
        <v>4</v>
      </c>
      <c r="E62" s="98">
        <v>43224</v>
      </c>
      <c r="F62" s="99">
        <v>12195000</v>
      </c>
      <c r="G62" s="103">
        <f t="shared" si="61"/>
        <v>254062.5</v>
      </c>
      <c r="H62" s="99">
        <f t="shared" si="56"/>
        <v>12195000</v>
      </c>
      <c r="I62" s="99">
        <v>0</v>
      </c>
      <c r="J62" s="99">
        <v>0</v>
      </c>
      <c r="K62" s="99">
        <v>0</v>
      </c>
      <c r="L62" s="99">
        <v>0</v>
      </c>
      <c r="M62" s="99">
        <f t="shared" si="57"/>
        <v>254062.5</v>
      </c>
      <c r="N62" s="99">
        <f t="shared" si="58"/>
        <v>254062.5</v>
      </c>
      <c r="O62" s="99">
        <f t="shared" si="59"/>
        <v>254062.5</v>
      </c>
      <c r="P62" s="99">
        <f t="shared" si="60"/>
        <v>254062.5</v>
      </c>
      <c r="Q62" s="99">
        <f>G62</f>
        <v>254062.5</v>
      </c>
      <c r="R62" s="99">
        <f>G62</f>
        <v>254062.5</v>
      </c>
      <c r="S62" s="99">
        <f>G62</f>
        <v>254062.5</v>
      </c>
      <c r="T62" s="99">
        <f>G62</f>
        <v>254062.5</v>
      </c>
      <c r="U62" s="99">
        <f>SUM(I62:T62)</f>
        <v>2032500</v>
      </c>
      <c r="V62" s="99">
        <f>H62-U62</f>
        <v>10162500</v>
      </c>
    </row>
    <row r="63" spans="1:22">
      <c r="A63" s="96">
        <v>83</v>
      </c>
      <c r="B63" s="97" t="s">
        <v>804</v>
      </c>
      <c r="C63" s="535" t="s">
        <v>805</v>
      </c>
      <c r="D63" s="96">
        <v>4</v>
      </c>
      <c r="E63" s="98">
        <v>43316</v>
      </c>
      <c r="F63" s="99">
        <v>11004870</v>
      </c>
      <c r="G63" s="103">
        <f t="shared" si="61"/>
        <v>229268.125</v>
      </c>
      <c r="H63" s="99">
        <f t="shared" si="56"/>
        <v>11004870</v>
      </c>
      <c r="I63" s="99">
        <v>0</v>
      </c>
      <c r="J63" s="99">
        <v>0</v>
      </c>
      <c r="K63" s="99">
        <v>0</v>
      </c>
      <c r="L63" s="99">
        <v>0</v>
      </c>
      <c r="M63" s="99">
        <v>0</v>
      </c>
      <c r="N63" s="99">
        <v>0</v>
      </c>
      <c r="O63" s="99">
        <v>0</v>
      </c>
      <c r="P63" s="99">
        <f t="shared" si="60"/>
        <v>229268.125</v>
      </c>
      <c r="Q63" s="99">
        <f>G63</f>
        <v>229268.125</v>
      </c>
      <c r="R63" s="99">
        <f>G63</f>
        <v>229268.125</v>
      </c>
      <c r="S63" s="99">
        <v>0</v>
      </c>
      <c r="T63" s="99">
        <v>0</v>
      </c>
      <c r="U63" s="99">
        <f t="shared" si="62"/>
        <v>687804.375</v>
      </c>
      <c r="V63" s="99">
        <f t="shared" si="63"/>
        <v>10317065.625</v>
      </c>
    </row>
    <row r="64" spans="1:22" hidden="1">
      <c r="A64" s="96"/>
      <c r="B64" s="97"/>
      <c r="C64" s="535"/>
      <c r="D64" s="96"/>
      <c r="E64" s="98"/>
      <c r="F64" s="99"/>
      <c r="G64" s="103"/>
      <c r="H64" s="99"/>
      <c r="I64" s="99">
        <v>0</v>
      </c>
      <c r="J64" s="99">
        <v>0</v>
      </c>
      <c r="K64" s="99">
        <v>0</v>
      </c>
      <c r="L64" s="99">
        <v>0</v>
      </c>
      <c r="M64" s="99">
        <v>0</v>
      </c>
      <c r="N64" s="99">
        <v>0</v>
      </c>
      <c r="O64" s="99">
        <v>0</v>
      </c>
      <c r="P64" s="99">
        <v>0</v>
      </c>
      <c r="Q64" s="99">
        <v>0</v>
      </c>
      <c r="R64" s="99">
        <v>0</v>
      </c>
      <c r="S64" s="99">
        <v>0</v>
      </c>
      <c r="T64" s="99">
        <v>0</v>
      </c>
      <c r="U64" s="99">
        <f t="shared" si="62"/>
        <v>0</v>
      </c>
      <c r="V64" s="99">
        <f t="shared" si="63"/>
        <v>0</v>
      </c>
    </row>
    <row r="65" spans="1:22" hidden="1">
      <c r="A65" s="96"/>
      <c r="B65" s="97"/>
      <c r="C65" s="535"/>
      <c r="D65" s="96"/>
      <c r="E65" s="98"/>
      <c r="F65" s="99"/>
      <c r="G65" s="103"/>
      <c r="H65" s="99"/>
      <c r="I65" s="99">
        <v>0</v>
      </c>
      <c r="J65" s="99">
        <v>0</v>
      </c>
      <c r="K65" s="99">
        <v>0</v>
      </c>
      <c r="L65" s="99">
        <v>0</v>
      </c>
      <c r="M65" s="99">
        <v>0</v>
      </c>
      <c r="N65" s="99">
        <v>0</v>
      </c>
      <c r="O65" s="99">
        <v>0</v>
      </c>
      <c r="P65" s="99">
        <v>0</v>
      </c>
      <c r="Q65" s="99">
        <v>0</v>
      </c>
      <c r="R65" s="99">
        <v>0</v>
      </c>
      <c r="S65" s="99">
        <v>0</v>
      </c>
      <c r="T65" s="99">
        <v>0</v>
      </c>
      <c r="U65" s="99">
        <f t="shared" si="62"/>
        <v>0</v>
      </c>
      <c r="V65" s="99">
        <f t="shared" si="63"/>
        <v>0</v>
      </c>
    </row>
    <row r="66" spans="1:22" hidden="1">
      <c r="A66" s="96"/>
      <c r="B66" s="97"/>
      <c r="C66" s="535"/>
      <c r="D66" s="96"/>
      <c r="E66" s="98"/>
      <c r="F66" s="99"/>
      <c r="G66" s="103">
        <f>+F66/48</f>
        <v>0</v>
      </c>
      <c r="H66" s="99">
        <f>F66</f>
        <v>0</v>
      </c>
      <c r="I66" s="99">
        <v>0</v>
      </c>
      <c r="J66" s="99">
        <f>G66</f>
        <v>0</v>
      </c>
      <c r="K66" s="99">
        <f>G66</f>
        <v>0</v>
      </c>
      <c r="L66" s="99">
        <f>G66</f>
        <v>0</v>
      </c>
      <c r="M66" s="99">
        <f t="shared" ref="M66:M72" si="64">G66</f>
        <v>0</v>
      </c>
      <c r="N66" s="99">
        <f t="shared" ref="N66:N72" si="65">G66</f>
        <v>0</v>
      </c>
      <c r="O66" s="99">
        <f t="shared" ref="O66:O72" si="66">G66</f>
        <v>0</v>
      </c>
      <c r="P66" s="99">
        <f t="shared" si="50"/>
        <v>0</v>
      </c>
      <c r="Q66" s="99">
        <f t="shared" ref="Q66:Q72" si="67">G66</f>
        <v>0</v>
      </c>
      <c r="R66" s="99">
        <f t="shared" ref="R66:R72" si="68">G66</f>
        <v>0</v>
      </c>
      <c r="S66" s="99">
        <f t="shared" ref="S66:S72" si="69">G66</f>
        <v>0</v>
      </c>
      <c r="T66" s="99">
        <f t="shared" ref="T66:T72" si="70">G66</f>
        <v>0</v>
      </c>
      <c r="U66" s="99">
        <f t="shared" ref="U66:U72" si="71">SUM(I66:T66)</f>
        <v>0</v>
      </c>
      <c r="V66" s="99">
        <f t="shared" ref="V66:V72" si="72">H66-U66</f>
        <v>0</v>
      </c>
    </row>
    <row r="67" spans="1:22" hidden="1">
      <c r="A67" s="96"/>
      <c r="B67" s="97"/>
      <c r="C67" s="535"/>
      <c r="D67" s="96"/>
      <c r="E67" s="98"/>
      <c r="F67" s="99"/>
      <c r="G67" s="103">
        <f>+F67/48</f>
        <v>0</v>
      </c>
      <c r="H67" s="99">
        <f>F67</f>
        <v>0</v>
      </c>
      <c r="I67" s="99">
        <v>0</v>
      </c>
      <c r="J67" s="99">
        <f>G67</f>
        <v>0</v>
      </c>
      <c r="K67" s="99">
        <f>G67</f>
        <v>0</v>
      </c>
      <c r="L67" s="99">
        <f>G67</f>
        <v>0</v>
      </c>
      <c r="M67" s="99">
        <f t="shared" si="64"/>
        <v>0</v>
      </c>
      <c r="N67" s="99">
        <f t="shared" si="65"/>
        <v>0</v>
      </c>
      <c r="O67" s="99">
        <f t="shared" si="66"/>
        <v>0</v>
      </c>
      <c r="P67" s="99">
        <f t="shared" si="50"/>
        <v>0</v>
      </c>
      <c r="Q67" s="99">
        <f t="shared" si="67"/>
        <v>0</v>
      </c>
      <c r="R67" s="99">
        <f t="shared" si="68"/>
        <v>0</v>
      </c>
      <c r="S67" s="99">
        <f t="shared" si="69"/>
        <v>0</v>
      </c>
      <c r="T67" s="99">
        <f t="shared" si="70"/>
        <v>0</v>
      </c>
      <c r="U67" s="99">
        <f t="shared" si="71"/>
        <v>0</v>
      </c>
      <c r="V67" s="99">
        <f t="shared" si="72"/>
        <v>0</v>
      </c>
    </row>
    <row r="68" spans="1:22" hidden="1">
      <c r="A68" s="96"/>
      <c r="B68" s="97"/>
      <c r="C68" s="97"/>
      <c r="D68" s="96"/>
      <c r="E68" s="98"/>
      <c r="F68" s="99"/>
      <c r="G68" s="103"/>
      <c r="H68" s="99"/>
      <c r="I68" s="99">
        <v>0</v>
      </c>
      <c r="J68" s="99">
        <f>G68</f>
        <v>0</v>
      </c>
      <c r="K68" s="99">
        <v>0</v>
      </c>
      <c r="L68" s="99">
        <v>0</v>
      </c>
      <c r="M68" s="99">
        <f t="shared" si="64"/>
        <v>0</v>
      </c>
      <c r="N68" s="99">
        <f t="shared" si="65"/>
        <v>0</v>
      </c>
      <c r="O68" s="99">
        <f t="shared" si="66"/>
        <v>0</v>
      </c>
      <c r="P68" s="99">
        <f t="shared" si="50"/>
        <v>0</v>
      </c>
      <c r="Q68" s="99">
        <f t="shared" si="67"/>
        <v>0</v>
      </c>
      <c r="R68" s="99">
        <f t="shared" si="68"/>
        <v>0</v>
      </c>
      <c r="S68" s="99">
        <f t="shared" si="69"/>
        <v>0</v>
      </c>
      <c r="T68" s="99">
        <f t="shared" si="70"/>
        <v>0</v>
      </c>
      <c r="U68" s="99">
        <f t="shared" si="71"/>
        <v>0</v>
      </c>
      <c r="V68" s="99">
        <f t="shared" si="72"/>
        <v>0</v>
      </c>
    </row>
    <row r="69" spans="1:22" hidden="1">
      <c r="A69" s="96"/>
      <c r="B69" s="97"/>
      <c r="C69" s="97"/>
      <c r="D69" s="96"/>
      <c r="E69" s="98"/>
      <c r="F69" s="99"/>
      <c r="G69" s="103"/>
      <c r="H69" s="99"/>
      <c r="I69" s="99">
        <v>0</v>
      </c>
      <c r="J69" s="99">
        <v>0</v>
      </c>
      <c r="K69" s="99">
        <v>0</v>
      </c>
      <c r="L69" s="99">
        <v>0</v>
      </c>
      <c r="M69" s="99">
        <f t="shared" si="64"/>
        <v>0</v>
      </c>
      <c r="N69" s="99">
        <f t="shared" si="65"/>
        <v>0</v>
      </c>
      <c r="O69" s="99">
        <f t="shared" si="66"/>
        <v>0</v>
      </c>
      <c r="P69" s="99">
        <f t="shared" si="50"/>
        <v>0</v>
      </c>
      <c r="Q69" s="99">
        <f t="shared" si="67"/>
        <v>0</v>
      </c>
      <c r="R69" s="99">
        <f t="shared" si="68"/>
        <v>0</v>
      </c>
      <c r="S69" s="99">
        <f t="shared" si="69"/>
        <v>0</v>
      </c>
      <c r="T69" s="99">
        <f t="shared" si="70"/>
        <v>0</v>
      </c>
      <c r="U69" s="99">
        <f t="shared" si="71"/>
        <v>0</v>
      </c>
      <c r="V69" s="99">
        <f t="shared" si="72"/>
        <v>0</v>
      </c>
    </row>
    <row r="70" spans="1:22" hidden="1">
      <c r="A70" s="96"/>
      <c r="B70" s="97"/>
      <c r="C70" s="97"/>
      <c r="D70" s="96"/>
      <c r="E70" s="98"/>
      <c r="F70" s="99"/>
      <c r="G70" s="103"/>
      <c r="H70" s="99"/>
      <c r="I70" s="99">
        <v>0</v>
      </c>
      <c r="J70" s="99">
        <v>0</v>
      </c>
      <c r="K70" s="99">
        <v>0</v>
      </c>
      <c r="L70" s="99">
        <v>0</v>
      </c>
      <c r="M70" s="99">
        <f t="shared" si="64"/>
        <v>0</v>
      </c>
      <c r="N70" s="99">
        <f t="shared" si="65"/>
        <v>0</v>
      </c>
      <c r="O70" s="99">
        <f t="shared" si="66"/>
        <v>0</v>
      </c>
      <c r="P70" s="99">
        <f t="shared" si="50"/>
        <v>0</v>
      </c>
      <c r="Q70" s="99">
        <f t="shared" si="67"/>
        <v>0</v>
      </c>
      <c r="R70" s="99">
        <f t="shared" si="68"/>
        <v>0</v>
      </c>
      <c r="S70" s="99">
        <f t="shared" si="69"/>
        <v>0</v>
      </c>
      <c r="T70" s="99">
        <f t="shared" si="70"/>
        <v>0</v>
      </c>
      <c r="U70" s="99">
        <f t="shared" si="71"/>
        <v>0</v>
      </c>
      <c r="V70" s="99">
        <f t="shared" si="72"/>
        <v>0</v>
      </c>
    </row>
    <row r="71" spans="1:22" hidden="1">
      <c r="A71" s="96"/>
      <c r="B71" s="97"/>
      <c r="C71" s="97"/>
      <c r="D71" s="96"/>
      <c r="E71" s="98"/>
      <c r="F71" s="99"/>
      <c r="G71" s="103"/>
      <c r="H71" s="99"/>
      <c r="I71" s="99">
        <v>0</v>
      </c>
      <c r="J71" s="99">
        <v>0</v>
      </c>
      <c r="K71" s="99">
        <v>0</v>
      </c>
      <c r="L71" s="99">
        <v>0</v>
      </c>
      <c r="M71" s="99">
        <f t="shared" si="64"/>
        <v>0</v>
      </c>
      <c r="N71" s="99">
        <f t="shared" si="65"/>
        <v>0</v>
      </c>
      <c r="O71" s="99">
        <f t="shared" si="66"/>
        <v>0</v>
      </c>
      <c r="P71" s="99">
        <f t="shared" si="50"/>
        <v>0</v>
      </c>
      <c r="Q71" s="99">
        <f t="shared" si="67"/>
        <v>0</v>
      </c>
      <c r="R71" s="99">
        <f t="shared" si="68"/>
        <v>0</v>
      </c>
      <c r="S71" s="99">
        <f t="shared" si="69"/>
        <v>0</v>
      </c>
      <c r="T71" s="99">
        <f t="shared" si="70"/>
        <v>0</v>
      </c>
      <c r="U71" s="99">
        <f t="shared" si="71"/>
        <v>0</v>
      </c>
      <c r="V71" s="99">
        <f t="shared" si="72"/>
        <v>0</v>
      </c>
    </row>
    <row r="72" spans="1:22" hidden="1">
      <c r="A72" s="104"/>
      <c r="B72" s="117"/>
      <c r="C72" s="117"/>
      <c r="D72" s="104"/>
      <c r="E72" s="118"/>
      <c r="F72" s="99"/>
      <c r="G72" s="103"/>
      <c r="H72" s="99"/>
      <c r="I72" s="99">
        <v>0</v>
      </c>
      <c r="J72" s="99">
        <v>0</v>
      </c>
      <c r="K72" s="99">
        <v>0</v>
      </c>
      <c r="L72" s="99">
        <v>0</v>
      </c>
      <c r="M72" s="99">
        <f t="shared" si="64"/>
        <v>0</v>
      </c>
      <c r="N72" s="99">
        <f t="shared" si="65"/>
        <v>0</v>
      </c>
      <c r="O72" s="99">
        <f t="shared" si="66"/>
        <v>0</v>
      </c>
      <c r="P72" s="99">
        <f t="shared" si="50"/>
        <v>0</v>
      </c>
      <c r="Q72" s="99">
        <f t="shared" si="67"/>
        <v>0</v>
      </c>
      <c r="R72" s="99">
        <f t="shared" si="68"/>
        <v>0</v>
      </c>
      <c r="S72" s="99">
        <f t="shared" si="69"/>
        <v>0</v>
      </c>
      <c r="T72" s="99">
        <f t="shared" si="70"/>
        <v>0</v>
      </c>
      <c r="U72" s="99">
        <f t="shared" si="71"/>
        <v>0</v>
      </c>
      <c r="V72" s="99">
        <f t="shared" si="72"/>
        <v>0</v>
      </c>
    </row>
    <row r="73" spans="1:22" hidden="1">
      <c r="A73" s="105"/>
      <c r="B73" s="106"/>
      <c r="C73" s="106"/>
      <c r="D73" s="105"/>
      <c r="E73" s="108"/>
      <c r="F73" s="107"/>
      <c r="G73" s="109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</row>
    <row r="74" spans="1:22">
      <c r="A74" s="110"/>
      <c r="B74" s="111"/>
      <c r="C74" s="111"/>
      <c r="D74" s="111"/>
      <c r="E74" s="112"/>
      <c r="F74" s="113">
        <f>SUM(F6:F73)</f>
        <v>411424620</v>
      </c>
      <c r="G74" s="113">
        <f t="shared" ref="G74:L74" si="73">SUM(G6:G73)</f>
        <v>8571350.25</v>
      </c>
      <c r="H74" s="113">
        <f t="shared" si="73"/>
        <v>350454921.33333331</v>
      </c>
      <c r="I74" s="113">
        <f t="shared" si="73"/>
        <v>7361524.833333333</v>
      </c>
      <c r="J74" s="113">
        <f>SUM(J6:J73)-1</f>
        <v>7831940.4999999991</v>
      </c>
      <c r="K74" s="113">
        <f>SUM(K6:K73)-0.5</f>
        <v>8088019.1249999991</v>
      </c>
      <c r="L74" s="113">
        <f t="shared" si="73"/>
        <v>8088019.6249999991</v>
      </c>
      <c r="M74" s="113">
        <f>SUM(M6:M73)-1</f>
        <v>8342081.1249999991</v>
      </c>
      <c r="N74" s="113">
        <f t="shared" ref="N74:V74" si="74">SUM(N6:N73)</f>
        <v>8342082.1249999991</v>
      </c>
      <c r="O74" s="113">
        <f t="shared" si="74"/>
        <v>8342082.1249999991</v>
      </c>
      <c r="P74" s="113">
        <f t="shared" si="74"/>
        <v>8571350.25</v>
      </c>
      <c r="Q74" s="113">
        <f t="shared" si="74"/>
        <v>8571350.25</v>
      </c>
      <c r="R74" s="113">
        <f>SUM(R6:R73)-1</f>
        <v>8571349.25</v>
      </c>
      <c r="S74" s="113">
        <f t="shared" si="74"/>
        <v>8342082.1249999991</v>
      </c>
      <c r="T74" s="113">
        <f t="shared" si="74"/>
        <v>8342082.1249999991</v>
      </c>
      <c r="U74" s="113">
        <f t="shared" si="74"/>
        <v>98793966.958333343</v>
      </c>
      <c r="V74" s="113">
        <f t="shared" si="74"/>
        <v>251660954.37500003</v>
      </c>
    </row>
    <row r="76" spans="1:22">
      <c r="F76" s="458"/>
    </row>
    <row r="77" spans="1:22" s="459" customFormat="1">
      <c r="A77" s="459" t="s">
        <v>420</v>
      </c>
      <c r="F77" s="460"/>
    </row>
    <row r="78" spans="1:22" ht="48">
      <c r="A78" s="93" t="s">
        <v>356</v>
      </c>
      <c r="B78" s="93" t="s">
        <v>357</v>
      </c>
      <c r="C78" s="93"/>
      <c r="D78" s="93" t="s">
        <v>358</v>
      </c>
      <c r="E78" s="94" t="s">
        <v>359</v>
      </c>
      <c r="F78" s="95" t="s">
        <v>360</v>
      </c>
      <c r="G78" s="95" t="s">
        <v>361</v>
      </c>
      <c r="H78" s="95" t="s">
        <v>362</v>
      </c>
      <c r="I78" s="95" t="s">
        <v>363</v>
      </c>
      <c r="J78" s="95" t="s">
        <v>364</v>
      </c>
      <c r="K78" s="95" t="s">
        <v>365</v>
      </c>
      <c r="L78" s="95" t="s">
        <v>366</v>
      </c>
      <c r="M78" s="95" t="s">
        <v>367</v>
      </c>
      <c r="N78" s="95" t="s">
        <v>368</v>
      </c>
      <c r="O78" s="95" t="s">
        <v>369</v>
      </c>
      <c r="P78" s="95" t="s">
        <v>370</v>
      </c>
      <c r="Q78" s="95" t="s">
        <v>371</v>
      </c>
      <c r="R78" s="95" t="s">
        <v>372</v>
      </c>
      <c r="S78" s="95" t="s">
        <v>373</v>
      </c>
      <c r="T78" s="95" t="s">
        <v>374</v>
      </c>
      <c r="U78" s="95" t="s">
        <v>375</v>
      </c>
      <c r="V78" s="95" t="s">
        <v>667</v>
      </c>
    </row>
    <row r="79" spans="1:22">
      <c r="A79" s="467">
        <v>46</v>
      </c>
      <c r="B79" s="97" t="s">
        <v>430</v>
      </c>
      <c r="C79" s="535" t="s">
        <v>615</v>
      </c>
      <c r="D79" s="96">
        <v>4</v>
      </c>
      <c r="E79" s="98">
        <v>42872</v>
      </c>
      <c r="F79" s="99">
        <v>10398700</v>
      </c>
      <c r="G79" s="103">
        <f t="shared" ref="G79:G98" si="75">+F79/48</f>
        <v>216639.58333333334</v>
      </c>
      <c r="H79" s="99">
        <f t="shared" ref="H79:H101" si="76">F79</f>
        <v>10398700</v>
      </c>
      <c r="I79" s="99">
        <f t="shared" ref="I79:I100" si="77">G79</f>
        <v>216639.58333333334</v>
      </c>
      <c r="J79" s="99">
        <f>G79</f>
        <v>216639.58333333334</v>
      </c>
      <c r="K79" s="99">
        <f>G79</f>
        <v>216639.58333333334</v>
      </c>
      <c r="L79" s="99">
        <f>G79</f>
        <v>216639.58333333334</v>
      </c>
      <c r="M79" s="99">
        <f t="shared" ref="M79:M101" si="78">G79</f>
        <v>216639.58333333334</v>
      </c>
      <c r="N79" s="99">
        <f t="shared" ref="N79:N101" si="79">G79</f>
        <v>216639.58333333334</v>
      </c>
      <c r="O79" s="99">
        <f t="shared" ref="O79:O101" si="80">G79</f>
        <v>216639.58333333334</v>
      </c>
      <c r="P79" s="99">
        <f t="shared" ref="P79:P101" si="81">G79</f>
        <v>216639.58333333334</v>
      </c>
      <c r="Q79" s="99">
        <f t="shared" ref="Q79:Q101" si="82">G79</f>
        <v>216639.58333333334</v>
      </c>
      <c r="R79" s="99">
        <f t="shared" ref="R79:R101" si="83">G79</f>
        <v>216639.58333333334</v>
      </c>
      <c r="S79" s="99">
        <f t="shared" ref="S79:S101" si="84">G79</f>
        <v>216639.58333333334</v>
      </c>
      <c r="T79" s="99">
        <f t="shared" ref="T79:T101" si="85">G79</f>
        <v>216639.58333333334</v>
      </c>
      <c r="U79" s="99">
        <f t="shared" ref="U79:U99" si="86">SUM(I79:T79)</f>
        <v>2599675</v>
      </c>
      <c r="V79" s="99">
        <f t="shared" ref="V79:V99" si="87">H79-U79</f>
        <v>7799025</v>
      </c>
    </row>
    <row r="80" spans="1:22">
      <c r="A80" s="467">
        <v>47</v>
      </c>
      <c r="B80" s="97" t="s">
        <v>431</v>
      </c>
      <c r="C80" s="535" t="s">
        <v>617</v>
      </c>
      <c r="D80" s="96">
        <v>4</v>
      </c>
      <c r="E80" s="98">
        <v>42872</v>
      </c>
      <c r="F80" s="99">
        <v>6510000</v>
      </c>
      <c r="G80" s="103">
        <f t="shared" si="75"/>
        <v>135625</v>
      </c>
      <c r="H80" s="99">
        <f t="shared" si="76"/>
        <v>6510000</v>
      </c>
      <c r="I80" s="99">
        <f t="shared" si="77"/>
        <v>135625</v>
      </c>
      <c r="J80" s="99">
        <f t="shared" ref="J80:J100" si="88">G80</f>
        <v>135625</v>
      </c>
      <c r="K80" s="99">
        <f t="shared" ref="K80:K100" si="89">G80</f>
        <v>135625</v>
      </c>
      <c r="L80" s="99">
        <f t="shared" ref="L80:L100" si="90">G80</f>
        <v>135625</v>
      </c>
      <c r="M80" s="99">
        <f t="shared" si="78"/>
        <v>135625</v>
      </c>
      <c r="N80" s="99">
        <f t="shared" si="79"/>
        <v>135625</v>
      </c>
      <c r="O80" s="99">
        <f t="shared" si="80"/>
        <v>135625</v>
      </c>
      <c r="P80" s="99">
        <f t="shared" si="81"/>
        <v>135625</v>
      </c>
      <c r="Q80" s="99">
        <f t="shared" si="82"/>
        <v>135625</v>
      </c>
      <c r="R80" s="99">
        <f t="shared" si="83"/>
        <v>135625</v>
      </c>
      <c r="S80" s="99">
        <f t="shared" si="84"/>
        <v>135625</v>
      </c>
      <c r="T80" s="99">
        <f t="shared" si="85"/>
        <v>135625</v>
      </c>
      <c r="U80" s="99">
        <f t="shared" si="86"/>
        <v>1627500</v>
      </c>
      <c r="V80" s="99">
        <f t="shared" si="87"/>
        <v>4882500</v>
      </c>
    </row>
    <row r="81" spans="1:22">
      <c r="A81" s="467">
        <v>48</v>
      </c>
      <c r="B81" s="97" t="s">
        <v>421</v>
      </c>
      <c r="C81" s="535" t="s">
        <v>618</v>
      </c>
      <c r="D81" s="96">
        <v>4</v>
      </c>
      <c r="E81" s="98">
        <v>42872</v>
      </c>
      <c r="F81" s="99">
        <v>12875000</v>
      </c>
      <c r="G81" s="103">
        <f t="shared" si="75"/>
        <v>268229.16666666669</v>
      </c>
      <c r="H81" s="99">
        <f t="shared" si="76"/>
        <v>12875000</v>
      </c>
      <c r="I81" s="99">
        <f t="shared" si="77"/>
        <v>268229.16666666669</v>
      </c>
      <c r="J81" s="99">
        <f t="shared" si="88"/>
        <v>268229.16666666669</v>
      </c>
      <c r="K81" s="99">
        <f t="shared" si="89"/>
        <v>268229.16666666669</v>
      </c>
      <c r="L81" s="99">
        <f t="shared" si="90"/>
        <v>268229.16666666669</v>
      </c>
      <c r="M81" s="99">
        <f t="shared" si="78"/>
        <v>268229.16666666669</v>
      </c>
      <c r="N81" s="99">
        <f t="shared" si="79"/>
        <v>268229.16666666669</v>
      </c>
      <c r="O81" s="99">
        <f t="shared" si="80"/>
        <v>268229.16666666669</v>
      </c>
      <c r="P81" s="99">
        <f t="shared" si="81"/>
        <v>268229.16666666669</v>
      </c>
      <c r="Q81" s="99">
        <f t="shared" si="82"/>
        <v>268229.16666666669</v>
      </c>
      <c r="R81" s="99">
        <f t="shared" si="83"/>
        <v>268229.16666666669</v>
      </c>
      <c r="S81" s="99">
        <f t="shared" si="84"/>
        <v>268229.16666666669</v>
      </c>
      <c r="T81" s="99">
        <f t="shared" si="85"/>
        <v>268229.16666666669</v>
      </c>
      <c r="U81" s="99">
        <f t="shared" si="86"/>
        <v>3218749.9999999995</v>
      </c>
      <c r="V81" s="99">
        <f t="shared" si="87"/>
        <v>9656250</v>
      </c>
    </row>
    <row r="82" spans="1:22">
      <c r="A82" s="467">
        <v>49</v>
      </c>
      <c r="B82" s="97" t="s">
        <v>432</v>
      </c>
      <c r="C82" s="535" t="s">
        <v>619</v>
      </c>
      <c r="D82" s="96">
        <v>4</v>
      </c>
      <c r="E82" s="98">
        <v>42872</v>
      </c>
      <c r="F82" s="99">
        <v>14295000</v>
      </c>
      <c r="G82" s="103">
        <f t="shared" si="75"/>
        <v>297812.5</v>
      </c>
      <c r="H82" s="99">
        <f t="shared" si="76"/>
        <v>14295000</v>
      </c>
      <c r="I82" s="99">
        <f t="shared" si="77"/>
        <v>297812.5</v>
      </c>
      <c r="J82" s="99">
        <f t="shared" si="88"/>
        <v>297812.5</v>
      </c>
      <c r="K82" s="99">
        <f t="shared" si="89"/>
        <v>297812.5</v>
      </c>
      <c r="L82" s="99">
        <f t="shared" si="90"/>
        <v>297812.5</v>
      </c>
      <c r="M82" s="99">
        <f t="shared" si="78"/>
        <v>297812.5</v>
      </c>
      <c r="N82" s="99">
        <f t="shared" si="79"/>
        <v>297812.5</v>
      </c>
      <c r="O82" s="99">
        <f t="shared" si="80"/>
        <v>297812.5</v>
      </c>
      <c r="P82" s="99">
        <f t="shared" si="81"/>
        <v>297812.5</v>
      </c>
      <c r="Q82" s="99">
        <f t="shared" si="82"/>
        <v>297812.5</v>
      </c>
      <c r="R82" s="99">
        <f t="shared" si="83"/>
        <v>297812.5</v>
      </c>
      <c r="S82" s="99">
        <f t="shared" si="84"/>
        <v>297812.5</v>
      </c>
      <c r="T82" s="99">
        <f t="shared" si="85"/>
        <v>297812.5</v>
      </c>
      <c r="U82" s="99">
        <f t="shared" si="86"/>
        <v>3573750</v>
      </c>
      <c r="V82" s="99">
        <f t="shared" si="87"/>
        <v>10721250</v>
      </c>
    </row>
    <row r="83" spans="1:22">
      <c r="A83" s="467">
        <v>50</v>
      </c>
      <c r="B83" s="97" t="s">
        <v>433</v>
      </c>
      <c r="C83" s="535" t="s">
        <v>620</v>
      </c>
      <c r="D83" s="96">
        <v>4</v>
      </c>
      <c r="E83" s="98">
        <v>42872</v>
      </c>
      <c r="F83" s="99">
        <v>6825000</v>
      </c>
      <c r="G83" s="103">
        <f t="shared" si="75"/>
        <v>142187.5</v>
      </c>
      <c r="H83" s="99">
        <f t="shared" si="76"/>
        <v>6825000</v>
      </c>
      <c r="I83" s="99">
        <f t="shared" si="77"/>
        <v>142187.5</v>
      </c>
      <c r="J83" s="99">
        <f t="shared" si="88"/>
        <v>142187.5</v>
      </c>
      <c r="K83" s="99">
        <f t="shared" si="89"/>
        <v>142187.5</v>
      </c>
      <c r="L83" s="99">
        <f t="shared" si="90"/>
        <v>142187.5</v>
      </c>
      <c r="M83" s="99">
        <f t="shared" si="78"/>
        <v>142187.5</v>
      </c>
      <c r="N83" s="99">
        <f t="shared" si="79"/>
        <v>142187.5</v>
      </c>
      <c r="O83" s="99">
        <f t="shared" si="80"/>
        <v>142187.5</v>
      </c>
      <c r="P83" s="99">
        <f t="shared" si="81"/>
        <v>142187.5</v>
      </c>
      <c r="Q83" s="99">
        <f t="shared" si="82"/>
        <v>142187.5</v>
      </c>
      <c r="R83" s="99">
        <f t="shared" si="83"/>
        <v>142187.5</v>
      </c>
      <c r="S83" s="99">
        <f t="shared" si="84"/>
        <v>142187.5</v>
      </c>
      <c r="T83" s="99">
        <f t="shared" si="85"/>
        <v>142187.5</v>
      </c>
      <c r="U83" s="99">
        <f t="shared" si="86"/>
        <v>1706250</v>
      </c>
      <c r="V83" s="99">
        <f t="shared" si="87"/>
        <v>5118750</v>
      </c>
    </row>
    <row r="84" spans="1:22">
      <c r="A84" s="467">
        <v>51</v>
      </c>
      <c r="B84" s="97" t="s">
        <v>422</v>
      </c>
      <c r="C84" s="535" t="s">
        <v>622</v>
      </c>
      <c r="D84" s="96">
        <v>4</v>
      </c>
      <c r="E84" s="98">
        <v>42872</v>
      </c>
      <c r="F84" s="99">
        <v>6568000</v>
      </c>
      <c r="G84" s="103">
        <f t="shared" si="75"/>
        <v>136833.33333333334</v>
      </c>
      <c r="H84" s="99">
        <f t="shared" si="76"/>
        <v>6568000</v>
      </c>
      <c r="I84" s="99">
        <f t="shared" si="77"/>
        <v>136833.33333333334</v>
      </c>
      <c r="J84" s="99">
        <f t="shared" si="88"/>
        <v>136833.33333333334</v>
      </c>
      <c r="K84" s="99">
        <f t="shared" si="89"/>
        <v>136833.33333333334</v>
      </c>
      <c r="L84" s="99">
        <f t="shared" si="90"/>
        <v>136833.33333333334</v>
      </c>
      <c r="M84" s="99">
        <f t="shared" si="78"/>
        <v>136833.33333333334</v>
      </c>
      <c r="N84" s="99">
        <f t="shared" si="79"/>
        <v>136833.33333333334</v>
      </c>
      <c r="O84" s="99">
        <f t="shared" si="80"/>
        <v>136833.33333333334</v>
      </c>
      <c r="P84" s="99">
        <f t="shared" si="81"/>
        <v>136833.33333333334</v>
      </c>
      <c r="Q84" s="99">
        <f t="shared" si="82"/>
        <v>136833.33333333334</v>
      </c>
      <c r="R84" s="99">
        <f t="shared" si="83"/>
        <v>136833.33333333334</v>
      </c>
      <c r="S84" s="99">
        <f t="shared" si="84"/>
        <v>136833.33333333334</v>
      </c>
      <c r="T84" s="99">
        <f t="shared" si="85"/>
        <v>136833.33333333334</v>
      </c>
      <c r="U84" s="99">
        <f t="shared" si="86"/>
        <v>1641999.9999999998</v>
      </c>
      <c r="V84" s="99">
        <f t="shared" si="87"/>
        <v>4926000</v>
      </c>
    </row>
    <row r="85" spans="1:22">
      <c r="A85" s="467">
        <v>52</v>
      </c>
      <c r="B85" s="97" t="s">
        <v>423</v>
      </c>
      <c r="C85" s="535" t="s">
        <v>623</v>
      </c>
      <c r="D85" s="96">
        <v>4</v>
      </c>
      <c r="E85" s="98">
        <v>42872</v>
      </c>
      <c r="F85" s="99">
        <v>19838000</v>
      </c>
      <c r="G85" s="103">
        <f t="shared" si="75"/>
        <v>413291.66666666669</v>
      </c>
      <c r="H85" s="99">
        <f t="shared" si="76"/>
        <v>19838000</v>
      </c>
      <c r="I85" s="99">
        <f t="shared" si="77"/>
        <v>413291.66666666669</v>
      </c>
      <c r="J85" s="99">
        <f t="shared" si="88"/>
        <v>413291.66666666669</v>
      </c>
      <c r="K85" s="99">
        <f t="shared" si="89"/>
        <v>413291.66666666669</v>
      </c>
      <c r="L85" s="99">
        <f t="shared" si="90"/>
        <v>413291.66666666669</v>
      </c>
      <c r="M85" s="99">
        <f t="shared" si="78"/>
        <v>413291.66666666669</v>
      </c>
      <c r="N85" s="99">
        <f t="shared" si="79"/>
        <v>413291.66666666669</v>
      </c>
      <c r="O85" s="99">
        <f t="shared" si="80"/>
        <v>413291.66666666669</v>
      </c>
      <c r="P85" s="99">
        <f t="shared" si="81"/>
        <v>413291.66666666669</v>
      </c>
      <c r="Q85" s="99">
        <f t="shared" si="82"/>
        <v>413291.66666666669</v>
      </c>
      <c r="R85" s="99">
        <f t="shared" si="83"/>
        <v>413291.66666666669</v>
      </c>
      <c r="S85" s="99">
        <f t="shared" si="84"/>
        <v>413291.66666666669</v>
      </c>
      <c r="T85" s="99">
        <f t="shared" si="85"/>
        <v>413291.66666666669</v>
      </c>
      <c r="U85" s="99">
        <f t="shared" si="86"/>
        <v>4959500</v>
      </c>
      <c r="V85" s="99">
        <f t="shared" si="87"/>
        <v>14878500</v>
      </c>
    </row>
    <row r="86" spans="1:22">
      <c r="A86" s="467">
        <v>53</v>
      </c>
      <c r="B86" s="97" t="s">
        <v>424</v>
      </c>
      <c r="C86" s="535" t="s">
        <v>624</v>
      </c>
      <c r="D86" s="96">
        <v>4</v>
      </c>
      <c r="E86" s="98">
        <v>42872</v>
      </c>
      <c r="F86" s="99">
        <v>13865000</v>
      </c>
      <c r="G86" s="103">
        <f t="shared" si="75"/>
        <v>288854.16666666669</v>
      </c>
      <c r="H86" s="99">
        <f t="shared" si="76"/>
        <v>13865000</v>
      </c>
      <c r="I86" s="99">
        <f t="shared" si="77"/>
        <v>288854.16666666669</v>
      </c>
      <c r="J86" s="99">
        <f t="shared" si="88"/>
        <v>288854.16666666669</v>
      </c>
      <c r="K86" s="99">
        <f t="shared" si="89"/>
        <v>288854.16666666669</v>
      </c>
      <c r="L86" s="99">
        <f t="shared" si="90"/>
        <v>288854.16666666669</v>
      </c>
      <c r="M86" s="99">
        <f t="shared" si="78"/>
        <v>288854.16666666669</v>
      </c>
      <c r="N86" s="99">
        <f t="shared" si="79"/>
        <v>288854.16666666669</v>
      </c>
      <c r="O86" s="99">
        <f t="shared" si="80"/>
        <v>288854.16666666669</v>
      </c>
      <c r="P86" s="99">
        <f t="shared" si="81"/>
        <v>288854.16666666669</v>
      </c>
      <c r="Q86" s="99">
        <f t="shared" si="82"/>
        <v>288854.16666666669</v>
      </c>
      <c r="R86" s="99">
        <f t="shared" si="83"/>
        <v>288854.16666666669</v>
      </c>
      <c r="S86" s="99">
        <f t="shared" si="84"/>
        <v>288854.16666666669</v>
      </c>
      <c r="T86" s="99">
        <f t="shared" si="85"/>
        <v>288854.16666666669</v>
      </c>
      <c r="U86" s="99">
        <f t="shared" si="86"/>
        <v>3466249.9999999995</v>
      </c>
      <c r="V86" s="99">
        <f t="shared" si="87"/>
        <v>10398750</v>
      </c>
    </row>
    <row r="87" spans="1:22">
      <c r="A87" s="467">
        <v>54</v>
      </c>
      <c r="B87" s="97" t="s">
        <v>434</v>
      </c>
      <c r="C87" s="535" t="s">
        <v>625</v>
      </c>
      <c r="D87" s="96">
        <v>4</v>
      </c>
      <c r="E87" s="98">
        <v>42872</v>
      </c>
      <c r="F87" s="99">
        <v>10780000</v>
      </c>
      <c r="G87" s="103">
        <f t="shared" si="75"/>
        <v>224583.33333333334</v>
      </c>
      <c r="H87" s="99">
        <f t="shared" si="76"/>
        <v>10780000</v>
      </c>
      <c r="I87" s="99">
        <f t="shared" si="77"/>
        <v>224583.33333333334</v>
      </c>
      <c r="J87" s="99">
        <f t="shared" si="88"/>
        <v>224583.33333333334</v>
      </c>
      <c r="K87" s="99">
        <f t="shared" si="89"/>
        <v>224583.33333333334</v>
      </c>
      <c r="L87" s="99">
        <f t="shared" si="90"/>
        <v>224583.33333333334</v>
      </c>
      <c r="M87" s="99">
        <f t="shared" si="78"/>
        <v>224583.33333333334</v>
      </c>
      <c r="N87" s="99">
        <f t="shared" si="79"/>
        <v>224583.33333333334</v>
      </c>
      <c r="O87" s="99">
        <f t="shared" si="80"/>
        <v>224583.33333333334</v>
      </c>
      <c r="P87" s="99">
        <f t="shared" si="81"/>
        <v>224583.33333333334</v>
      </c>
      <c r="Q87" s="99">
        <f t="shared" si="82"/>
        <v>224583.33333333334</v>
      </c>
      <c r="R87" s="99">
        <f t="shared" si="83"/>
        <v>224583.33333333334</v>
      </c>
      <c r="S87" s="99">
        <f t="shared" si="84"/>
        <v>224583.33333333334</v>
      </c>
      <c r="T87" s="99">
        <f t="shared" si="85"/>
        <v>224583.33333333334</v>
      </c>
      <c r="U87" s="99">
        <f t="shared" si="86"/>
        <v>2695000</v>
      </c>
      <c r="V87" s="99">
        <f t="shared" si="87"/>
        <v>8085000</v>
      </c>
    </row>
    <row r="88" spans="1:22">
      <c r="A88" s="467">
        <v>55</v>
      </c>
      <c r="B88" s="97" t="s">
        <v>435</v>
      </c>
      <c r="C88" s="535" t="s">
        <v>626</v>
      </c>
      <c r="D88" s="96">
        <v>4</v>
      </c>
      <c r="E88" s="98">
        <v>42872</v>
      </c>
      <c r="F88" s="99">
        <v>5510000</v>
      </c>
      <c r="G88" s="103">
        <f t="shared" si="75"/>
        <v>114791.66666666667</v>
      </c>
      <c r="H88" s="99">
        <f t="shared" si="76"/>
        <v>5510000</v>
      </c>
      <c r="I88" s="99">
        <f t="shared" si="77"/>
        <v>114791.66666666667</v>
      </c>
      <c r="J88" s="99">
        <f t="shared" si="88"/>
        <v>114791.66666666667</v>
      </c>
      <c r="K88" s="99">
        <f t="shared" si="89"/>
        <v>114791.66666666667</v>
      </c>
      <c r="L88" s="99">
        <f t="shared" si="90"/>
        <v>114791.66666666667</v>
      </c>
      <c r="M88" s="99">
        <f t="shared" si="78"/>
        <v>114791.66666666667</v>
      </c>
      <c r="N88" s="99">
        <f t="shared" si="79"/>
        <v>114791.66666666667</v>
      </c>
      <c r="O88" s="99">
        <f t="shared" si="80"/>
        <v>114791.66666666667</v>
      </c>
      <c r="P88" s="99">
        <f t="shared" si="81"/>
        <v>114791.66666666667</v>
      </c>
      <c r="Q88" s="99">
        <f t="shared" si="82"/>
        <v>114791.66666666667</v>
      </c>
      <c r="R88" s="99">
        <f t="shared" si="83"/>
        <v>114791.66666666667</v>
      </c>
      <c r="S88" s="99">
        <f t="shared" si="84"/>
        <v>114791.66666666667</v>
      </c>
      <c r="T88" s="99">
        <f t="shared" si="85"/>
        <v>114791.66666666667</v>
      </c>
      <c r="U88" s="99">
        <f t="shared" si="86"/>
        <v>1377500</v>
      </c>
      <c r="V88" s="99">
        <f t="shared" si="87"/>
        <v>4132500</v>
      </c>
    </row>
    <row r="89" spans="1:22">
      <c r="A89" s="467">
        <v>56</v>
      </c>
      <c r="B89" s="97" t="s">
        <v>425</v>
      </c>
      <c r="C89" s="535" t="s">
        <v>627</v>
      </c>
      <c r="D89" s="96">
        <v>4</v>
      </c>
      <c r="E89" s="98">
        <v>42872</v>
      </c>
      <c r="F89" s="99">
        <v>5863000</v>
      </c>
      <c r="G89" s="103">
        <f t="shared" si="75"/>
        <v>122145.83333333333</v>
      </c>
      <c r="H89" s="99">
        <f t="shared" si="76"/>
        <v>5863000</v>
      </c>
      <c r="I89" s="99">
        <f t="shared" si="77"/>
        <v>122145.83333333333</v>
      </c>
      <c r="J89" s="99">
        <f t="shared" si="88"/>
        <v>122145.83333333333</v>
      </c>
      <c r="K89" s="99">
        <f t="shared" si="89"/>
        <v>122145.83333333333</v>
      </c>
      <c r="L89" s="99">
        <f t="shared" si="90"/>
        <v>122145.83333333333</v>
      </c>
      <c r="M89" s="99">
        <f t="shared" si="78"/>
        <v>122145.83333333333</v>
      </c>
      <c r="N89" s="99">
        <f t="shared" si="79"/>
        <v>122145.83333333333</v>
      </c>
      <c r="O89" s="99">
        <f t="shared" si="80"/>
        <v>122145.83333333333</v>
      </c>
      <c r="P89" s="99">
        <f t="shared" si="81"/>
        <v>122145.83333333333</v>
      </c>
      <c r="Q89" s="99">
        <f t="shared" si="82"/>
        <v>122145.83333333333</v>
      </c>
      <c r="R89" s="99">
        <f t="shared" si="83"/>
        <v>122145.83333333333</v>
      </c>
      <c r="S89" s="99">
        <f t="shared" si="84"/>
        <v>122145.83333333333</v>
      </c>
      <c r="T89" s="99">
        <f t="shared" si="85"/>
        <v>122145.83333333333</v>
      </c>
      <c r="U89" s="99">
        <f t="shared" si="86"/>
        <v>1465749.9999999998</v>
      </c>
      <c r="V89" s="99">
        <f t="shared" si="87"/>
        <v>4397250</v>
      </c>
    </row>
    <row r="90" spans="1:22">
      <c r="A90" s="467">
        <v>57</v>
      </c>
      <c r="B90" s="97" t="s">
        <v>436</v>
      </c>
      <c r="C90" s="535" t="s">
        <v>628</v>
      </c>
      <c r="D90" s="96">
        <v>4</v>
      </c>
      <c r="E90" s="98">
        <v>42872</v>
      </c>
      <c r="F90" s="99">
        <v>7320000</v>
      </c>
      <c r="G90" s="103">
        <f t="shared" si="75"/>
        <v>152500</v>
      </c>
      <c r="H90" s="99">
        <f t="shared" si="76"/>
        <v>7320000</v>
      </c>
      <c r="I90" s="99">
        <f t="shared" si="77"/>
        <v>152500</v>
      </c>
      <c r="J90" s="99">
        <f t="shared" si="88"/>
        <v>152500</v>
      </c>
      <c r="K90" s="99">
        <f t="shared" si="89"/>
        <v>152500</v>
      </c>
      <c r="L90" s="99">
        <f t="shared" si="90"/>
        <v>152500</v>
      </c>
      <c r="M90" s="99">
        <f t="shared" si="78"/>
        <v>152500</v>
      </c>
      <c r="N90" s="99">
        <f t="shared" si="79"/>
        <v>152500</v>
      </c>
      <c r="O90" s="99">
        <f t="shared" si="80"/>
        <v>152500</v>
      </c>
      <c r="P90" s="99">
        <f t="shared" si="81"/>
        <v>152500</v>
      </c>
      <c r="Q90" s="99">
        <f t="shared" si="82"/>
        <v>152500</v>
      </c>
      <c r="R90" s="99">
        <f t="shared" si="83"/>
        <v>152500</v>
      </c>
      <c r="S90" s="99">
        <f t="shared" si="84"/>
        <v>152500</v>
      </c>
      <c r="T90" s="99">
        <f t="shared" si="85"/>
        <v>152500</v>
      </c>
      <c r="U90" s="99">
        <f t="shared" si="86"/>
        <v>1830000</v>
      </c>
      <c r="V90" s="99">
        <f t="shared" si="87"/>
        <v>5490000</v>
      </c>
    </row>
    <row r="91" spans="1:22">
      <c r="A91" s="467">
        <v>58</v>
      </c>
      <c r="B91" s="97" t="s">
        <v>426</v>
      </c>
      <c r="C91" s="535" t="s">
        <v>629</v>
      </c>
      <c r="D91" s="96">
        <v>4</v>
      </c>
      <c r="E91" s="98">
        <v>42872</v>
      </c>
      <c r="F91" s="99">
        <v>15890000</v>
      </c>
      <c r="G91" s="103">
        <f t="shared" si="75"/>
        <v>331041.66666666669</v>
      </c>
      <c r="H91" s="99">
        <f t="shared" si="76"/>
        <v>15890000</v>
      </c>
      <c r="I91" s="99">
        <f t="shared" si="77"/>
        <v>331041.66666666669</v>
      </c>
      <c r="J91" s="99">
        <f t="shared" si="88"/>
        <v>331041.66666666669</v>
      </c>
      <c r="K91" s="99">
        <f t="shared" si="89"/>
        <v>331041.66666666669</v>
      </c>
      <c r="L91" s="99">
        <f t="shared" si="90"/>
        <v>331041.66666666669</v>
      </c>
      <c r="M91" s="99">
        <f t="shared" si="78"/>
        <v>331041.66666666669</v>
      </c>
      <c r="N91" s="99">
        <f t="shared" si="79"/>
        <v>331041.66666666669</v>
      </c>
      <c r="O91" s="99">
        <f t="shared" si="80"/>
        <v>331041.66666666669</v>
      </c>
      <c r="P91" s="99">
        <f t="shared" si="81"/>
        <v>331041.66666666669</v>
      </c>
      <c r="Q91" s="99">
        <f t="shared" si="82"/>
        <v>331041.66666666669</v>
      </c>
      <c r="R91" s="99">
        <f t="shared" si="83"/>
        <v>331041.66666666669</v>
      </c>
      <c r="S91" s="99">
        <f t="shared" si="84"/>
        <v>331041.66666666669</v>
      </c>
      <c r="T91" s="99">
        <f t="shared" si="85"/>
        <v>331041.66666666669</v>
      </c>
      <c r="U91" s="99">
        <f t="shared" si="86"/>
        <v>3972499.9999999995</v>
      </c>
      <c r="V91" s="99">
        <f t="shared" si="87"/>
        <v>11917500</v>
      </c>
    </row>
    <row r="92" spans="1:22">
      <c r="A92" s="467">
        <v>59</v>
      </c>
      <c r="B92" s="97" t="s">
        <v>427</v>
      </c>
      <c r="C92" s="535" t="s">
        <v>630</v>
      </c>
      <c r="D92" s="96">
        <v>4</v>
      </c>
      <c r="E92" s="98">
        <v>42872</v>
      </c>
      <c r="F92" s="99">
        <v>17080000</v>
      </c>
      <c r="G92" s="103">
        <f t="shared" si="75"/>
        <v>355833.33333333331</v>
      </c>
      <c r="H92" s="99">
        <f t="shared" si="76"/>
        <v>17080000</v>
      </c>
      <c r="I92" s="99">
        <f t="shared" si="77"/>
        <v>355833.33333333331</v>
      </c>
      <c r="J92" s="99">
        <f t="shared" si="88"/>
        <v>355833.33333333331</v>
      </c>
      <c r="K92" s="99">
        <f t="shared" si="89"/>
        <v>355833.33333333331</v>
      </c>
      <c r="L92" s="99">
        <f t="shared" si="90"/>
        <v>355833.33333333331</v>
      </c>
      <c r="M92" s="99">
        <f t="shared" si="78"/>
        <v>355833.33333333331</v>
      </c>
      <c r="N92" s="99">
        <f t="shared" si="79"/>
        <v>355833.33333333331</v>
      </c>
      <c r="O92" s="99">
        <f t="shared" si="80"/>
        <v>355833.33333333331</v>
      </c>
      <c r="P92" s="99">
        <f t="shared" si="81"/>
        <v>355833.33333333331</v>
      </c>
      <c r="Q92" s="99">
        <f t="shared" si="82"/>
        <v>355833.33333333331</v>
      </c>
      <c r="R92" s="99">
        <f t="shared" si="83"/>
        <v>355833.33333333331</v>
      </c>
      <c r="S92" s="99">
        <f t="shared" si="84"/>
        <v>355833.33333333331</v>
      </c>
      <c r="T92" s="99">
        <f t="shared" si="85"/>
        <v>355833.33333333331</v>
      </c>
      <c r="U92" s="99">
        <f t="shared" si="86"/>
        <v>4270000.0000000009</v>
      </c>
      <c r="V92" s="99">
        <f t="shared" si="87"/>
        <v>12810000</v>
      </c>
    </row>
    <row r="93" spans="1:22">
      <c r="A93" s="467">
        <v>60</v>
      </c>
      <c r="B93" s="97" t="s">
        <v>428</v>
      </c>
      <c r="C93" s="535" t="s">
        <v>621</v>
      </c>
      <c r="D93" s="96">
        <v>4</v>
      </c>
      <c r="E93" s="98">
        <v>42872</v>
      </c>
      <c r="F93" s="99">
        <v>23744000</v>
      </c>
      <c r="G93" s="103">
        <f t="shared" si="75"/>
        <v>494666.66666666669</v>
      </c>
      <c r="H93" s="99">
        <f t="shared" si="76"/>
        <v>23744000</v>
      </c>
      <c r="I93" s="99">
        <f t="shared" si="77"/>
        <v>494666.66666666669</v>
      </c>
      <c r="J93" s="99">
        <f t="shared" si="88"/>
        <v>494666.66666666669</v>
      </c>
      <c r="K93" s="99">
        <f t="shared" si="89"/>
        <v>494666.66666666669</v>
      </c>
      <c r="L93" s="99">
        <f t="shared" si="90"/>
        <v>494666.66666666669</v>
      </c>
      <c r="M93" s="99">
        <f t="shared" si="78"/>
        <v>494666.66666666669</v>
      </c>
      <c r="N93" s="99">
        <f t="shared" si="79"/>
        <v>494666.66666666669</v>
      </c>
      <c r="O93" s="99">
        <f t="shared" si="80"/>
        <v>494666.66666666669</v>
      </c>
      <c r="P93" s="99">
        <f t="shared" si="81"/>
        <v>494666.66666666669</v>
      </c>
      <c r="Q93" s="99">
        <f t="shared" si="82"/>
        <v>494666.66666666669</v>
      </c>
      <c r="R93" s="99">
        <f t="shared" si="83"/>
        <v>494666.66666666669</v>
      </c>
      <c r="S93" s="99">
        <f t="shared" si="84"/>
        <v>494666.66666666669</v>
      </c>
      <c r="T93" s="99">
        <f t="shared" si="85"/>
        <v>494666.66666666669</v>
      </c>
      <c r="U93" s="99">
        <f t="shared" si="86"/>
        <v>5936000.0000000009</v>
      </c>
      <c r="V93" s="99">
        <f t="shared" si="87"/>
        <v>17808000</v>
      </c>
    </row>
    <row r="94" spans="1:22">
      <c r="A94" s="467">
        <v>61</v>
      </c>
      <c r="B94" s="97" t="s">
        <v>437</v>
      </c>
      <c r="C94" s="535" t="s">
        <v>631</v>
      </c>
      <c r="D94" s="96">
        <v>4</v>
      </c>
      <c r="E94" s="98">
        <v>42872</v>
      </c>
      <c r="F94" s="99">
        <v>6528000</v>
      </c>
      <c r="G94" s="103">
        <f t="shared" si="75"/>
        <v>136000</v>
      </c>
      <c r="H94" s="99">
        <f t="shared" si="76"/>
        <v>6528000</v>
      </c>
      <c r="I94" s="99">
        <f t="shared" si="77"/>
        <v>136000</v>
      </c>
      <c r="J94" s="99">
        <f t="shared" si="88"/>
        <v>136000</v>
      </c>
      <c r="K94" s="99">
        <f t="shared" si="89"/>
        <v>136000</v>
      </c>
      <c r="L94" s="99">
        <f t="shared" si="90"/>
        <v>136000</v>
      </c>
      <c r="M94" s="99">
        <f t="shared" si="78"/>
        <v>136000</v>
      </c>
      <c r="N94" s="99">
        <f t="shared" si="79"/>
        <v>136000</v>
      </c>
      <c r="O94" s="99">
        <f t="shared" si="80"/>
        <v>136000</v>
      </c>
      <c r="P94" s="99">
        <f t="shared" si="81"/>
        <v>136000</v>
      </c>
      <c r="Q94" s="99">
        <f t="shared" si="82"/>
        <v>136000</v>
      </c>
      <c r="R94" s="99">
        <f t="shared" si="83"/>
        <v>136000</v>
      </c>
      <c r="S94" s="99">
        <f t="shared" si="84"/>
        <v>136000</v>
      </c>
      <c r="T94" s="99">
        <f t="shared" si="85"/>
        <v>136000</v>
      </c>
      <c r="U94" s="99">
        <f t="shared" si="86"/>
        <v>1632000</v>
      </c>
      <c r="V94" s="99">
        <f t="shared" si="87"/>
        <v>4896000</v>
      </c>
    </row>
    <row r="95" spans="1:22">
      <c r="A95" s="467">
        <v>62</v>
      </c>
      <c r="B95" s="97" t="s">
        <v>438</v>
      </c>
      <c r="C95" s="535" t="s">
        <v>632</v>
      </c>
      <c r="D95" s="96">
        <v>4</v>
      </c>
      <c r="E95" s="98">
        <v>42872</v>
      </c>
      <c r="F95" s="99">
        <v>3327750</v>
      </c>
      <c r="G95" s="103">
        <f t="shared" si="75"/>
        <v>69328.125</v>
      </c>
      <c r="H95" s="99">
        <f t="shared" si="76"/>
        <v>3327750</v>
      </c>
      <c r="I95" s="99">
        <f t="shared" si="77"/>
        <v>69328.125</v>
      </c>
      <c r="J95" s="99">
        <f t="shared" si="88"/>
        <v>69328.125</v>
      </c>
      <c r="K95" s="99">
        <f t="shared" si="89"/>
        <v>69328.125</v>
      </c>
      <c r="L95" s="99">
        <f t="shared" si="90"/>
        <v>69328.125</v>
      </c>
      <c r="M95" s="99">
        <f t="shared" si="78"/>
        <v>69328.125</v>
      </c>
      <c r="N95" s="99">
        <f t="shared" si="79"/>
        <v>69328.125</v>
      </c>
      <c r="O95" s="99">
        <f t="shared" si="80"/>
        <v>69328.125</v>
      </c>
      <c r="P95" s="99">
        <f t="shared" si="81"/>
        <v>69328.125</v>
      </c>
      <c r="Q95" s="99">
        <f t="shared" si="82"/>
        <v>69328.125</v>
      </c>
      <c r="R95" s="99">
        <f t="shared" si="83"/>
        <v>69328.125</v>
      </c>
      <c r="S95" s="99">
        <f t="shared" si="84"/>
        <v>69328.125</v>
      </c>
      <c r="T95" s="99">
        <f t="shared" si="85"/>
        <v>69328.125</v>
      </c>
      <c r="U95" s="99">
        <f t="shared" si="86"/>
        <v>831937.5</v>
      </c>
      <c r="V95" s="99">
        <f t="shared" si="87"/>
        <v>2495812.5</v>
      </c>
    </row>
    <row r="96" spans="1:22">
      <c r="A96" s="467">
        <v>63</v>
      </c>
      <c r="B96" s="97" t="s">
        <v>429</v>
      </c>
      <c r="C96" s="535" t="s">
        <v>633</v>
      </c>
      <c r="D96" s="96">
        <v>4</v>
      </c>
      <c r="E96" s="98">
        <v>42872</v>
      </c>
      <c r="F96" s="99">
        <v>8654000</v>
      </c>
      <c r="G96" s="103">
        <f t="shared" si="75"/>
        <v>180291.66666666666</v>
      </c>
      <c r="H96" s="99">
        <f t="shared" si="76"/>
        <v>8654000</v>
      </c>
      <c r="I96" s="99">
        <f t="shared" si="77"/>
        <v>180291.66666666666</v>
      </c>
      <c r="J96" s="99">
        <f t="shared" si="88"/>
        <v>180291.66666666666</v>
      </c>
      <c r="K96" s="99">
        <f t="shared" si="89"/>
        <v>180291.66666666666</v>
      </c>
      <c r="L96" s="99">
        <f t="shared" si="90"/>
        <v>180291.66666666666</v>
      </c>
      <c r="M96" s="99">
        <f t="shared" si="78"/>
        <v>180291.66666666666</v>
      </c>
      <c r="N96" s="99">
        <f t="shared" si="79"/>
        <v>180291.66666666666</v>
      </c>
      <c r="O96" s="99">
        <f t="shared" si="80"/>
        <v>180291.66666666666</v>
      </c>
      <c r="P96" s="99">
        <f t="shared" si="81"/>
        <v>180291.66666666666</v>
      </c>
      <c r="Q96" s="99">
        <f t="shared" si="82"/>
        <v>180291.66666666666</v>
      </c>
      <c r="R96" s="99">
        <f t="shared" si="83"/>
        <v>180291.66666666666</v>
      </c>
      <c r="S96" s="99">
        <f t="shared" si="84"/>
        <v>180291.66666666666</v>
      </c>
      <c r="T96" s="99">
        <f t="shared" si="85"/>
        <v>180291.66666666666</v>
      </c>
      <c r="U96" s="99">
        <f t="shared" si="86"/>
        <v>2163500.0000000005</v>
      </c>
      <c r="V96" s="99">
        <f t="shared" si="87"/>
        <v>6490500</v>
      </c>
    </row>
    <row r="97" spans="1:22">
      <c r="A97" s="467">
        <v>64</v>
      </c>
      <c r="B97" s="97" t="s">
        <v>416</v>
      </c>
      <c r="C97" s="535" t="s">
        <v>634</v>
      </c>
      <c r="D97" s="96">
        <v>4</v>
      </c>
      <c r="E97" s="98">
        <v>42872</v>
      </c>
      <c r="F97" s="99">
        <v>8750000</v>
      </c>
      <c r="G97" s="103">
        <f t="shared" si="75"/>
        <v>182291.66666666666</v>
      </c>
      <c r="H97" s="99">
        <f t="shared" si="76"/>
        <v>8750000</v>
      </c>
      <c r="I97" s="99">
        <f t="shared" si="77"/>
        <v>182291.66666666666</v>
      </c>
      <c r="J97" s="99">
        <f t="shared" si="88"/>
        <v>182291.66666666666</v>
      </c>
      <c r="K97" s="99">
        <f t="shared" si="89"/>
        <v>182291.66666666666</v>
      </c>
      <c r="L97" s="99">
        <f t="shared" si="90"/>
        <v>182291.66666666666</v>
      </c>
      <c r="M97" s="99">
        <f t="shared" si="78"/>
        <v>182291.66666666666</v>
      </c>
      <c r="N97" s="99">
        <f t="shared" si="79"/>
        <v>182291.66666666666</v>
      </c>
      <c r="O97" s="99">
        <f t="shared" si="80"/>
        <v>182291.66666666666</v>
      </c>
      <c r="P97" s="99">
        <f t="shared" si="81"/>
        <v>182291.66666666666</v>
      </c>
      <c r="Q97" s="99">
        <f t="shared" si="82"/>
        <v>182291.66666666666</v>
      </c>
      <c r="R97" s="99">
        <f t="shared" si="83"/>
        <v>182291.66666666666</v>
      </c>
      <c r="S97" s="99">
        <f t="shared" si="84"/>
        <v>182291.66666666666</v>
      </c>
      <c r="T97" s="99">
        <f t="shared" si="85"/>
        <v>182291.66666666666</v>
      </c>
      <c r="U97" s="99">
        <f t="shared" si="86"/>
        <v>2187500.0000000005</v>
      </c>
      <c r="V97" s="99">
        <f t="shared" si="87"/>
        <v>6562500</v>
      </c>
    </row>
    <row r="98" spans="1:22">
      <c r="A98" s="467">
        <v>65</v>
      </c>
      <c r="B98" s="97" t="s">
        <v>417</v>
      </c>
      <c r="C98" s="535" t="s">
        <v>635</v>
      </c>
      <c r="D98" s="96">
        <v>4</v>
      </c>
      <c r="E98" s="98">
        <v>42872</v>
      </c>
      <c r="F98" s="99">
        <v>2775000</v>
      </c>
      <c r="G98" s="103">
        <f t="shared" si="75"/>
        <v>57812.5</v>
      </c>
      <c r="H98" s="99">
        <f t="shared" si="76"/>
        <v>2775000</v>
      </c>
      <c r="I98" s="99">
        <f t="shared" si="77"/>
        <v>57812.5</v>
      </c>
      <c r="J98" s="99">
        <f t="shared" si="88"/>
        <v>57812.5</v>
      </c>
      <c r="K98" s="99">
        <f t="shared" si="89"/>
        <v>57812.5</v>
      </c>
      <c r="L98" s="99">
        <f t="shared" si="90"/>
        <v>57812.5</v>
      </c>
      <c r="M98" s="99">
        <f t="shared" si="78"/>
        <v>57812.5</v>
      </c>
      <c r="N98" s="99">
        <f t="shared" si="79"/>
        <v>57812.5</v>
      </c>
      <c r="O98" s="99">
        <f t="shared" si="80"/>
        <v>57812.5</v>
      </c>
      <c r="P98" s="99">
        <f t="shared" si="81"/>
        <v>57812.5</v>
      </c>
      <c r="Q98" s="99">
        <f t="shared" si="82"/>
        <v>57812.5</v>
      </c>
      <c r="R98" s="99">
        <f t="shared" si="83"/>
        <v>57812.5</v>
      </c>
      <c r="S98" s="99">
        <f t="shared" si="84"/>
        <v>57812.5</v>
      </c>
      <c r="T98" s="99">
        <f t="shared" si="85"/>
        <v>57812.5</v>
      </c>
      <c r="U98" s="99">
        <f t="shared" si="86"/>
        <v>693750</v>
      </c>
      <c r="V98" s="99">
        <f t="shared" si="87"/>
        <v>2081250</v>
      </c>
    </row>
    <row r="99" spans="1:22">
      <c r="A99" s="467">
        <v>66</v>
      </c>
      <c r="B99" s="97" t="s">
        <v>418</v>
      </c>
      <c r="C99" s="535" t="s">
        <v>636</v>
      </c>
      <c r="D99" s="96">
        <v>4</v>
      </c>
      <c r="E99" s="98">
        <v>42872</v>
      </c>
      <c r="F99" s="99">
        <v>10530000</v>
      </c>
      <c r="G99" s="103">
        <f>+F99/48</f>
        <v>219375</v>
      </c>
      <c r="H99" s="99">
        <f t="shared" si="76"/>
        <v>10530000</v>
      </c>
      <c r="I99" s="99">
        <f t="shared" si="77"/>
        <v>219375</v>
      </c>
      <c r="J99" s="99">
        <f t="shared" si="88"/>
        <v>219375</v>
      </c>
      <c r="K99" s="99">
        <f t="shared" si="89"/>
        <v>219375</v>
      </c>
      <c r="L99" s="99">
        <f t="shared" si="90"/>
        <v>219375</v>
      </c>
      <c r="M99" s="99">
        <f t="shared" si="78"/>
        <v>219375</v>
      </c>
      <c r="N99" s="99">
        <f t="shared" si="79"/>
        <v>219375</v>
      </c>
      <c r="O99" s="99">
        <f t="shared" si="80"/>
        <v>219375</v>
      </c>
      <c r="P99" s="99">
        <f t="shared" si="81"/>
        <v>219375</v>
      </c>
      <c r="Q99" s="99">
        <f t="shared" si="82"/>
        <v>219375</v>
      </c>
      <c r="R99" s="99">
        <f t="shared" si="83"/>
        <v>219375</v>
      </c>
      <c r="S99" s="99">
        <f t="shared" si="84"/>
        <v>219375</v>
      </c>
      <c r="T99" s="99">
        <f t="shared" si="85"/>
        <v>219375</v>
      </c>
      <c r="U99" s="99">
        <f t="shared" si="86"/>
        <v>2632500</v>
      </c>
      <c r="V99" s="99">
        <f t="shared" si="87"/>
        <v>7897500</v>
      </c>
    </row>
    <row r="100" spans="1:22">
      <c r="A100" s="467">
        <v>71</v>
      </c>
      <c r="B100" s="106" t="s">
        <v>562</v>
      </c>
      <c r="C100" s="535" t="s">
        <v>616</v>
      </c>
      <c r="D100" s="96">
        <v>4</v>
      </c>
      <c r="E100" s="98">
        <v>42907</v>
      </c>
      <c r="F100" s="107">
        <v>7302500</v>
      </c>
      <c r="G100" s="109">
        <f>+F100/48</f>
        <v>152135.41666666666</v>
      </c>
      <c r="H100" s="107">
        <f t="shared" si="76"/>
        <v>7302500</v>
      </c>
      <c r="I100" s="99">
        <f t="shared" si="77"/>
        <v>152135.41666666666</v>
      </c>
      <c r="J100" s="99">
        <f t="shared" si="88"/>
        <v>152135.41666666666</v>
      </c>
      <c r="K100" s="99">
        <f t="shared" si="89"/>
        <v>152135.41666666666</v>
      </c>
      <c r="L100" s="99">
        <f t="shared" si="90"/>
        <v>152135.41666666666</v>
      </c>
      <c r="M100" s="99">
        <f t="shared" si="78"/>
        <v>152135.41666666666</v>
      </c>
      <c r="N100" s="107">
        <f t="shared" si="79"/>
        <v>152135.41666666666</v>
      </c>
      <c r="O100" s="107">
        <f t="shared" si="80"/>
        <v>152135.41666666666</v>
      </c>
      <c r="P100" s="107">
        <f t="shared" si="81"/>
        <v>152135.41666666666</v>
      </c>
      <c r="Q100" s="107">
        <f t="shared" si="82"/>
        <v>152135.41666666666</v>
      </c>
      <c r="R100" s="107">
        <f t="shared" si="83"/>
        <v>152135.41666666666</v>
      </c>
      <c r="S100" s="107">
        <f t="shared" si="84"/>
        <v>152135.41666666666</v>
      </c>
      <c r="T100" s="107">
        <f t="shared" si="85"/>
        <v>152135.41666666666</v>
      </c>
      <c r="U100" s="107"/>
      <c r="V100" s="107"/>
    </row>
    <row r="101" spans="1:22">
      <c r="A101" s="467">
        <v>83</v>
      </c>
      <c r="B101" s="128" t="s">
        <v>731</v>
      </c>
      <c r="C101" s="535" t="s">
        <v>742</v>
      </c>
      <c r="D101" s="105">
        <v>4</v>
      </c>
      <c r="E101" s="108">
        <v>43223</v>
      </c>
      <c r="F101" s="107">
        <v>42350000</v>
      </c>
      <c r="G101" s="109">
        <f>+F101/48</f>
        <v>882291.66666666663</v>
      </c>
      <c r="H101" s="107">
        <f t="shared" si="76"/>
        <v>42350000</v>
      </c>
      <c r="I101" s="99">
        <v>0</v>
      </c>
      <c r="J101" s="99">
        <v>0</v>
      </c>
      <c r="K101" s="99">
        <v>0</v>
      </c>
      <c r="L101" s="99">
        <v>0</v>
      </c>
      <c r="M101" s="99">
        <f t="shared" si="78"/>
        <v>882291.66666666663</v>
      </c>
      <c r="N101" s="107">
        <f t="shared" si="79"/>
        <v>882291.66666666663</v>
      </c>
      <c r="O101" s="107">
        <f t="shared" si="80"/>
        <v>882291.66666666663</v>
      </c>
      <c r="P101" s="107">
        <f t="shared" si="81"/>
        <v>882291.66666666663</v>
      </c>
      <c r="Q101" s="107">
        <f t="shared" si="82"/>
        <v>882291.66666666663</v>
      </c>
      <c r="R101" s="107">
        <f t="shared" si="83"/>
        <v>882291.66666666663</v>
      </c>
      <c r="S101" s="107">
        <f t="shared" si="84"/>
        <v>882291.66666666663</v>
      </c>
      <c r="T101" s="107">
        <f t="shared" si="85"/>
        <v>882291.66666666663</v>
      </c>
      <c r="U101" s="107"/>
      <c r="V101" s="107"/>
    </row>
    <row r="102" spans="1:22">
      <c r="A102" s="468"/>
      <c r="B102" s="106"/>
      <c r="C102" s="106"/>
      <c r="D102" s="105"/>
      <c r="E102" s="108"/>
      <c r="F102" s="107"/>
      <c r="G102" s="109"/>
      <c r="H102" s="107"/>
      <c r="I102" s="107"/>
      <c r="J102" s="107"/>
      <c r="K102" s="107"/>
      <c r="L102" s="107"/>
      <c r="M102" s="107"/>
      <c r="N102" s="107"/>
      <c r="O102" s="107"/>
      <c r="P102" s="107"/>
      <c r="Q102" s="107"/>
      <c r="R102" s="107"/>
      <c r="S102" s="107"/>
      <c r="T102" s="107"/>
      <c r="U102" s="107"/>
      <c r="V102" s="107"/>
    </row>
    <row r="103" spans="1:22">
      <c r="A103" s="110"/>
      <c r="B103" s="111"/>
      <c r="C103" s="111"/>
      <c r="D103" s="111"/>
      <c r="E103" s="112"/>
      <c r="F103" s="113">
        <f>SUM(F79:F101)</f>
        <v>267578950</v>
      </c>
      <c r="G103" s="113">
        <f>SUM(G79:G101)</f>
        <v>5574561.458333334</v>
      </c>
      <c r="H103" s="113">
        <f>SUM(H79:H101)</f>
        <v>267578950</v>
      </c>
      <c r="I103" s="113">
        <f>SUM(I79:I101)</f>
        <v>4692269.791666667</v>
      </c>
      <c r="J103" s="113">
        <f t="shared" ref="J103:V103" si="91">SUM(J79:J101)</f>
        <v>4692269.791666667</v>
      </c>
      <c r="K103" s="113">
        <f t="shared" si="91"/>
        <v>4692269.791666667</v>
      </c>
      <c r="L103" s="113">
        <f t="shared" si="91"/>
        <v>4692269.791666667</v>
      </c>
      <c r="M103" s="113">
        <f>SUM(M79:M101)+0.5</f>
        <v>5574561.958333334</v>
      </c>
      <c r="N103" s="113">
        <f t="shared" si="91"/>
        <v>5574561.458333334</v>
      </c>
      <c r="O103" s="113">
        <f t="shared" si="91"/>
        <v>5574561.458333334</v>
      </c>
      <c r="P103" s="113">
        <f t="shared" si="91"/>
        <v>5574561.458333334</v>
      </c>
      <c r="Q103" s="113">
        <f t="shared" si="91"/>
        <v>5574561.458333334</v>
      </c>
      <c r="R103" s="113">
        <f>SUM(R79:R101)+1</f>
        <v>5574562.458333334</v>
      </c>
      <c r="S103" s="113">
        <f t="shared" si="91"/>
        <v>5574561.458333334</v>
      </c>
      <c r="T103" s="113">
        <f t="shared" si="91"/>
        <v>5574561.458333334</v>
      </c>
      <c r="U103" s="113">
        <f t="shared" si="91"/>
        <v>54481612.5</v>
      </c>
      <c r="V103" s="113">
        <f t="shared" si="91"/>
        <v>163444837.5</v>
      </c>
    </row>
    <row r="104" spans="1:22">
      <c r="A104" s="474"/>
      <c r="B104" s="475"/>
      <c r="C104" s="475"/>
      <c r="D104" s="475"/>
      <c r="E104" s="476"/>
      <c r="F104" s="477"/>
      <c r="G104" s="477"/>
      <c r="H104" s="477"/>
      <c r="I104" s="477"/>
      <c r="J104" s="477"/>
      <c r="K104" s="477"/>
      <c r="L104" s="477"/>
      <c r="M104" s="477"/>
      <c r="N104" s="477"/>
      <c r="O104" s="477"/>
      <c r="P104" s="477"/>
      <c r="Q104" s="477"/>
      <c r="R104" s="477"/>
      <c r="S104" s="477"/>
      <c r="T104" s="477"/>
      <c r="U104" s="477"/>
      <c r="V104" s="477"/>
    </row>
    <row r="105" spans="1:22">
      <c r="A105" s="474"/>
      <c r="B105" s="475"/>
      <c r="C105" s="475"/>
      <c r="D105" s="475"/>
      <c r="E105" s="476"/>
      <c r="F105" s="477"/>
      <c r="G105" s="477"/>
      <c r="H105" s="477"/>
      <c r="I105" s="477"/>
      <c r="J105" s="477"/>
      <c r="K105" s="477"/>
      <c r="L105" s="477"/>
      <c r="M105" s="477"/>
      <c r="N105" s="477"/>
      <c r="O105" s="477"/>
      <c r="P105" s="477"/>
      <c r="Q105" s="477"/>
      <c r="R105" s="477"/>
      <c r="S105" s="477"/>
      <c r="T105" s="477"/>
      <c r="U105" s="477"/>
      <c r="V105" s="477"/>
    </row>
    <row r="106" spans="1:22" ht="48">
      <c r="A106" s="93" t="s">
        <v>356</v>
      </c>
      <c r="B106" s="93" t="s">
        <v>357</v>
      </c>
      <c r="C106" s="93"/>
      <c r="D106" s="93" t="s">
        <v>358</v>
      </c>
      <c r="E106" s="94" t="s">
        <v>359</v>
      </c>
      <c r="F106" s="95" t="s">
        <v>360</v>
      </c>
      <c r="G106" s="95" t="s">
        <v>361</v>
      </c>
      <c r="H106" s="95" t="s">
        <v>362</v>
      </c>
      <c r="I106" s="95" t="s">
        <v>363</v>
      </c>
      <c r="J106" s="95" t="s">
        <v>364</v>
      </c>
      <c r="K106" s="95" t="s">
        <v>365</v>
      </c>
      <c r="L106" s="95" t="s">
        <v>366</v>
      </c>
      <c r="M106" s="95" t="s">
        <v>367</v>
      </c>
      <c r="N106" s="95" t="s">
        <v>368</v>
      </c>
      <c r="O106" s="95" t="s">
        <v>369</v>
      </c>
      <c r="P106" s="95" t="s">
        <v>370</v>
      </c>
      <c r="Q106" s="95" t="s">
        <v>371</v>
      </c>
      <c r="R106" s="95" t="s">
        <v>372</v>
      </c>
      <c r="S106" s="95" t="s">
        <v>373</v>
      </c>
      <c r="T106" s="95" t="s">
        <v>374</v>
      </c>
      <c r="U106" s="95" t="s">
        <v>375</v>
      </c>
      <c r="V106" s="95" t="s">
        <v>667</v>
      </c>
    </row>
    <row r="107" spans="1:22">
      <c r="A107" s="467">
        <v>68</v>
      </c>
      <c r="B107" s="97" t="s">
        <v>447</v>
      </c>
      <c r="C107" s="97"/>
      <c r="D107" s="96">
        <v>4</v>
      </c>
      <c r="E107" s="98">
        <v>42860</v>
      </c>
      <c r="F107" s="99">
        <v>310000000</v>
      </c>
      <c r="G107" s="103">
        <f>+F107/48</f>
        <v>6458333.333333333</v>
      </c>
      <c r="H107" s="99">
        <f>F107</f>
        <v>310000000</v>
      </c>
      <c r="I107" s="99">
        <f>G107</f>
        <v>6458333.333333333</v>
      </c>
      <c r="J107" s="99">
        <f>I107</f>
        <v>6458333.333333333</v>
      </c>
      <c r="K107" s="99">
        <f>G107</f>
        <v>6458333.333333333</v>
      </c>
      <c r="L107" s="99">
        <f>G107</f>
        <v>6458333.333333333</v>
      </c>
      <c r="M107" s="99">
        <f>G107</f>
        <v>6458333.333333333</v>
      </c>
      <c r="N107" s="99">
        <f>G107</f>
        <v>6458333.333333333</v>
      </c>
      <c r="O107" s="99">
        <f>G107</f>
        <v>6458333.333333333</v>
      </c>
      <c r="P107" s="99">
        <f>G107</f>
        <v>6458333.333333333</v>
      </c>
      <c r="Q107" s="99">
        <f>G107</f>
        <v>6458333.333333333</v>
      </c>
      <c r="R107" s="99">
        <f>G107</f>
        <v>6458333.333333333</v>
      </c>
      <c r="S107" s="99">
        <f>G107</f>
        <v>6458333.333333333</v>
      </c>
      <c r="T107" s="99">
        <f>G107</f>
        <v>6458333.333333333</v>
      </c>
      <c r="U107" s="99">
        <f>SUM(I107:T107)</f>
        <v>77500000</v>
      </c>
      <c r="V107" s="99">
        <f>H107-U107</f>
        <v>232500000</v>
      </c>
    </row>
    <row r="108" spans="1:22">
      <c r="A108" s="110"/>
      <c r="B108" s="111"/>
      <c r="C108" s="111"/>
      <c r="D108" s="111"/>
      <c r="E108" s="112"/>
      <c r="F108" s="113">
        <f t="shared" ref="F108:L108" si="92">SUM(F107)</f>
        <v>310000000</v>
      </c>
      <c r="G108" s="113">
        <f t="shared" si="92"/>
        <v>6458333.333333333</v>
      </c>
      <c r="H108" s="113">
        <f t="shared" si="92"/>
        <v>310000000</v>
      </c>
      <c r="I108" s="113">
        <f t="shared" si="92"/>
        <v>6458333.333333333</v>
      </c>
      <c r="J108" s="113">
        <f t="shared" si="92"/>
        <v>6458333.333333333</v>
      </c>
      <c r="K108" s="113">
        <f t="shared" si="92"/>
        <v>6458333.333333333</v>
      </c>
      <c r="L108" s="113">
        <f t="shared" si="92"/>
        <v>6458333.333333333</v>
      </c>
      <c r="M108" s="113">
        <f>SUM(M107)</f>
        <v>6458333.333333333</v>
      </c>
      <c r="N108" s="113">
        <f t="shared" ref="N108:V108" si="93">SUM(N107)</f>
        <v>6458333.333333333</v>
      </c>
      <c r="O108" s="113">
        <f t="shared" si="93"/>
        <v>6458333.333333333</v>
      </c>
      <c r="P108" s="113">
        <f t="shared" si="93"/>
        <v>6458333.333333333</v>
      </c>
      <c r="Q108" s="113">
        <f t="shared" si="93"/>
        <v>6458333.333333333</v>
      </c>
      <c r="R108" s="113">
        <f t="shared" si="93"/>
        <v>6458333.333333333</v>
      </c>
      <c r="S108" s="113">
        <f t="shared" si="93"/>
        <v>6458333.333333333</v>
      </c>
      <c r="T108" s="113">
        <f t="shared" si="93"/>
        <v>6458333.333333333</v>
      </c>
      <c r="U108" s="113">
        <f t="shared" si="93"/>
        <v>77500000</v>
      </c>
      <c r="V108" s="113">
        <f t="shared" si="93"/>
        <v>232500000</v>
      </c>
    </row>
    <row r="109" spans="1:22">
      <c r="A109" s="474"/>
      <c r="B109" s="475"/>
      <c r="C109" s="475"/>
      <c r="D109" s="475"/>
      <c r="E109" s="476"/>
      <c r="F109" s="477"/>
      <c r="G109" s="477"/>
      <c r="H109" s="477"/>
      <c r="I109" s="477"/>
      <c r="J109" s="477"/>
      <c r="K109" s="477"/>
      <c r="L109" s="477"/>
      <c r="M109" s="477"/>
      <c r="N109" s="477"/>
      <c r="O109" s="477"/>
      <c r="P109" s="477"/>
      <c r="Q109" s="477"/>
      <c r="R109" s="477"/>
      <c r="S109" s="477"/>
      <c r="T109" s="477"/>
      <c r="U109" s="477"/>
      <c r="V109" s="477"/>
    </row>
    <row r="110" spans="1:22">
      <c r="A110" s="474"/>
      <c r="B110" s="475"/>
      <c r="C110" s="475"/>
      <c r="D110" s="475"/>
      <c r="E110" s="476"/>
      <c r="F110" s="477"/>
      <c r="G110" s="477"/>
      <c r="H110" s="477"/>
      <c r="I110" s="477"/>
      <c r="J110" s="477"/>
      <c r="K110" s="477"/>
      <c r="L110" s="477"/>
      <c r="M110" s="477"/>
      <c r="N110" s="477"/>
      <c r="O110" s="477"/>
      <c r="P110" s="477"/>
      <c r="Q110" s="477"/>
      <c r="R110" s="477"/>
      <c r="S110" s="477"/>
      <c r="T110" s="477"/>
      <c r="U110" s="477"/>
      <c r="V110" s="477"/>
    </row>
    <row r="111" spans="1:22" ht="48">
      <c r="A111" s="93" t="s">
        <v>356</v>
      </c>
      <c r="B111" s="93" t="s">
        <v>357</v>
      </c>
      <c r="C111" s="93"/>
      <c r="D111" s="93" t="s">
        <v>358</v>
      </c>
      <c r="E111" s="94" t="s">
        <v>359</v>
      </c>
      <c r="F111" s="95" t="s">
        <v>360</v>
      </c>
      <c r="G111" s="95" t="s">
        <v>361</v>
      </c>
      <c r="H111" s="95" t="s">
        <v>362</v>
      </c>
      <c r="I111" s="95" t="s">
        <v>363</v>
      </c>
      <c r="J111" s="95" t="s">
        <v>364</v>
      </c>
      <c r="K111" s="95" t="s">
        <v>365</v>
      </c>
      <c r="L111" s="95" t="s">
        <v>366</v>
      </c>
      <c r="M111" s="95" t="s">
        <v>367</v>
      </c>
      <c r="N111" s="95" t="s">
        <v>368</v>
      </c>
      <c r="O111" s="95" t="s">
        <v>369</v>
      </c>
      <c r="P111" s="95" t="s">
        <v>370</v>
      </c>
      <c r="Q111" s="95" t="s">
        <v>371</v>
      </c>
      <c r="R111" s="95" t="s">
        <v>372</v>
      </c>
      <c r="S111" s="95" t="s">
        <v>373</v>
      </c>
      <c r="T111" s="95" t="s">
        <v>374</v>
      </c>
      <c r="U111" s="95" t="s">
        <v>375</v>
      </c>
      <c r="V111" s="95" t="s">
        <v>667</v>
      </c>
    </row>
    <row r="112" spans="1:22">
      <c r="A112" s="467">
        <v>74</v>
      </c>
      <c r="B112" s="97" t="s">
        <v>656</v>
      </c>
      <c r="C112" s="97"/>
      <c r="D112" s="96">
        <v>4</v>
      </c>
      <c r="E112" s="98">
        <v>43073</v>
      </c>
      <c r="F112" s="99">
        <v>270000000</v>
      </c>
      <c r="G112" s="103">
        <f>+F112/48</f>
        <v>5625000</v>
      </c>
      <c r="H112" s="99">
        <f>F112</f>
        <v>270000000</v>
      </c>
      <c r="I112" s="99">
        <f>G112</f>
        <v>5625000</v>
      </c>
      <c r="J112" s="99">
        <f>I112</f>
        <v>5625000</v>
      </c>
      <c r="K112" s="99">
        <f>G112</f>
        <v>5625000</v>
      </c>
      <c r="L112" s="99">
        <f>G112</f>
        <v>5625000</v>
      </c>
      <c r="M112" s="99">
        <f>G112</f>
        <v>5625000</v>
      </c>
      <c r="N112" s="99">
        <f>G112</f>
        <v>5625000</v>
      </c>
      <c r="O112" s="99">
        <f>G112</f>
        <v>5625000</v>
      </c>
      <c r="P112" s="99">
        <f>G112</f>
        <v>5625000</v>
      </c>
      <c r="Q112" s="99">
        <f>G112</f>
        <v>5625000</v>
      </c>
      <c r="R112" s="99">
        <f>G112</f>
        <v>5625000</v>
      </c>
      <c r="S112" s="99">
        <f>G112</f>
        <v>5625000</v>
      </c>
      <c r="T112" s="99">
        <f>G112</f>
        <v>5625000</v>
      </c>
      <c r="U112" s="99">
        <f>SUM(I112:T112)</f>
        <v>67500000</v>
      </c>
      <c r="V112" s="99">
        <f>H112-U112</f>
        <v>202500000</v>
      </c>
    </row>
    <row r="113" spans="1:22">
      <c r="A113" s="467">
        <v>81</v>
      </c>
      <c r="B113" s="106" t="s">
        <v>708</v>
      </c>
      <c r="C113" s="106"/>
      <c r="D113" s="105">
        <v>4</v>
      </c>
      <c r="E113" s="108">
        <v>43170</v>
      </c>
      <c r="F113" s="107">
        <v>200100430</v>
      </c>
      <c r="G113" s="109">
        <f>F113/48</f>
        <v>4168758.9583333335</v>
      </c>
      <c r="H113" s="107">
        <f>F113</f>
        <v>200100430</v>
      </c>
      <c r="I113" s="107"/>
      <c r="J113" s="107"/>
      <c r="K113" s="107">
        <f>G113</f>
        <v>4168758.9583333335</v>
      </c>
      <c r="L113" s="99">
        <f>G113</f>
        <v>4168758.9583333335</v>
      </c>
      <c r="M113" s="99">
        <f>G113</f>
        <v>4168758.9583333335</v>
      </c>
      <c r="N113" s="99">
        <f>G113</f>
        <v>4168758.9583333335</v>
      </c>
      <c r="O113" s="99">
        <f>G113</f>
        <v>4168758.9583333335</v>
      </c>
      <c r="P113" s="99">
        <f>G113</f>
        <v>4168758.9583333335</v>
      </c>
      <c r="Q113" s="99">
        <f>G113</f>
        <v>4168758.9583333335</v>
      </c>
      <c r="R113" s="99">
        <f>G113</f>
        <v>4168758.9583333335</v>
      </c>
      <c r="S113" s="99">
        <f>G113</f>
        <v>4168758.9583333335</v>
      </c>
      <c r="T113" s="99">
        <f>G113</f>
        <v>4168758.9583333335</v>
      </c>
      <c r="U113" s="99">
        <f>SUM(I113:T113)</f>
        <v>41687589.583333336</v>
      </c>
      <c r="V113" s="99">
        <f>H113-U113</f>
        <v>158412840.41666666</v>
      </c>
    </row>
    <row r="114" spans="1:22">
      <c r="A114" s="110"/>
      <c r="B114" s="111"/>
      <c r="C114" s="111"/>
      <c r="D114" s="111"/>
      <c r="E114" s="112"/>
      <c r="F114" s="113">
        <f>SUM(F112:F113)</f>
        <v>470100430</v>
      </c>
      <c r="G114" s="113">
        <f>SUM(G112:G113)</f>
        <v>9793758.958333334</v>
      </c>
      <c r="H114" s="113">
        <f>SUM(H112:H113)</f>
        <v>470100430</v>
      </c>
      <c r="I114" s="113">
        <f>SUM(I112)</f>
        <v>5625000</v>
      </c>
      <c r="J114" s="113">
        <f>SUM(J112)</f>
        <v>5625000</v>
      </c>
      <c r="K114" s="113">
        <f>SUM(K112:K113)</f>
        <v>9793758.958333334</v>
      </c>
      <c r="L114" s="113">
        <f t="shared" ref="L114:T114" si="94">SUM(L112:L113)</f>
        <v>9793758.958333334</v>
      </c>
      <c r="M114" s="113">
        <f t="shared" si="94"/>
        <v>9793758.958333334</v>
      </c>
      <c r="N114" s="113">
        <f t="shared" si="94"/>
        <v>9793758.958333334</v>
      </c>
      <c r="O114" s="113">
        <f t="shared" si="94"/>
        <v>9793758.958333334</v>
      </c>
      <c r="P114" s="113">
        <f t="shared" si="94"/>
        <v>9793758.958333334</v>
      </c>
      <c r="Q114" s="113">
        <f t="shared" si="94"/>
        <v>9793758.958333334</v>
      </c>
      <c r="R114" s="113">
        <f t="shared" si="94"/>
        <v>9793758.958333334</v>
      </c>
      <c r="S114" s="113">
        <f t="shared" si="94"/>
        <v>9793758.958333334</v>
      </c>
      <c r="T114" s="113">
        <f t="shared" si="94"/>
        <v>9793758.958333334</v>
      </c>
      <c r="U114" s="113">
        <f>SUM(U112:U113)</f>
        <v>109187589.58333334</v>
      </c>
      <c r="V114" s="113">
        <f>SUM(V112:V113)</f>
        <v>360912840.41666663</v>
      </c>
    </row>
    <row r="115" spans="1:22">
      <c r="A115" s="474"/>
      <c r="B115" s="475"/>
      <c r="C115" s="475"/>
      <c r="D115" s="475"/>
      <c r="E115" s="476"/>
      <c r="F115" s="477"/>
      <c r="G115" s="477"/>
      <c r="H115" s="477"/>
      <c r="I115" s="477"/>
      <c r="J115" s="477"/>
      <c r="K115" s="477"/>
      <c r="L115" s="477"/>
      <c r="M115" s="477"/>
      <c r="N115" s="477"/>
      <c r="O115" s="477"/>
      <c r="P115" s="477"/>
      <c r="Q115" s="477"/>
      <c r="R115" s="477"/>
      <c r="S115" s="477"/>
      <c r="T115" s="477"/>
      <c r="U115" s="477"/>
      <c r="V115" s="477"/>
    </row>
    <row r="117" spans="1:22">
      <c r="F117" s="461">
        <f>F74+F103+F108+F114</f>
        <v>1459104000</v>
      </c>
      <c r="G117" s="461">
        <f t="shared" ref="G117:V117" si="95">G74+G103+G108+G114</f>
        <v>30398004</v>
      </c>
      <c r="H117" s="461">
        <f t="shared" si="95"/>
        <v>1398134301.3333333</v>
      </c>
      <c r="I117" s="461">
        <f t="shared" si="95"/>
        <v>24137127.958333332</v>
      </c>
      <c r="J117" s="461">
        <f t="shared" si="95"/>
        <v>24607543.625</v>
      </c>
      <c r="K117" s="461">
        <f t="shared" si="95"/>
        <v>29032381.208333336</v>
      </c>
      <c r="L117" s="461">
        <f t="shared" si="95"/>
        <v>29032381.708333336</v>
      </c>
      <c r="M117" s="461">
        <f t="shared" si="95"/>
        <v>30168735.375</v>
      </c>
      <c r="N117" s="461">
        <f t="shared" si="95"/>
        <v>30168735.875</v>
      </c>
      <c r="O117" s="461">
        <f t="shared" si="95"/>
        <v>30168735.875</v>
      </c>
      <c r="P117" s="461">
        <f t="shared" si="95"/>
        <v>30398004</v>
      </c>
      <c r="Q117" s="461">
        <f t="shared" si="95"/>
        <v>30398004</v>
      </c>
      <c r="R117" s="461">
        <f t="shared" si="95"/>
        <v>30398004</v>
      </c>
      <c r="S117" s="461">
        <f t="shared" si="95"/>
        <v>30168735.875</v>
      </c>
      <c r="T117" s="461">
        <f t="shared" si="95"/>
        <v>30168735.875</v>
      </c>
      <c r="U117" s="461">
        <f t="shared" si="95"/>
        <v>339963169.04166669</v>
      </c>
      <c r="V117" s="461">
        <f t="shared" si="95"/>
        <v>1008518632.2916666</v>
      </c>
    </row>
  </sheetData>
  <pageMargins left="0.7" right="0.7" top="0.75" bottom="0.75" header="0.3" footer="0.3"/>
  <pageSetup paperSize="9" scale="61" orientation="landscape" r:id="rId1"/>
  <rowBreaks count="1" manualBreakCount="1">
    <brk id="74" max="1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70"/>
  <sheetViews>
    <sheetView view="pageBreakPreview" zoomScale="80" zoomScaleNormal="100" zoomScaleSheetLayoutView="80" workbookViewId="0">
      <selection activeCell="C10" sqref="C10"/>
    </sheetView>
  </sheetViews>
  <sheetFormatPr defaultRowHeight="12"/>
  <cols>
    <col min="1" max="1" width="22.140625" style="539" bestFit="1" customWidth="1"/>
    <col min="2" max="2" width="3.28515625" style="539" customWidth="1"/>
    <col min="3" max="3" width="22.140625" style="539" bestFit="1" customWidth="1"/>
    <col min="4" max="4" width="9.140625" style="539"/>
    <col min="5" max="5" width="22.140625" style="539" bestFit="1" customWidth="1"/>
    <col min="6" max="6" width="3.7109375" style="539" customWidth="1"/>
    <col min="7" max="7" width="22.140625" style="539" bestFit="1" customWidth="1"/>
    <col min="8" max="8" width="3.7109375" style="539" customWidth="1"/>
    <col min="9" max="9" width="21.7109375" style="539" bestFit="1" customWidth="1"/>
    <col min="10" max="10" width="3.7109375" style="539" customWidth="1"/>
    <col min="11" max="11" width="21.7109375" style="539" bestFit="1" customWidth="1"/>
    <col min="12" max="16384" width="9.140625" style="539"/>
  </cols>
  <sheetData>
    <row r="1" spans="1:11" s="537" customFormat="1" ht="22.5" customHeight="1">
      <c r="A1" s="536" t="s">
        <v>567</v>
      </c>
      <c r="C1" s="536" t="s">
        <v>568</v>
      </c>
      <c r="E1" s="536" t="s">
        <v>591</v>
      </c>
      <c r="G1" s="536" t="s">
        <v>592</v>
      </c>
      <c r="I1" s="536" t="s">
        <v>615</v>
      </c>
      <c r="K1" s="536" t="s">
        <v>617</v>
      </c>
    </row>
    <row r="2" spans="1:11" s="537" customFormat="1" ht="15" customHeight="1"/>
    <row r="3" spans="1:11" s="537" customFormat="1" ht="22.5" customHeight="1">
      <c r="A3" s="536" t="s">
        <v>569</v>
      </c>
      <c r="C3" s="536" t="s">
        <v>570</v>
      </c>
      <c r="E3" s="538" t="s">
        <v>593</v>
      </c>
      <c r="G3" s="538" t="s">
        <v>594</v>
      </c>
      <c r="I3" s="536" t="s">
        <v>618</v>
      </c>
      <c r="K3" s="536" t="s">
        <v>619</v>
      </c>
    </row>
    <row r="4" spans="1:11" s="537" customFormat="1" ht="15" customHeight="1"/>
    <row r="5" spans="1:11" s="537" customFormat="1" ht="22.5" customHeight="1">
      <c r="A5" s="536" t="s">
        <v>571</v>
      </c>
      <c r="C5" s="536" t="s">
        <v>572</v>
      </c>
      <c r="E5" s="536" t="s">
        <v>595</v>
      </c>
      <c r="G5" s="536" t="s">
        <v>596</v>
      </c>
      <c r="I5" s="536" t="s">
        <v>620</v>
      </c>
      <c r="K5" s="536" t="s">
        <v>622</v>
      </c>
    </row>
    <row r="6" spans="1:11" s="537" customFormat="1" ht="15" customHeight="1"/>
    <row r="7" spans="1:11" s="537" customFormat="1" ht="22.5" customHeight="1">
      <c r="A7" s="536" t="s">
        <v>573</v>
      </c>
      <c r="C7" s="536" t="s">
        <v>574</v>
      </c>
      <c r="E7" s="538" t="s">
        <v>597</v>
      </c>
      <c r="G7" s="536" t="s">
        <v>598</v>
      </c>
      <c r="I7" s="536" t="s">
        <v>623</v>
      </c>
      <c r="K7" s="536" t="s">
        <v>624</v>
      </c>
    </row>
    <row r="8" spans="1:11" s="537" customFormat="1" ht="15" customHeight="1"/>
    <row r="9" spans="1:11" s="537" customFormat="1" ht="22.5" customHeight="1">
      <c r="A9" s="536" t="s">
        <v>575</v>
      </c>
      <c r="C9" s="536" t="s">
        <v>576</v>
      </c>
      <c r="E9" s="536" t="s">
        <v>599</v>
      </c>
      <c r="G9" s="536" t="s">
        <v>600</v>
      </c>
      <c r="I9" s="536" t="s">
        <v>625</v>
      </c>
      <c r="K9" s="536" t="s">
        <v>626</v>
      </c>
    </row>
    <row r="10" spans="1:11" s="537" customFormat="1" ht="15" customHeight="1"/>
    <row r="11" spans="1:11" s="537" customFormat="1" ht="22.5" customHeight="1">
      <c r="A11" s="536" t="s">
        <v>577</v>
      </c>
      <c r="C11" s="538" t="s">
        <v>578</v>
      </c>
      <c r="E11" s="536" t="s">
        <v>601</v>
      </c>
      <c r="G11" s="538" t="s">
        <v>602</v>
      </c>
      <c r="I11" s="536" t="s">
        <v>627</v>
      </c>
      <c r="K11" s="536" t="s">
        <v>628</v>
      </c>
    </row>
    <row r="12" spans="1:11" s="537" customFormat="1" ht="15" customHeight="1"/>
    <row r="13" spans="1:11" s="537" customFormat="1" ht="22.5" customHeight="1">
      <c r="A13" s="536" t="s">
        <v>579</v>
      </c>
      <c r="C13" s="536" t="s">
        <v>580</v>
      </c>
      <c r="E13" s="536" t="s">
        <v>603</v>
      </c>
      <c r="G13" s="538" t="s">
        <v>604</v>
      </c>
      <c r="I13" s="536" t="s">
        <v>629</v>
      </c>
      <c r="K13" s="536" t="s">
        <v>630</v>
      </c>
    </row>
    <row r="14" spans="1:11" s="537" customFormat="1" ht="15" customHeight="1"/>
    <row r="15" spans="1:11" s="537" customFormat="1" ht="22.5" customHeight="1">
      <c r="A15" s="536" t="s">
        <v>581</v>
      </c>
      <c r="C15" s="536" t="s">
        <v>582</v>
      </c>
      <c r="E15" s="536" t="s">
        <v>605</v>
      </c>
      <c r="G15" s="536" t="s">
        <v>606</v>
      </c>
      <c r="I15" s="536" t="s">
        <v>621</v>
      </c>
      <c r="K15" s="536" t="s">
        <v>631</v>
      </c>
    </row>
    <row r="16" spans="1:11" s="537" customFormat="1" ht="15" customHeight="1"/>
    <row r="17" spans="1:11" s="537" customFormat="1" ht="22.5" customHeight="1">
      <c r="A17" s="538" t="s">
        <v>583</v>
      </c>
      <c r="C17" s="536" t="s">
        <v>584</v>
      </c>
      <c r="E17" s="536" t="s">
        <v>607</v>
      </c>
      <c r="G17" s="536" t="s">
        <v>608</v>
      </c>
      <c r="I17" s="536" t="s">
        <v>632</v>
      </c>
      <c r="K17" s="536" t="s">
        <v>633</v>
      </c>
    </row>
    <row r="18" spans="1:11" s="537" customFormat="1" ht="15" customHeight="1"/>
    <row r="19" spans="1:11" s="537" customFormat="1" ht="22.5" customHeight="1">
      <c r="A19" s="536" t="s">
        <v>585</v>
      </c>
      <c r="C19" s="536" t="s">
        <v>586</v>
      </c>
      <c r="E19" s="536" t="s">
        <v>609</v>
      </c>
      <c r="G19" s="536" t="s">
        <v>610</v>
      </c>
      <c r="I19" s="536" t="s">
        <v>634</v>
      </c>
      <c r="K19" s="536" t="s">
        <v>635</v>
      </c>
    </row>
    <row r="20" spans="1:11" s="537" customFormat="1" ht="15" customHeight="1"/>
    <row r="21" spans="1:11" s="537" customFormat="1" ht="22.5" customHeight="1">
      <c r="A21" s="536" t="s">
        <v>587</v>
      </c>
      <c r="C21" s="538" t="s">
        <v>588</v>
      </c>
      <c r="E21" s="536" t="s">
        <v>611</v>
      </c>
      <c r="G21" s="536" t="s">
        <v>612</v>
      </c>
      <c r="I21" s="536" t="s">
        <v>636</v>
      </c>
      <c r="K21" s="536" t="s">
        <v>616</v>
      </c>
    </row>
    <row r="22" spans="1:11" s="537" customFormat="1" ht="15" customHeight="1"/>
    <row r="23" spans="1:11" s="537" customFormat="1" ht="22.5" customHeight="1">
      <c r="A23" s="536" t="s">
        <v>589</v>
      </c>
      <c r="C23" s="538" t="s">
        <v>590</v>
      </c>
      <c r="E23" s="536" t="s">
        <v>613</v>
      </c>
      <c r="G23" s="536" t="s">
        <v>614</v>
      </c>
    </row>
    <row r="24" spans="1:11" s="537" customFormat="1" ht="15" customHeight="1"/>
    <row r="25" spans="1:11" s="537" customFormat="1" ht="24.95" customHeight="1"/>
    <row r="26" spans="1:11" s="537" customFormat="1" ht="24.95" customHeight="1"/>
    <row r="27" spans="1:11" s="537" customFormat="1" ht="24.95" customHeight="1"/>
    <row r="28" spans="1:11" s="537" customFormat="1" ht="24.95" customHeight="1"/>
    <row r="29" spans="1:11" s="537" customFormat="1" ht="24.95" customHeight="1"/>
    <row r="30" spans="1:11" s="537" customFormat="1" ht="24.95" customHeight="1"/>
    <row r="31" spans="1:11" s="537" customFormat="1" ht="24.95" customHeight="1"/>
    <row r="32" spans="1:11" s="537" customFormat="1" ht="24.95" customHeight="1"/>
    <row r="33" spans="5:8" s="537" customFormat="1" ht="24.95" customHeight="1"/>
    <row r="34" spans="5:8" s="537" customFormat="1" ht="24.95" customHeight="1"/>
    <row r="35" spans="5:8" s="537" customFormat="1" ht="24.95" customHeight="1"/>
    <row r="36" spans="5:8" s="537" customFormat="1" ht="24.95" customHeight="1"/>
    <row r="37" spans="5:8" s="537" customFormat="1" ht="24.95" customHeight="1"/>
    <row r="38" spans="5:8" s="537" customFormat="1" ht="24.95" customHeight="1"/>
    <row r="39" spans="5:8" s="537" customFormat="1" ht="24.95" customHeight="1"/>
    <row r="40" spans="5:8" s="537" customFormat="1" ht="24.95" customHeight="1"/>
    <row r="41" spans="5:8" s="537" customFormat="1" ht="24.95" customHeight="1"/>
    <row r="42" spans="5:8" s="537" customFormat="1" ht="24.95" customHeight="1"/>
    <row r="43" spans="5:8" s="537" customFormat="1" ht="24.95" customHeight="1"/>
    <row r="44" spans="5:8" s="537" customFormat="1" ht="24.95" customHeight="1"/>
    <row r="45" spans="5:8" s="537" customFormat="1" ht="24.95" customHeight="1">
      <c r="F45" s="539"/>
      <c r="G45" s="539"/>
      <c r="H45" s="539"/>
    </row>
    <row r="46" spans="5:8" s="537" customFormat="1" ht="24.95" customHeight="1">
      <c r="F46" s="539"/>
      <c r="G46" s="539"/>
      <c r="H46" s="539"/>
    </row>
    <row r="47" spans="5:8" s="537" customFormat="1" ht="24.95" customHeight="1">
      <c r="E47" s="539"/>
      <c r="F47" s="539"/>
      <c r="G47" s="539"/>
      <c r="H47" s="539"/>
    </row>
    <row r="48" spans="5:8" s="537" customFormat="1" ht="24.95" customHeight="1">
      <c r="E48" s="539"/>
      <c r="F48" s="539"/>
      <c r="G48" s="539"/>
      <c r="H48" s="539"/>
    </row>
    <row r="49" spans="5:8" s="537" customFormat="1" ht="24.95" customHeight="1">
      <c r="E49" s="539"/>
      <c r="F49" s="539"/>
      <c r="G49" s="539"/>
      <c r="H49" s="539"/>
    </row>
    <row r="50" spans="5:8" s="537" customFormat="1" ht="24.95" customHeight="1">
      <c r="E50" s="539"/>
      <c r="F50" s="539"/>
      <c r="G50" s="539"/>
      <c r="H50" s="539"/>
    </row>
    <row r="51" spans="5:8" s="537" customFormat="1" ht="24.95" customHeight="1">
      <c r="E51" s="539"/>
      <c r="F51" s="539"/>
      <c r="G51" s="539"/>
      <c r="H51" s="539"/>
    </row>
    <row r="52" spans="5:8" s="537" customFormat="1" ht="24.95" customHeight="1">
      <c r="E52" s="539"/>
      <c r="F52" s="539"/>
      <c r="G52" s="539"/>
      <c r="H52" s="539"/>
    </row>
    <row r="53" spans="5:8" s="537" customFormat="1" ht="24.95" customHeight="1">
      <c r="E53" s="539"/>
    </row>
    <row r="54" spans="5:8" s="537" customFormat="1" ht="24.95" customHeight="1">
      <c r="E54" s="539"/>
    </row>
    <row r="55" spans="5:8" s="537" customFormat="1" ht="24.95" customHeight="1"/>
    <row r="56" spans="5:8" s="537" customFormat="1" ht="24.95" customHeight="1"/>
    <row r="57" spans="5:8" s="537" customFormat="1" ht="24.95" customHeight="1"/>
    <row r="58" spans="5:8" s="537" customFormat="1" ht="24.95" customHeight="1"/>
    <row r="59" spans="5:8" s="537" customFormat="1" ht="24.95" customHeight="1"/>
    <row r="60" spans="5:8" s="537" customFormat="1" ht="24.95" customHeight="1"/>
    <row r="61" spans="5:8" s="537" customFormat="1" ht="24.95" customHeight="1"/>
    <row r="62" spans="5:8" s="537" customFormat="1" ht="24.95" customHeight="1"/>
    <row r="63" spans="5:8" s="537" customFormat="1" ht="24.95" customHeight="1"/>
    <row r="64" spans="5:8" s="537" customFormat="1" ht="24.95" customHeight="1"/>
    <row r="65" s="537" customFormat="1" ht="24.95" customHeight="1"/>
    <row r="66" s="537" customFormat="1" ht="24.95" customHeight="1"/>
    <row r="67" s="537" customFormat="1" ht="24.95" customHeight="1"/>
    <row r="68" s="537" customFormat="1" ht="24.95" customHeight="1"/>
    <row r="69" s="537" customFormat="1" ht="24.95" customHeight="1"/>
    <row r="70" s="537" customFormat="1" ht="24.95" customHeight="1"/>
  </sheetData>
  <pageMargins left="0.25" right="0.7" top="0.75" bottom="0.75" header="0.3" footer="0.3"/>
  <pageSetup paperSize="11"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pageSetUpPr fitToPage="1"/>
  </sheetPr>
  <dimension ref="A1:K55"/>
  <sheetViews>
    <sheetView showGridLines="0" zoomScale="90" zoomScaleNormal="90" workbookViewId="0">
      <selection activeCell="I12" sqref="I12"/>
    </sheetView>
  </sheetViews>
  <sheetFormatPr defaultColWidth="12.42578125" defaultRowHeight="12.75" customHeight="1"/>
  <cols>
    <col min="1" max="2" width="2.85546875" style="135" customWidth="1"/>
    <col min="3" max="3" width="42.7109375" style="135" customWidth="1"/>
    <col min="4" max="4" width="8.28515625" style="151" hidden="1" customWidth="1"/>
    <col min="5" max="5" width="2.28515625" style="135" customWidth="1"/>
    <col min="6" max="6" width="19.7109375" style="148" customWidth="1"/>
    <col min="7" max="7" width="2.28515625" style="135" customWidth="1"/>
    <col min="8" max="8" width="19.7109375" style="153" customWidth="1"/>
    <col min="9" max="9" width="2.28515625" style="135" customWidth="1"/>
    <col min="10" max="10" width="42.7109375" style="481" customWidth="1"/>
    <col min="11" max="11" width="2.85546875" style="481" customWidth="1"/>
    <col min="12" max="16384" width="12.42578125" style="135"/>
  </cols>
  <sheetData>
    <row r="1" spans="1:11" ht="12.75" customHeight="1">
      <c r="A1" s="178" t="s">
        <v>339</v>
      </c>
      <c r="B1" s="178"/>
      <c r="C1" s="178"/>
      <c r="D1" s="178"/>
      <c r="E1" s="178"/>
      <c r="F1" s="178"/>
      <c r="G1" s="178"/>
      <c r="H1" s="178"/>
      <c r="I1" s="178"/>
      <c r="J1" s="480"/>
      <c r="K1" s="486" t="s">
        <v>339</v>
      </c>
    </row>
    <row r="2" spans="1:11" ht="12.75" customHeight="1">
      <c r="A2" s="478" t="s">
        <v>315</v>
      </c>
      <c r="B2" s="478"/>
      <c r="C2" s="478"/>
      <c r="D2" s="478"/>
      <c r="E2" s="478"/>
      <c r="F2" s="478"/>
      <c r="G2" s="478"/>
      <c r="H2" s="478"/>
      <c r="I2" s="478"/>
      <c r="J2" s="480"/>
      <c r="K2" s="482" t="s">
        <v>481</v>
      </c>
    </row>
    <row r="3" spans="1:11" ht="12.75" customHeight="1">
      <c r="A3" s="485" t="s">
        <v>858</v>
      </c>
      <c r="B3" s="478"/>
      <c r="C3" s="478"/>
      <c r="D3" s="478"/>
      <c r="E3" s="478"/>
      <c r="F3" s="478"/>
      <c r="G3" s="478"/>
      <c r="H3" s="478"/>
      <c r="I3" s="478"/>
      <c r="J3" s="480"/>
      <c r="K3" s="487" t="s">
        <v>859</v>
      </c>
    </row>
    <row r="4" spans="1:11" ht="12.75" customHeight="1">
      <c r="A4" s="484" t="s">
        <v>482</v>
      </c>
      <c r="B4" s="479"/>
      <c r="C4" s="479"/>
      <c r="D4" s="479"/>
      <c r="E4" s="479"/>
      <c r="F4" s="479"/>
      <c r="G4" s="479"/>
      <c r="H4" s="479"/>
      <c r="I4" s="479"/>
      <c r="J4" s="483"/>
      <c r="K4" s="488" t="s">
        <v>483</v>
      </c>
    </row>
    <row r="5" spans="1:11" ht="12.75" customHeight="1">
      <c r="A5" s="136"/>
      <c r="B5" s="136"/>
      <c r="C5" s="136"/>
      <c r="D5" s="137"/>
      <c r="E5" s="136"/>
      <c r="F5" s="138"/>
      <c r="G5" s="136"/>
      <c r="H5" s="139"/>
    </row>
    <row r="6" spans="1:11" ht="12.75" customHeight="1">
      <c r="A6" s="136"/>
      <c r="B6" s="136"/>
      <c r="C6" s="136"/>
      <c r="D6" s="137"/>
      <c r="E6" s="136"/>
      <c r="F6" s="138"/>
      <c r="G6" s="136"/>
      <c r="H6" s="139"/>
    </row>
    <row r="7" spans="1:11" ht="12.75" customHeight="1">
      <c r="D7" s="140" t="s">
        <v>88</v>
      </c>
      <c r="F7" s="141"/>
      <c r="H7" s="549"/>
    </row>
    <row r="8" spans="1:11" ht="12.75" customHeight="1">
      <c r="D8" s="143"/>
      <c r="F8" s="144" t="s">
        <v>6</v>
      </c>
      <c r="H8" s="145" t="s">
        <v>6</v>
      </c>
    </row>
    <row r="9" spans="1:11" ht="12.75" customHeight="1">
      <c r="A9" s="146" t="s">
        <v>2</v>
      </c>
      <c r="C9" s="147"/>
      <c r="D9" s="143"/>
      <c r="H9" s="149"/>
      <c r="K9" s="482" t="s">
        <v>449</v>
      </c>
    </row>
    <row r="10" spans="1:11" ht="12.75" customHeight="1">
      <c r="A10" s="135" t="s">
        <v>564</v>
      </c>
      <c r="B10" s="150"/>
      <c r="D10" s="151" t="s">
        <v>123</v>
      </c>
      <c r="F10" s="152"/>
      <c r="K10" s="481" t="s">
        <v>450</v>
      </c>
    </row>
    <row r="11" spans="1:11" ht="12.75" hidden="1" customHeight="1">
      <c r="A11" s="150" t="s">
        <v>412</v>
      </c>
      <c r="B11" s="150"/>
      <c r="F11" s="152"/>
      <c r="H11" s="154"/>
    </row>
    <row r="12" spans="1:11" ht="12.75" customHeight="1">
      <c r="A12" s="150" t="s">
        <v>42</v>
      </c>
      <c r="B12" s="150"/>
      <c r="D12" s="151" t="s">
        <v>124</v>
      </c>
      <c r="F12" s="152"/>
      <c r="K12" s="481" t="s">
        <v>451</v>
      </c>
    </row>
    <row r="13" spans="1:11" ht="12.75" customHeight="1">
      <c r="A13" s="150" t="s">
        <v>452</v>
      </c>
      <c r="B13" s="150"/>
      <c r="D13" s="151" t="s">
        <v>125</v>
      </c>
      <c r="F13" s="152"/>
      <c r="H13" s="154"/>
      <c r="K13" s="481" t="s">
        <v>453</v>
      </c>
    </row>
    <row r="14" spans="1:11" ht="12.75" customHeight="1">
      <c r="A14" s="150" t="s">
        <v>17</v>
      </c>
      <c r="B14" s="150"/>
      <c r="D14" s="151" t="s">
        <v>126</v>
      </c>
      <c r="F14" s="533"/>
      <c r="K14" s="481" t="s">
        <v>454</v>
      </c>
    </row>
    <row r="15" spans="1:11" ht="12.75" customHeight="1">
      <c r="A15" s="150" t="s">
        <v>853</v>
      </c>
      <c r="B15" s="150"/>
      <c r="F15" s="152"/>
      <c r="H15" s="154"/>
      <c r="K15" s="481" t="s">
        <v>854</v>
      </c>
    </row>
    <row r="16" spans="1:11" ht="12.75" customHeight="1">
      <c r="A16" s="135" t="s">
        <v>852</v>
      </c>
      <c r="D16" s="151" t="s">
        <v>127</v>
      </c>
      <c r="F16" s="155"/>
      <c r="H16" s="156"/>
      <c r="K16" s="481" t="s">
        <v>455</v>
      </c>
    </row>
    <row r="17" spans="1:11" ht="12.75" customHeight="1">
      <c r="A17" s="150" t="s">
        <v>855</v>
      </c>
      <c r="D17" s="135"/>
      <c r="F17" s="262"/>
      <c r="G17" s="159"/>
      <c r="H17" s="156"/>
      <c r="K17" s="481" t="s">
        <v>856</v>
      </c>
    </row>
    <row r="18" spans="1:11" ht="12.75" customHeight="1">
      <c r="A18" s="150" t="s">
        <v>468</v>
      </c>
      <c r="B18" s="150"/>
      <c r="F18" s="157"/>
      <c r="H18" s="169"/>
      <c r="K18" s="481" t="s">
        <v>456</v>
      </c>
    </row>
    <row r="19" spans="1:11" ht="14.25">
      <c r="A19" s="150"/>
      <c r="B19" s="150"/>
      <c r="F19" s="523"/>
      <c r="H19" s="161"/>
    </row>
    <row r="20" spans="1:11" ht="15" thickBot="1">
      <c r="A20" s="162" t="s">
        <v>461</v>
      </c>
      <c r="B20" s="150"/>
      <c r="F20" s="558">
        <f>SUM(F10:F18)</f>
        <v>0</v>
      </c>
      <c r="H20" s="558">
        <f>SUM(H10:H18)</f>
        <v>0</v>
      </c>
      <c r="K20" s="482" t="s">
        <v>460</v>
      </c>
    </row>
    <row r="21" spans="1:11" ht="12.75" customHeight="1" thickTop="1">
      <c r="A21" s="150"/>
      <c r="B21" s="150"/>
      <c r="F21" s="164"/>
      <c r="H21" s="161"/>
    </row>
    <row r="22" spans="1:11" ht="12.75" customHeight="1">
      <c r="F22" s="152"/>
      <c r="H22" s="161"/>
    </row>
    <row r="23" spans="1:11" ht="12.75" customHeight="1">
      <c r="A23" s="165" t="s">
        <v>8</v>
      </c>
      <c r="F23" s="152"/>
      <c r="H23" s="161"/>
    </row>
    <row r="24" spans="1:11" ht="12.75" customHeight="1">
      <c r="A24" s="165"/>
      <c r="F24" s="152"/>
      <c r="H24" s="161"/>
    </row>
    <row r="25" spans="1:11" ht="12.75" customHeight="1">
      <c r="A25" s="165" t="s">
        <v>9</v>
      </c>
      <c r="F25" s="152"/>
      <c r="H25" s="161"/>
    </row>
    <row r="26" spans="1:11" ht="12.75" customHeight="1">
      <c r="A26" s="135" t="s">
        <v>24</v>
      </c>
      <c r="D26" s="166" t="s">
        <v>135</v>
      </c>
      <c r="F26" s="152"/>
      <c r="H26" s="156"/>
      <c r="K26" s="481" t="s">
        <v>457</v>
      </c>
    </row>
    <row r="27" spans="1:11" ht="12.75" customHeight="1">
      <c r="A27" s="135" t="s">
        <v>25</v>
      </c>
      <c r="D27" s="151" t="s">
        <v>130</v>
      </c>
      <c r="F27" s="152"/>
      <c r="H27" s="156"/>
      <c r="K27" s="481" t="s">
        <v>458</v>
      </c>
    </row>
    <row r="28" spans="1:11" ht="12.75" customHeight="1">
      <c r="A28" s="135" t="s">
        <v>27</v>
      </c>
      <c r="D28" s="151" t="s">
        <v>129</v>
      </c>
      <c r="F28" s="152"/>
      <c r="H28" s="161"/>
      <c r="K28" s="481" t="s">
        <v>459</v>
      </c>
    </row>
    <row r="29" spans="1:11" ht="12.75" customHeight="1">
      <c r="A29" s="135" t="s">
        <v>96</v>
      </c>
      <c r="D29" s="151" t="s">
        <v>128</v>
      </c>
      <c r="F29" s="152"/>
      <c r="H29" s="160"/>
      <c r="K29" s="481" t="s">
        <v>556</v>
      </c>
    </row>
    <row r="30" spans="1:11" ht="12.75" hidden="1" customHeight="1">
      <c r="A30" s="135" t="s">
        <v>39</v>
      </c>
      <c r="D30" s="151" t="s">
        <v>131</v>
      </c>
      <c r="F30" s="167">
        <f>Worksheet!O150</f>
        <v>0</v>
      </c>
      <c r="H30" s="168">
        <v>0</v>
      </c>
      <c r="K30" s="481" t="s">
        <v>477</v>
      </c>
    </row>
    <row r="31" spans="1:11" ht="12.75" customHeight="1">
      <c r="F31" s="523"/>
      <c r="H31" s="161"/>
    </row>
    <row r="32" spans="1:11" ht="12.75" customHeight="1">
      <c r="A32" s="165" t="s">
        <v>462</v>
      </c>
      <c r="F32" s="167">
        <f>SUM(F26:F30)</f>
        <v>0</v>
      </c>
      <c r="H32" s="169">
        <f>SUM(H26:H30)</f>
        <v>0</v>
      </c>
      <c r="J32" s="135"/>
      <c r="K32" s="482" t="s">
        <v>464</v>
      </c>
    </row>
    <row r="33" spans="1:11" ht="12.75" customHeight="1">
      <c r="F33" s="152"/>
      <c r="H33" s="161"/>
    </row>
    <row r="34" spans="1:11" ht="12.75" customHeight="1">
      <c r="A34" s="162" t="s">
        <v>1</v>
      </c>
      <c r="B34" s="162"/>
      <c r="F34" s="152"/>
    </row>
    <row r="35" spans="1:11" ht="12.75" customHeight="1">
      <c r="A35" s="170" t="s">
        <v>469</v>
      </c>
      <c r="B35" s="170"/>
      <c r="F35" s="152"/>
      <c r="K35" s="481" t="s">
        <v>470</v>
      </c>
    </row>
    <row r="36" spans="1:11" ht="12.75" customHeight="1">
      <c r="A36" s="170"/>
      <c r="B36" s="170" t="s">
        <v>472</v>
      </c>
      <c r="F36" s="152"/>
      <c r="J36" s="481" t="s">
        <v>473</v>
      </c>
    </row>
    <row r="37" spans="1:11" ht="12.75" customHeight="1">
      <c r="A37" s="170"/>
      <c r="B37" s="170" t="s">
        <v>471</v>
      </c>
      <c r="D37" s="151" t="s">
        <v>132</v>
      </c>
      <c r="F37" s="152"/>
      <c r="J37" s="481" t="s">
        <v>478</v>
      </c>
    </row>
    <row r="38" spans="1:11" ht="12.75" customHeight="1">
      <c r="A38" s="170" t="s">
        <v>97</v>
      </c>
      <c r="B38" s="170"/>
      <c r="D38" s="151">
        <v>13</v>
      </c>
      <c r="F38" s="152"/>
      <c r="H38" s="154"/>
      <c r="K38" s="481" t="s">
        <v>479</v>
      </c>
    </row>
    <row r="39" spans="1:11" ht="12.75" customHeight="1">
      <c r="A39" s="170" t="s">
        <v>324</v>
      </c>
      <c r="B39" s="170"/>
      <c r="F39" s="152"/>
      <c r="H39" s="154"/>
      <c r="K39" s="481" t="s">
        <v>474</v>
      </c>
    </row>
    <row r="40" spans="1:11" ht="12.75" customHeight="1">
      <c r="A40" s="170"/>
      <c r="B40" s="170" t="s">
        <v>476</v>
      </c>
      <c r="F40" s="152"/>
      <c r="H40" s="154"/>
      <c r="J40" s="481" t="s">
        <v>475</v>
      </c>
    </row>
    <row r="41" spans="1:11" ht="12.75" customHeight="1">
      <c r="A41" s="150" t="s">
        <v>679</v>
      </c>
      <c r="B41" s="170"/>
      <c r="F41" s="152"/>
      <c r="H41" s="154"/>
      <c r="K41" s="481" t="s">
        <v>480</v>
      </c>
    </row>
    <row r="42" spans="1:11" ht="12.75" customHeight="1">
      <c r="A42" s="150" t="s">
        <v>31</v>
      </c>
      <c r="F42" s="167"/>
      <c r="K42" s="481" t="s">
        <v>480</v>
      </c>
    </row>
    <row r="43" spans="1:11" ht="10.5" customHeight="1">
      <c r="H43" s="171"/>
    </row>
    <row r="44" spans="1:11" ht="17.25" customHeight="1">
      <c r="A44" s="165" t="s">
        <v>463</v>
      </c>
      <c r="B44" s="162"/>
      <c r="C44" s="162"/>
      <c r="F44" s="172">
        <f>SUM(F37:F43)</f>
        <v>0</v>
      </c>
      <c r="H44" s="169">
        <f>SUM(H37:H43)</f>
        <v>0</v>
      </c>
      <c r="K44" s="482" t="s">
        <v>465</v>
      </c>
    </row>
    <row r="45" spans="1:11" ht="12.75" customHeight="1">
      <c r="H45" s="161"/>
    </row>
    <row r="46" spans="1:11" ht="12.75" customHeight="1" thickBot="1">
      <c r="A46" s="162" t="s">
        <v>467</v>
      </c>
      <c r="F46" s="557">
        <f>F44+F32</f>
        <v>0</v>
      </c>
      <c r="H46" s="163">
        <f>H44+H32</f>
        <v>0</v>
      </c>
      <c r="K46" s="482" t="s">
        <v>466</v>
      </c>
    </row>
    <row r="47" spans="1:11" ht="12.75" customHeight="1" thickTop="1">
      <c r="A47" s="162"/>
      <c r="F47" s="174"/>
      <c r="H47" s="161"/>
    </row>
    <row r="48" spans="1:11" ht="12.75" customHeight="1">
      <c r="H48" s="161"/>
    </row>
    <row r="49" spans="1:8" ht="12.75" customHeight="1">
      <c r="H49" s="161"/>
    </row>
    <row r="50" spans="1:8" ht="12.75" customHeight="1">
      <c r="H50" s="161"/>
    </row>
    <row r="51" spans="1:8" ht="12.75" customHeight="1">
      <c r="H51" s="161"/>
    </row>
    <row r="52" spans="1:8" ht="12.75" customHeight="1">
      <c r="A52" s="632"/>
      <c r="B52" s="632"/>
      <c r="C52" s="632"/>
      <c r="D52" s="632"/>
      <c r="E52" s="632"/>
      <c r="F52" s="632"/>
      <c r="G52" s="632"/>
      <c r="H52" s="632"/>
    </row>
    <row r="53" spans="1:8" ht="12.75" customHeight="1">
      <c r="A53" s="632"/>
      <c r="B53" s="632"/>
      <c r="C53" s="632"/>
      <c r="D53" s="632"/>
      <c r="E53" s="632"/>
      <c r="F53" s="632"/>
      <c r="G53" s="632"/>
      <c r="H53" s="632"/>
    </row>
    <row r="54" spans="1:8" ht="12.75" customHeight="1">
      <c r="H54" s="161"/>
    </row>
    <row r="55" spans="1:8" ht="12.75" customHeight="1">
      <c r="B55" s="147"/>
      <c r="C55" s="175"/>
      <c r="D55" s="175"/>
      <c r="E55" s="175"/>
      <c r="F55" s="176">
        <f>F20-F46</f>
        <v>0</v>
      </c>
      <c r="G55" s="175"/>
      <c r="H55" s="177">
        <f>H20-H46</f>
        <v>0</v>
      </c>
    </row>
  </sheetData>
  <mergeCells count="2">
    <mergeCell ref="A52:H52"/>
    <mergeCell ref="A53:H53"/>
  </mergeCells>
  <phoneticPr fontId="0" type="noConversion"/>
  <printOptions gridLinesSet="0"/>
  <pageMargins left="0.82677165354330695" right="0.39370078740157499" top="0.55118110236220497" bottom="0.74803149606299202" header="0.196850393700787" footer="0.511811023622047"/>
  <pageSetup paperSize="9" scale="65" firstPageNumber="2" orientation="portrait" useFirstPageNumber="1" r:id="rId1"/>
  <headerFooter alignWithMargins="0">
    <oddFooter>&amp;C- 3 -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3">
    <pageSetUpPr fitToPage="1"/>
  </sheetPr>
  <dimension ref="A1:M74"/>
  <sheetViews>
    <sheetView showGridLines="0" tabSelected="1" topLeftCell="A37" zoomScale="90" zoomScaleNormal="90" workbookViewId="0">
      <selection activeCell="D70" sqref="D70"/>
    </sheetView>
  </sheetViews>
  <sheetFormatPr defaultColWidth="12.42578125" defaultRowHeight="14.1" customHeight="1"/>
  <cols>
    <col min="1" max="1" width="56.7109375" style="180" customWidth="1"/>
    <col min="2" max="2" width="8.28515625" style="184" hidden="1" customWidth="1"/>
    <col min="3" max="3" width="1.7109375" style="180" customWidth="1"/>
    <col min="4" max="4" width="19.7109375" style="180" customWidth="1"/>
    <col min="5" max="5" width="1.7109375" style="180" hidden="1" customWidth="1"/>
    <col min="6" max="6" width="21" style="153" hidden="1" customWidth="1"/>
    <col min="7" max="7" width="2.140625" style="180" customWidth="1"/>
    <col min="8" max="8" width="21" style="180" customWidth="1"/>
    <col min="9" max="9" width="18.42578125" style="153" hidden="1" customWidth="1"/>
    <col min="10" max="10" width="3.42578125" style="180" hidden="1" customWidth="1"/>
    <col min="11" max="11" width="17.140625" style="182" hidden="1" customWidth="1"/>
    <col min="12" max="12" width="1.7109375" style="180" customWidth="1"/>
    <col min="13" max="13" width="56.7109375" style="490" customWidth="1"/>
    <col min="14" max="16384" width="12.42578125" style="180"/>
  </cols>
  <sheetData>
    <row r="1" spans="1:13" ht="14.1" customHeight="1">
      <c r="A1" s="178" t="s">
        <v>339</v>
      </c>
      <c r="B1" s="178"/>
      <c r="C1" s="178"/>
      <c r="D1" s="178"/>
      <c r="E1" s="178"/>
      <c r="F1" s="178"/>
      <c r="G1" s="178"/>
      <c r="H1" s="178"/>
      <c r="I1" s="178"/>
      <c r="J1" s="178"/>
      <c r="K1" s="179"/>
      <c r="M1" s="486" t="s">
        <v>339</v>
      </c>
    </row>
    <row r="2" spans="1:13" ht="14.1" customHeight="1">
      <c r="A2" s="181" t="s">
        <v>484</v>
      </c>
      <c r="B2" s="181"/>
      <c r="C2" s="181"/>
      <c r="D2" s="181"/>
      <c r="E2" s="181"/>
      <c r="F2" s="181"/>
      <c r="G2" s="181"/>
      <c r="H2" s="181"/>
      <c r="I2" s="181"/>
      <c r="M2" s="493" t="s">
        <v>485</v>
      </c>
    </row>
    <row r="3" spans="1:13" ht="14.1" customHeight="1">
      <c r="A3" s="489" t="s">
        <v>862</v>
      </c>
      <c r="B3" s="489"/>
      <c r="C3" s="489"/>
      <c r="D3" s="489"/>
      <c r="E3" s="489"/>
      <c r="F3" s="489"/>
      <c r="G3" s="489"/>
      <c r="H3" s="489"/>
      <c r="I3" s="181"/>
      <c r="M3" s="493" t="s">
        <v>863</v>
      </c>
    </row>
    <row r="4" spans="1:13" ht="14.1" customHeight="1">
      <c r="A4" s="484" t="s">
        <v>482</v>
      </c>
      <c r="B4" s="186"/>
      <c r="C4" s="186"/>
      <c r="D4" s="186"/>
      <c r="E4" s="186"/>
      <c r="F4" s="186"/>
      <c r="G4" s="186"/>
      <c r="H4" s="186"/>
      <c r="I4" s="183"/>
      <c r="J4" s="193"/>
      <c r="K4" s="238"/>
      <c r="L4" s="193"/>
      <c r="M4" s="488" t="s">
        <v>483</v>
      </c>
    </row>
    <row r="5" spans="1:13" ht="14.1" customHeight="1">
      <c r="F5" s="180"/>
    </row>
    <row r="6" spans="1:13" ht="14.1" customHeight="1">
      <c r="F6" s="185"/>
      <c r="I6" s="161"/>
    </row>
    <row r="7" spans="1:13" ht="14.1" customHeight="1">
      <c r="B7" s="186" t="s">
        <v>88</v>
      </c>
      <c r="D7" s="141" t="s">
        <v>860</v>
      </c>
      <c r="F7" s="142" t="s">
        <v>87</v>
      </c>
      <c r="H7" s="141" t="s">
        <v>861</v>
      </c>
      <c r="I7" s="185"/>
    </row>
    <row r="8" spans="1:13" ht="14.1" customHeight="1">
      <c r="D8" s="187" t="s">
        <v>6</v>
      </c>
      <c r="F8" s="187" t="s">
        <v>6</v>
      </c>
      <c r="H8" s="187" t="s">
        <v>21</v>
      </c>
      <c r="I8" s="145"/>
    </row>
    <row r="9" spans="1:13" ht="14.1" customHeight="1">
      <c r="F9" s="187"/>
      <c r="I9" s="145"/>
    </row>
    <row r="10" spans="1:13" ht="14.1" customHeight="1">
      <c r="A10" s="188" t="s">
        <v>4</v>
      </c>
      <c r="B10" s="184" t="s">
        <v>133</v>
      </c>
      <c r="F10" s="187"/>
      <c r="I10" s="145"/>
      <c r="M10" s="493" t="s">
        <v>486</v>
      </c>
    </row>
    <row r="11" spans="1:13" ht="14.1" customHeight="1">
      <c r="A11" s="189" t="s">
        <v>758</v>
      </c>
      <c r="F11" s="187"/>
      <c r="I11" s="145"/>
      <c r="M11" s="490" t="s">
        <v>759</v>
      </c>
    </row>
    <row r="12" spans="1:13" ht="14.1" customHeight="1">
      <c r="A12" s="583" t="s">
        <v>761</v>
      </c>
      <c r="B12" s="184">
        <v>14</v>
      </c>
      <c r="D12" s="148"/>
      <c r="F12" s="190">
        <f>SUM(Worksheet!P172:P179)</f>
        <v>0</v>
      </c>
      <c r="H12" s="223">
        <f>SUM(Worksheet!Q171:Q179)</f>
        <v>0</v>
      </c>
      <c r="I12" s="145"/>
      <c r="M12" s="495" t="s">
        <v>760</v>
      </c>
    </row>
    <row r="13" spans="1:13" ht="14.1" customHeight="1">
      <c r="A13" s="188" t="s">
        <v>487</v>
      </c>
      <c r="D13" s="576">
        <f>D12</f>
        <v>0</v>
      </c>
      <c r="E13" s="207"/>
      <c r="F13" s="577" t="e">
        <f ca="1">SUM(F12:F36)</f>
        <v>#REF!</v>
      </c>
      <c r="G13" s="207"/>
      <c r="H13" s="576">
        <f>H12</f>
        <v>0</v>
      </c>
      <c r="I13" s="145"/>
      <c r="M13" s="493" t="s">
        <v>489</v>
      </c>
    </row>
    <row r="14" spans="1:13" ht="14.1" customHeight="1">
      <c r="F14" s="187"/>
      <c r="I14" s="145"/>
    </row>
    <row r="15" spans="1:13" ht="14.25">
      <c r="A15" s="188" t="s">
        <v>0</v>
      </c>
      <c r="B15" s="195" t="s">
        <v>133</v>
      </c>
      <c r="C15" s="196"/>
      <c r="D15" s="196"/>
      <c r="E15" s="196"/>
      <c r="F15" s="197"/>
      <c r="G15" s="198"/>
      <c r="H15" s="196"/>
      <c r="I15" s="197"/>
      <c r="J15" s="196"/>
      <c r="M15" s="493" t="s">
        <v>490</v>
      </c>
    </row>
    <row r="16" spans="1:13" ht="14.25">
      <c r="A16" s="189" t="s">
        <v>645</v>
      </c>
      <c r="B16" s="184">
        <v>17</v>
      </c>
      <c r="C16" s="196"/>
      <c r="D16" s="573"/>
      <c r="E16" s="196"/>
      <c r="F16" s="197"/>
      <c r="G16" s="198"/>
      <c r="H16" s="196"/>
      <c r="I16" s="199"/>
      <c r="J16" s="196"/>
      <c r="M16" s="490" t="s">
        <v>646</v>
      </c>
    </row>
    <row r="17" spans="1:13" ht="14.25">
      <c r="A17" s="189" t="s">
        <v>510</v>
      </c>
      <c r="C17" s="196"/>
      <c r="D17" s="573"/>
      <c r="E17" s="196"/>
      <c r="F17" s="197"/>
      <c r="G17" s="198"/>
      <c r="H17" s="196"/>
      <c r="I17" s="200"/>
      <c r="J17" s="198"/>
      <c r="K17" s="201"/>
      <c r="L17" s="191"/>
      <c r="M17" s="491" t="s">
        <v>511</v>
      </c>
    </row>
    <row r="18" spans="1:13" ht="14.25">
      <c r="A18" s="189" t="s">
        <v>12</v>
      </c>
      <c r="C18" s="196"/>
      <c r="D18" s="573"/>
      <c r="E18" s="196"/>
      <c r="F18" s="197"/>
      <c r="G18" s="198"/>
      <c r="H18" s="196"/>
      <c r="I18" s="156"/>
      <c r="J18" s="198"/>
      <c r="K18" s="201"/>
      <c r="L18" s="191"/>
      <c r="M18" s="491" t="s">
        <v>512</v>
      </c>
    </row>
    <row r="19" spans="1:13" ht="14.25">
      <c r="A19" s="189" t="s">
        <v>514</v>
      </c>
      <c r="C19" s="196"/>
      <c r="D19" s="573"/>
      <c r="E19" s="196"/>
      <c r="F19" s="197"/>
      <c r="G19" s="198"/>
      <c r="H19" s="196"/>
      <c r="I19" s="156"/>
      <c r="J19" s="198"/>
      <c r="K19" s="201"/>
      <c r="L19" s="191"/>
      <c r="M19" s="491" t="s">
        <v>513</v>
      </c>
    </row>
    <row r="20" spans="1:13" ht="14.25">
      <c r="A20" s="189" t="s">
        <v>557</v>
      </c>
      <c r="C20" s="196"/>
      <c r="D20" s="574"/>
      <c r="E20" s="196"/>
      <c r="F20" s="202"/>
      <c r="G20" s="198"/>
      <c r="H20" s="154"/>
      <c r="I20" s="156"/>
      <c r="J20" s="198"/>
      <c r="K20" s="201"/>
      <c r="L20" s="191"/>
      <c r="M20" s="491" t="s">
        <v>647</v>
      </c>
    </row>
    <row r="21" spans="1:13" ht="14.25">
      <c r="A21" s="189" t="s">
        <v>323</v>
      </c>
      <c r="C21" s="196"/>
      <c r="D21" s="574"/>
      <c r="E21" s="196"/>
      <c r="F21" s="202"/>
      <c r="G21" s="198"/>
      <c r="H21" s="154"/>
      <c r="I21" s="156"/>
      <c r="J21" s="198"/>
      <c r="K21" s="201"/>
      <c r="L21" s="191"/>
      <c r="M21" s="491" t="s">
        <v>515</v>
      </c>
    </row>
    <row r="22" spans="1:13" ht="14.25">
      <c r="A22" s="189" t="s">
        <v>648</v>
      </c>
      <c r="B22" s="184" t="s">
        <v>91</v>
      </c>
      <c r="C22" s="196"/>
      <c r="D22" s="573"/>
      <c r="E22" s="196"/>
      <c r="F22" s="197"/>
      <c r="G22" s="198"/>
      <c r="H22" s="196"/>
      <c r="I22" s="156"/>
      <c r="J22" s="198"/>
      <c r="K22" s="201"/>
      <c r="L22" s="191"/>
      <c r="M22" s="491" t="s">
        <v>649</v>
      </c>
    </row>
    <row r="23" spans="1:13" ht="14.25">
      <c r="A23" s="189" t="s">
        <v>105</v>
      </c>
      <c r="C23" s="196"/>
      <c r="D23" s="573"/>
      <c r="E23" s="196"/>
      <c r="F23" s="203"/>
      <c r="G23" s="198"/>
      <c r="H23" s="196"/>
      <c r="I23" s="204"/>
      <c r="J23" s="198"/>
      <c r="K23" s="201"/>
      <c r="L23" s="191"/>
      <c r="M23" s="491" t="s">
        <v>516</v>
      </c>
    </row>
    <row r="24" spans="1:13" ht="14.25">
      <c r="A24" s="189" t="s">
        <v>45</v>
      </c>
      <c r="C24" s="196"/>
      <c r="D24" s="573"/>
      <c r="E24" s="196"/>
      <c r="F24" s="197"/>
      <c r="G24" s="198"/>
      <c r="H24" s="196"/>
      <c r="I24" s="156"/>
      <c r="J24" s="198"/>
      <c r="K24" s="201"/>
      <c r="L24" s="191"/>
      <c r="M24" s="491" t="s">
        <v>650</v>
      </c>
    </row>
    <row r="25" spans="1:13" ht="14.25">
      <c r="A25" s="189" t="s">
        <v>32</v>
      </c>
      <c r="C25" s="196"/>
      <c r="D25" s="573"/>
      <c r="E25" s="196"/>
      <c r="F25" s="197"/>
      <c r="G25" s="198"/>
      <c r="H25" s="196"/>
      <c r="I25" s="156"/>
      <c r="J25" s="198"/>
      <c r="K25" s="156"/>
      <c r="L25" s="191"/>
      <c r="M25" s="492" t="s">
        <v>559</v>
      </c>
    </row>
    <row r="26" spans="1:13" ht="14.25">
      <c r="A26" s="189" t="s">
        <v>113</v>
      </c>
      <c r="C26" s="196"/>
      <c r="D26" s="574"/>
      <c r="E26" s="196"/>
      <c r="F26" s="202"/>
      <c r="G26" s="198"/>
      <c r="H26" s="154"/>
      <c r="I26" s="156"/>
      <c r="J26" s="198"/>
      <c r="K26" s="156"/>
      <c r="L26" s="191"/>
      <c r="M26" s="492" t="s">
        <v>651</v>
      </c>
    </row>
    <row r="27" spans="1:13" ht="14.25">
      <c r="A27" s="180" t="s">
        <v>14</v>
      </c>
      <c r="C27" s="196"/>
      <c r="D27" s="575"/>
      <c r="E27" s="196"/>
      <c r="F27" s="206"/>
      <c r="G27" s="198"/>
      <c r="H27" s="205"/>
      <c r="I27" s="199"/>
      <c r="J27" s="198"/>
      <c r="K27" s="198"/>
      <c r="L27" s="191"/>
      <c r="M27" s="492" t="s">
        <v>517</v>
      </c>
    </row>
    <row r="28" spans="1:13" ht="14.1" customHeight="1">
      <c r="B28" s="195"/>
      <c r="C28" s="196"/>
      <c r="D28" s="196"/>
      <c r="E28" s="196"/>
      <c r="F28" s="197"/>
      <c r="G28" s="196"/>
      <c r="H28" s="196"/>
      <c r="I28" s="197"/>
      <c r="J28" s="198"/>
      <c r="K28" s="201"/>
      <c r="L28" s="191"/>
      <c r="M28" s="491"/>
    </row>
    <row r="29" spans="1:13" ht="14.25">
      <c r="A29" s="188" t="s">
        <v>488</v>
      </c>
      <c r="B29" s="195"/>
      <c r="C29" s="196"/>
      <c r="D29" s="578">
        <f>SUM(D16:D27)</f>
        <v>0</v>
      </c>
      <c r="E29" s="579"/>
      <c r="F29" s="578">
        <f>SUM(F16:F27)</f>
        <v>0</v>
      </c>
      <c r="G29" s="580"/>
      <c r="H29" s="578">
        <f>SUM(H16:H27)</f>
        <v>0</v>
      </c>
      <c r="I29" s="197"/>
      <c r="J29" s="198"/>
      <c r="K29" s="201"/>
      <c r="L29" s="191"/>
      <c r="M29" s="493" t="s">
        <v>491</v>
      </c>
    </row>
    <row r="30" spans="1:13" ht="14.1" customHeight="1">
      <c r="B30" s="195"/>
      <c r="C30" s="196"/>
      <c r="D30" s="196"/>
      <c r="E30" s="196"/>
      <c r="F30" s="197"/>
      <c r="G30" s="198"/>
      <c r="H30" s="196"/>
      <c r="I30" s="197"/>
      <c r="J30" s="198"/>
      <c r="K30" s="201"/>
      <c r="L30" s="191"/>
      <c r="M30" s="491"/>
    </row>
    <row r="31" spans="1:13" ht="14.1" customHeight="1">
      <c r="A31" s="207" t="s">
        <v>74</v>
      </c>
      <c r="B31" s="195"/>
      <c r="C31" s="196"/>
      <c r="D31" s="578">
        <f>D13-D29</f>
        <v>0</v>
      </c>
      <c r="E31" s="579"/>
      <c r="F31" s="578" t="e">
        <f ca="1">F13-F29</f>
        <v>#REF!</v>
      </c>
      <c r="G31" s="580"/>
      <c r="H31" s="578">
        <f>H13-H29</f>
        <v>0</v>
      </c>
      <c r="I31" s="197"/>
      <c r="J31" s="196"/>
      <c r="M31" s="493" t="s">
        <v>492</v>
      </c>
    </row>
    <row r="32" spans="1:13" ht="14.1" customHeight="1">
      <c r="B32" s="195"/>
      <c r="C32" s="196"/>
      <c r="D32" s="196"/>
      <c r="E32" s="196"/>
      <c r="F32" s="197"/>
      <c r="G32" s="198"/>
      <c r="H32" s="196"/>
      <c r="I32" s="197"/>
      <c r="J32" s="196"/>
    </row>
    <row r="33" spans="1:13" ht="14.1" customHeight="1">
      <c r="A33" s="208" t="s">
        <v>13</v>
      </c>
      <c r="B33" s="195"/>
      <c r="C33" s="196"/>
      <c r="D33" s="196"/>
      <c r="E33" s="196"/>
      <c r="F33" s="204"/>
      <c r="G33" s="198"/>
      <c r="H33" s="196"/>
      <c r="I33" s="204"/>
      <c r="J33" s="196"/>
      <c r="M33" s="493" t="s">
        <v>654</v>
      </c>
    </row>
    <row r="34" spans="1:13" ht="14.1" customHeight="1">
      <c r="A34" s="189" t="s">
        <v>506</v>
      </c>
      <c r="B34" s="184">
        <v>15</v>
      </c>
      <c r="D34" s="174"/>
      <c r="E34" s="191"/>
      <c r="F34" s="156"/>
      <c r="G34" s="191"/>
      <c r="H34" s="191"/>
      <c r="I34" s="156"/>
      <c r="M34" s="490" t="s">
        <v>507</v>
      </c>
    </row>
    <row r="35" spans="1:13" ht="14.1" customHeight="1">
      <c r="A35" s="209" t="s">
        <v>757</v>
      </c>
      <c r="C35" s="196"/>
      <c r="D35" s="196"/>
      <c r="E35" s="196"/>
      <c r="F35" s="204"/>
      <c r="G35" s="196"/>
      <c r="H35" s="196"/>
      <c r="I35" s="199"/>
      <c r="J35" s="196"/>
      <c r="M35" s="490" t="s">
        <v>518</v>
      </c>
    </row>
    <row r="36" spans="1:13" ht="14.1" customHeight="1">
      <c r="A36" s="189" t="s">
        <v>508</v>
      </c>
      <c r="B36" s="184">
        <v>16</v>
      </c>
      <c r="D36" s="174"/>
      <c r="F36" s="160"/>
      <c r="H36" s="612"/>
      <c r="I36" s="145"/>
      <c r="M36" s="490" t="s">
        <v>509</v>
      </c>
    </row>
    <row r="37" spans="1:13" ht="14.1" customHeight="1">
      <c r="A37" s="189" t="s">
        <v>521</v>
      </c>
      <c r="B37" s="184">
        <v>7</v>
      </c>
      <c r="C37" s="196"/>
      <c r="D37" s="196"/>
      <c r="E37" s="196"/>
      <c r="F37" s="203"/>
      <c r="G37" s="196"/>
      <c r="H37" s="196"/>
      <c r="I37" s="199"/>
      <c r="J37" s="196"/>
      <c r="M37" s="490" t="s">
        <v>520</v>
      </c>
    </row>
    <row r="38" spans="1:13" ht="14.1" customHeight="1">
      <c r="A38" s="209" t="s">
        <v>35</v>
      </c>
      <c r="C38" s="196"/>
      <c r="D38" s="196"/>
      <c r="E38" s="196"/>
      <c r="F38" s="203"/>
      <c r="G38" s="196"/>
      <c r="H38" s="196"/>
      <c r="I38" s="199"/>
      <c r="J38" s="196"/>
    </row>
    <row r="39" spans="1:13" ht="14.1" customHeight="1">
      <c r="A39" s="209" t="s">
        <v>19</v>
      </c>
      <c r="C39" s="196"/>
      <c r="D39" s="196"/>
      <c r="E39" s="196"/>
      <c r="F39" s="203"/>
      <c r="G39" s="196"/>
      <c r="H39" s="196"/>
      <c r="I39" s="199"/>
      <c r="J39" s="196"/>
    </row>
    <row r="40" spans="1:13" ht="14.1" customHeight="1">
      <c r="A40" s="189" t="s">
        <v>36</v>
      </c>
      <c r="C40" s="196"/>
      <c r="D40" s="205"/>
      <c r="E40" s="196"/>
      <c r="F40" s="210"/>
      <c r="G40" s="196"/>
      <c r="H40" s="205"/>
      <c r="I40" s="199"/>
      <c r="J40" s="196"/>
      <c r="M40" s="490" t="s">
        <v>519</v>
      </c>
    </row>
    <row r="41" spans="1:13" ht="14.1" customHeight="1">
      <c r="A41" s="189"/>
      <c r="B41" s="195"/>
      <c r="C41" s="196"/>
      <c r="D41" s="196"/>
      <c r="E41" s="196"/>
      <c r="F41" s="197"/>
      <c r="G41" s="196"/>
      <c r="H41" s="196"/>
      <c r="I41" s="203"/>
      <c r="J41" s="196"/>
    </row>
    <row r="42" spans="1:13" ht="14.1" customHeight="1">
      <c r="A42" s="208" t="s">
        <v>493</v>
      </c>
      <c r="B42" s="195"/>
      <c r="C42" s="196"/>
      <c r="D42" s="206">
        <f>SUM(D34:F40)</f>
        <v>0</v>
      </c>
      <c r="E42" s="196"/>
      <c r="F42" s="206">
        <f>SUM(F35:F40)</f>
        <v>0</v>
      </c>
      <c r="G42" s="196"/>
      <c r="H42" s="206">
        <f>SUM(H34:H40)</f>
        <v>0</v>
      </c>
      <c r="I42" s="197"/>
      <c r="J42" s="196"/>
      <c r="M42" s="493" t="s">
        <v>494</v>
      </c>
    </row>
    <row r="43" spans="1:13" ht="14.1" customHeight="1">
      <c r="A43" s="189"/>
      <c r="B43" s="195"/>
      <c r="C43" s="196"/>
      <c r="D43" s="196"/>
      <c r="E43" s="196"/>
      <c r="F43" s="197"/>
      <c r="G43" s="196"/>
      <c r="H43" s="196"/>
      <c r="I43" s="204"/>
      <c r="J43" s="196"/>
    </row>
    <row r="44" spans="1:13" ht="14.1" customHeight="1">
      <c r="A44" s="188" t="s">
        <v>77</v>
      </c>
      <c r="B44" s="195"/>
      <c r="C44" s="196"/>
      <c r="D44" s="581">
        <f>D31+D42</f>
        <v>0</v>
      </c>
      <c r="E44" s="579"/>
      <c r="F44" s="581" t="e">
        <f ca="1">F31+F42</f>
        <v>#REF!</v>
      </c>
      <c r="G44" s="580"/>
      <c r="H44" s="581">
        <f>H31+H42</f>
        <v>0</v>
      </c>
      <c r="I44" s="197"/>
      <c r="J44" s="196"/>
      <c r="M44" s="493" t="s">
        <v>495</v>
      </c>
    </row>
    <row r="45" spans="1:13" ht="14.25">
      <c r="A45" s="188"/>
      <c r="C45" s="196"/>
      <c r="D45" s="196"/>
      <c r="E45" s="196"/>
      <c r="G45" s="196"/>
      <c r="H45" s="196"/>
      <c r="I45" s="161"/>
      <c r="J45" s="196"/>
    </row>
    <row r="46" spans="1:13" ht="14.25">
      <c r="A46" s="188" t="s">
        <v>496</v>
      </c>
      <c r="B46" s="184" t="s">
        <v>134</v>
      </c>
      <c r="C46" s="196"/>
      <c r="D46" s="211">
        <f>Worksheet!O298</f>
        <v>0</v>
      </c>
      <c r="E46" s="196"/>
      <c r="F46" s="212">
        <f>Worksheet!P301</f>
        <v>0</v>
      </c>
      <c r="G46" s="196"/>
      <c r="H46" s="211">
        <f>Worksheet!Q298</f>
        <v>0</v>
      </c>
      <c r="I46" s="213"/>
      <c r="J46" s="196"/>
      <c r="M46" s="493" t="s">
        <v>497</v>
      </c>
    </row>
    <row r="47" spans="1:13" ht="14.1" customHeight="1">
      <c r="C47" s="196"/>
      <c r="D47" s="196"/>
      <c r="E47" s="196"/>
      <c r="F47" s="214"/>
      <c r="G47" s="196"/>
      <c r="H47" s="196"/>
      <c r="I47" s="197"/>
      <c r="J47" s="196"/>
    </row>
    <row r="48" spans="1:13" ht="14.25">
      <c r="A48" s="194" t="s">
        <v>498</v>
      </c>
      <c r="B48" s="215"/>
      <c r="C48" s="198"/>
      <c r="D48" s="581">
        <f>SUM(D44:D46)</f>
        <v>0</v>
      </c>
      <c r="E48" s="580"/>
      <c r="F48" s="581" t="e">
        <f ca="1">SUM(F44:F46)</f>
        <v>#REF!</v>
      </c>
      <c r="G48" s="580"/>
      <c r="H48" s="581">
        <f>SUM(H44:H46)</f>
        <v>0</v>
      </c>
      <c r="I48" s="197"/>
      <c r="J48" s="196"/>
      <c r="M48" s="493" t="s">
        <v>499</v>
      </c>
    </row>
    <row r="49" spans="1:13" ht="14.25">
      <c r="A49" s="194"/>
      <c r="B49" s="215"/>
      <c r="C49" s="198"/>
      <c r="D49" s="198"/>
      <c r="E49" s="198"/>
      <c r="F49" s="161"/>
      <c r="G49" s="196"/>
      <c r="H49" s="198"/>
      <c r="I49" s="197"/>
      <c r="J49" s="196"/>
    </row>
    <row r="50" spans="1:13" ht="14.25">
      <c r="A50" s="207" t="s">
        <v>86</v>
      </c>
      <c r="B50" s="215"/>
      <c r="C50" s="198"/>
      <c r="D50" s="198"/>
      <c r="E50" s="198"/>
      <c r="F50" s="161"/>
      <c r="G50" s="196"/>
      <c r="H50" s="198"/>
      <c r="I50" s="197"/>
      <c r="J50" s="196"/>
      <c r="M50" s="493" t="s">
        <v>500</v>
      </c>
    </row>
    <row r="51" spans="1:13" ht="14.25">
      <c r="A51" s="216" t="s">
        <v>501</v>
      </c>
      <c r="B51" s="215"/>
      <c r="C51" s="198"/>
      <c r="D51" s="198"/>
      <c r="E51" s="198"/>
      <c r="F51" s="161"/>
      <c r="G51" s="196"/>
      <c r="H51" s="198"/>
      <c r="I51" s="197"/>
      <c r="J51" s="196"/>
      <c r="M51" s="493" t="s">
        <v>503</v>
      </c>
    </row>
    <row r="52" spans="1:13" ht="14.1" customHeight="1">
      <c r="A52" s="494" t="s">
        <v>502</v>
      </c>
      <c r="B52" s="184" t="s">
        <v>131</v>
      </c>
      <c r="C52" s="196"/>
      <c r="D52" s="210">
        <f>Worksheet!O306</f>
        <v>0</v>
      </c>
      <c r="E52" s="196"/>
      <c r="F52" s="210">
        <f>Worksheet!P309</f>
        <v>0</v>
      </c>
      <c r="G52" s="198"/>
      <c r="H52" s="210">
        <f>Worksheet!Q306</f>
        <v>0</v>
      </c>
      <c r="I52" s="199"/>
      <c r="J52" s="196"/>
      <c r="M52" s="495" t="s">
        <v>504</v>
      </c>
    </row>
    <row r="53" spans="1:13" ht="14.1" customHeight="1">
      <c r="A53" s="216"/>
      <c r="C53" s="196"/>
      <c r="D53" s="203"/>
      <c r="E53" s="196"/>
      <c r="F53" s="203"/>
      <c r="G53" s="198"/>
      <c r="H53" s="203"/>
      <c r="I53" s="199"/>
      <c r="J53" s="196"/>
    </row>
    <row r="54" spans="1:13" ht="14.1" customHeight="1" thickBot="1">
      <c r="A54" s="207" t="s">
        <v>505</v>
      </c>
      <c r="C54" s="196"/>
      <c r="D54" s="582">
        <f>SUM(D48:D52)</f>
        <v>0</v>
      </c>
      <c r="E54" s="579"/>
      <c r="F54" s="582" t="e">
        <f ca="1">SUM(F48:F52)</f>
        <v>#REF!</v>
      </c>
      <c r="G54" s="579"/>
      <c r="H54" s="582">
        <f>SUM(H48:H52)</f>
        <v>0</v>
      </c>
      <c r="I54" s="197"/>
      <c r="J54" s="196"/>
      <c r="M54" s="493" t="s">
        <v>525</v>
      </c>
    </row>
    <row r="55" spans="1:13" ht="14.1" customHeight="1" thickTop="1">
      <c r="A55" s="207"/>
      <c r="C55" s="196"/>
      <c r="D55" s="196"/>
      <c r="E55" s="196"/>
      <c r="F55" s="197"/>
      <c r="G55" s="196"/>
      <c r="H55" s="196"/>
      <c r="I55" s="197"/>
      <c r="J55" s="196"/>
    </row>
    <row r="56" spans="1:13" ht="14.1" hidden="1" customHeight="1">
      <c r="A56" s="218" t="s">
        <v>100</v>
      </c>
      <c r="F56" s="197"/>
      <c r="I56" s="197"/>
    </row>
    <row r="57" spans="1:13" ht="14.1" hidden="1" customHeight="1">
      <c r="A57" s="216" t="s">
        <v>101</v>
      </c>
      <c r="D57" s="219">
        <f>D48</f>
        <v>0</v>
      </c>
      <c r="F57" s="197">
        <f>Worksheet!P303</f>
        <v>0</v>
      </c>
      <c r="H57" s="220">
        <f>H48</f>
        <v>0</v>
      </c>
      <c r="I57" s="197"/>
    </row>
    <row r="58" spans="1:13" ht="14.1" hidden="1" customHeight="1">
      <c r="A58" s="216" t="s">
        <v>102</v>
      </c>
      <c r="D58" s="221" t="s">
        <v>5</v>
      </c>
      <c r="F58" s="206">
        <v>0</v>
      </c>
      <c r="H58" s="221" t="s">
        <v>5</v>
      </c>
      <c r="I58" s="197"/>
    </row>
    <row r="59" spans="1:13" ht="14.1" hidden="1" customHeight="1">
      <c r="A59" s="216"/>
      <c r="F59" s="197"/>
      <c r="I59" s="197"/>
    </row>
    <row r="60" spans="1:13" ht="14.1" hidden="1" customHeight="1" thickBot="1">
      <c r="A60" s="218" t="s">
        <v>103</v>
      </c>
      <c r="D60" s="217">
        <f>SUM(D57:D58)</f>
        <v>0</v>
      </c>
      <c r="F60" s="217">
        <f>SUM(F57:F58)</f>
        <v>0</v>
      </c>
      <c r="H60" s="217">
        <f>SUM(H57:H58)</f>
        <v>0</v>
      </c>
      <c r="I60" s="197"/>
    </row>
    <row r="61" spans="1:13" ht="14.1" hidden="1" customHeight="1" thickTop="1">
      <c r="A61" s="216"/>
      <c r="F61" s="197"/>
      <c r="I61" s="197"/>
    </row>
    <row r="62" spans="1:13" ht="14.1" hidden="1" customHeight="1">
      <c r="A62" s="218" t="s">
        <v>137</v>
      </c>
      <c r="F62" s="197"/>
      <c r="I62" s="197"/>
    </row>
    <row r="63" spans="1:13" ht="14.1" hidden="1" customHeight="1">
      <c r="A63" s="216" t="s">
        <v>101</v>
      </c>
      <c r="D63" s="219">
        <f>D54</f>
        <v>0</v>
      </c>
      <c r="F63" s="197">
        <f>Worksheet!P312</f>
        <v>0</v>
      </c>
      <c r="H63" s="220">
        <f>H54</f>
        <v>0</v>
      </c>
      <c r="I63" s="197"/>
    </row>
    <row r="64" spans="1:13" ht="14.1" hidden="1" customHeight="1">
      <c r="A64" s="216" t="s">
        <v>102</v>
      </c>
      <c r="D64" s="221" t="s">
        <v>5</v>
      </c>
      <c r="F64" s="206">
        <v>0</v>
      </c>
      <c r="H64" s="221" t="s">
        <v>5</v>
      </c>
      <c r="I64" s="197"/>
    </row>
    <row r="65" spans="1:11" ht="14.1" hidden="1" customHeight="1">
      <c r="A65" s="216"/>
      <c r="F65" s="197"/>
      <c r="I65" s="197"/>
    </row>
    <row r="66" spans="1:11" ht="14.1" hidden="1" customHeight="1" thickBot="1">
      <c r="A66" s="218" t="s">
        <v>136</v>
      </c>
      <c r="D66" s="173">
        <f>SUM(D63:D64)</f>
        <v>0</v>
      </c>
      <c r="F66" s="222">
        <f>SUM(F63:F64)</f>
        <v>0</v>
      </c>
      <c r="G66" s="197"/>
      <c r="H66" s="222">
        <f>SUM(H63:H64)</f>
        <v>0</v>
      </c>
      <c r="I66" s="180"/>
      <c r="J66" s="182"/>
      <c r="K66" s="180"/>
    </row>
    <row r="67" spans="1:11" ht="14.1" customHeight="1">
      <c r="A67" s="216"/>
      <c r="F67" s="197"/>
      <c r="I67" s="197"/>
    </row>
    <row r="68" spans="1:11" ht="14.1" customHeight="1">
      <c r="A68" s="216"/>
      <c r="F68" s="197"/>
      <c r="I68" s="197"/>
    </row>
    <row r="69" spans="1:11" ht="14.1" customHeight="1">
      <c r="A69" s="216"/>
      <c r="F69" s="197"/>
      <c r="I69" s="197"/>
    </row>
    <row r="70" spans="1:11" ht="14.1" customHeight="1">
      <c r="A70" s="216"/>
      <c r="F70" s="197"/>
      <c r="I70" s="197"/>
    </row>
    <row r="71" spans="1:11" ht="14.1" customHeight="1">
      <c r="A71" s="216"/>
      <c r="F71" s="197"/>
      <c r="I71" s="197"/>
    </row>
    <row r="72" spans="1:11" ht="14.1" customHeight="1">
      <c r="A72" s="633"/>
      <c r="B72" s="634"/>
      <c r="C72" s="634"/>
      <c r="D72" s="634"/>
      <c r="E72" s="634"/>
      <c r="F72" s="634"/>
      <c r="G72" s="220"/>
      <c r="H72" s="220"/>
      <c r="I72" s="220"/>
    </row>
    <row r="73" spans="1:11" ht="14.1" customHeight="1">
      <c r="A73" s="633"/>
      <c r="B73" s="634"/>
      <c r="C73" s="634"/>
      <c r="D73" s="634"/>
      <c r="E73" s="634"/>
      <c r="F73" s="634"/>
    </row>
    <row r="74" spans="1:11" ht="14.1" customHeight="1">
      <c r="D74" s="223">
        <f>D66-Worksheet!O312</f>
        <v>13330206478.412817</v>
      </c>
      <c r="F74" s="153">
        <f>F66-Worksheet!P312</f>
        <v>0</v>
      </c>
      <c r="H74" s="223">
        <f>H66-Worksheet!P312</f>
        <v>0</v>
      </c>
    </row>
  </sheetData>
  <mergeCells count="2">
    <mergeCell ref="A72:F72"/>
    <mergeCell ref="A73:F73"/>
  </mergeCells>
  <phoneticPr fontId="0" type="noConversion"/>
  <printOptions gridLinesSet="0"/>
  <pageMargins left="0.82677165354330695" right="0.39370078740157499" top="0.55118110236220497" bottom="0.74803149606299202" header="0.196850393700787" footer="0.511811023622047"/>
  <pageSetup paperSize="9" scale="57" firstPageNumber="3" orientation="portrait" useFirstPageNumber="1" r:id="rId1"/>
  <headerFooter alignWithMargins="0">
    <oddFooter>&amp;C- 4 -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4"/>
  <dimension ref="A1:L30"/>
  <sheetViews>
    <sheetView showGridLines="0" workbookViewId="0">
      <selection activeCell="L26" sqref="L26"/>
    </sheetView>
  </sheetViews>
  <sheetFormatPr defaultColWidth="12.42578125" defaultRowHeight="14.25"/>
  <cols>
    <col min="1" max="1" width="1.7109375" style="226" customWidth="1"/>
    <col min="2" max="2" width="36.7109375" style="226" customWidth="1"/>
    <col min="3" max="3" width="9.7109375" style="226" hidden="1" customWidth="1"/>
    <col min="4" max="4" width="1.7109375" style="226" customWidth="1"/>
    <col min="5" max="5" width="17.7109375" style="226" customWidth="1"/>
    <col min="6" max="6" width="1.7109375" style="226" customWidth="1"/>
    <col min="7" max="7" width="15.7109375" style="226" customWidth="1"/>
    <col min="8" max="8" width="1.7109375" style="226" customWidth="1"/>
    <col min="9" max="9" width="20.85546875" style="226" bestFit="1" customWidth="1"/>
    <col min="10" max="10" width="1.7109375" style="226" customWidth="1"/>
    <col min="11" max="11" width="36.7109375" style="226" customWidth="1"/>
    <col min="12" max="12" width="1.7109375" style="504" customWidth="1"/>
    <col min="13" max="16384" width="12.42578125" style="226"/>
  </cols>
  <sheetData>
    <row r="1" spans="1:12" s="224" customFormat="1">
      <c r="A1" s="496" t="s">
        <v>338</v>
      </c>
      <c r="B1" s="497"/>
      <c r="C1" s="497"/>
      <c r="D1" s="496"/>
      <c r="E1" s="496"/>
      <c r="F1" s="496"/>
      <c r="G1" s="496"/>
      <c r="H1" s="496"/>
      <c r="I1" s="496"/>
      <c r="J1" s="496"/>
      <c r="L1" s="502" t="s">
        <v>338</v>
      </c>
    </row>
    <row r="2" spans="1:12" s="224" customFormat="1">
      <c r="A2" s="498" t="s">
        <v>340</v>
      </c>
      <c r="B2" s="498"/>
      <c r="C2" s="498"/>
      <c r="D2" s="498"/>
      <c r="E2" s="498"/>
      <c r="F2" s="498"/>
      <c r="G2" s="498"/>
      <c r="H2" s="498"/>
      <c r="I2" s="498"/>
      <c r="J2" s="498"/>
      <c r="L2" s="504" t="s">
        <v>522</v>
      </c>
    </row>
    <row r="3" spans="1:12" s="224" customFormat="1">
      <c r="A3" s="500" t="s">
        <v>864</v>
      </c>
      <c r="B3" s="498"/>
      <c r="C3" s="498"/>
      <c r="D3" s="498"/>
      <c r="E3" s="498"/>
      <c r="F3" s="498"/>
      <c r="G3" s="498"/>
      <c r="H3" s="498"/>
      <c r="I3" s="498"/>
      <c r="J3" s="498"/>
      <c r="L3" s="504" t="s">
        <v>865</v>
      </c>
    </row>
    <row r="4" spans="1:12" s="224" customFormat="1">
      <c r="A4" s="484" t="s">
        <v>482</v>
      </c>
      <c r="B4" s="499"/>
      <c r="C4" s="499"/>
      <c r="D4" s="499"/>
      <c r="E4" s="499"/>
      <c r="F4" s="499"/>
      <c r="G4" s="499"/>
      <c r="H4" s="499"/>
      <c r="I4" s="499"/>
      <c r="J4" s="499"/>
      <c r="K4" s="501"/>
      <c r="L4" s="488" t="s">
        <v>483</v>
      </c>
    </row>
    <row r="6" spans="1:12" ht="12.75" customHeight="1">
      <c r="G6" s="227"/>
      <c r="I6" s="228"/>
      <c r="J6" s="228"/>
    </row>
    <row r="7" spans="1:12" s="224" customFormat="1">
      <c r="E7" s="228" t="s">
        <v>527</v>
      </c>
      <c r="F7" s="229"/>
      <c r="G7" s="228" t="s">
        <v>529</v>
      </c>
      <c r="H7" s="227"/>
      <c r="I7" s="228" t="s">
        <v>530</v>
      </c>
      <c r="J7" s="225"/>
      <c r="L7" s="504"/>
    </row>
    <row r="8" spans="1:12" s="224" customFormat="1">
      <c r="A8" s="230"/>
      <c r="B8" s="230"/>
      <c r="C8" s="231" t="s">
        <v>88</v>
      </c>
      <c r="D8" s="230"/>
      <c r="E8" s="505" t="s">
        <v>528</v>
      </c>
      <c r="F8" s="232"/>
      <c r="G8" s="506" t="s">
        <v>480</v>
      </c>
      <c r="H8" s="232"/>
      <c r="I8" s="506" t="s">
        <v>531</v>
      </c>
      <c r="J8" s="233"/>
      <c r="L8" s="504"/>
    </row>
    <row r="9" spans="1:12" s="224" customFormat="1">
      <c r="E9" s="228" t="s">
        <v>6</v>
      </c>
      <c r="F9" s="229"/>
      <c r="G9" s="228" t="s">
        <v>6</v>
      </c>
      <c r="H9" s="229"/>
      <c r="I9" s="228" t="s">
        <v>6</v>
      </c>
      <c r="J9" s="228"/>
      <c r="L9" s="504"/>
    </row>
    <row r="10" spans="1:12" s="224" customFormat="1">
      <c r="A10" s="234"/>
      <c r="B10" s="234"/>
      <c r="C10" s="234"/>
      <c r="L10" s="504"/>
    </row>
    <row r="11" spans="1:12" s="224" customFormat="1">
      <c r="A11" s="235" t="s">
        <v>673</v>
      </c>
      <c r="B11" s="235"/>
      <c r="C11" s="235"/>
      <c r="E11" s="182">
        <v>25000000000</v>
      </c>
      <c r="F11" s="182"/>
      <c r="G11" s="236">
        <f>Worksheet!O161</f>
        <v>-3659291587</v>
      </c>
      <c r="H11" s="182"/>
      <c r="I11" s="182">
        <f>SUM(E11:G11)</f>
        <v>21340708413</v>
      </c>
      <c r="J11" s="182"/>
      <c r="L11" s="504" t="s">
        <v>674</v>
      </c>
    </row>
    <row r="12" spans="1:12" s="224" customFormat="1">
      <c r="A12" s="235"/>
      <c r="B12" s="235"/>
      <c r="C12" s="235"/>
      <c r="E12" s="182"/>
      <c r="F12" s="182"/>
      <c r="G12" s="236"/>
      <c r="H12" s="182"/>
      <c r="I12" s="182"/>
      <c r="J12" s="182"/>
      <c r="L12" s="504"/>
    </row>
    <row r="13" spans="1:12" s="224" customFormat="1">
      <c r="A13" s="234" t="s">
        <v>398</v>
      </c>
      <c r="B13" s="235"/>
      <c r="C13" s="235"/>
      <c r="E13" s="182"/>
      <c r="F13" s="182"/>
      <c r="G13" s="236">
        <f>Worksheet!O159</f>
        <v>0</v>
      </c>
      <c r="H13" s="182"/>
      <c r="I13" s="182">
        <f>SUM(E13:G13)</f>
        <v>0</v>
      </c>
      <c r="J13" s="182"/>
      <c r="L13" s="504"/>
    </row>
    <row r="14" spans="1:12" s="224" customFormat="1">
      <c r="A14" s="235"/>
      <c r="B14" s="235"/>
      <c r="C14" s="235"/>
      <c r="E14" s="182"/>
      <c r="F14" s="182"/>
      <c r="G14" s="236"/>
      <c r="H14" s="182"/>
      <c r="I14" s="182"/>
      <c r="J14" s="182"/>
      <c r="L14" s="504"/>
    </row>
    <row r="15" spans="1:12" s="224" customFormat="1">
      <c r="A15" s="234" t="s">
        <v>523</v>
      </c>
      <c r="B15" s="235"/>
      <c r="C15" s="235"/>
      <c r="E15" s="182"/>
      <c r="F15" s="182"/>
      <c r="G15" s="182"/>
      <c r="H15" s="182"/>
      <c r="I15" s="182"/>
      <c r="J15" s="182"/>
      <c r="K15" s="226"/>
      <c r="L15" s="503" t="s">
        <v>524</v>
      </c>
    </row>
    <row r="16" spans="1:12" s="224" customFormat="1">
      <c r="B16" s="234" t="s">
        <v>82</v>
      </c>
      <c r="C16" s="234"/>
      <c r="E16" s="237">
        <v>0</v>
      </c>
      <c r="F16" s="182"/>
      <c r="G16" s="237">
        <f>Laba!D66</f>
        <v>0</v>
      </c>
      <c r="H16" s="182"/>
      <c r="I16" s="238">
        <f>SUM(E16:G16)</f>
        <v>0</v>
      </c>
      <c r="J16" s="182"/>
      <c r="K16" s="503" t="s">
        <v>526</v>
      </c>
      <c r="L16" s="504"/>
    </row>
    <row r="17" spans="1:12" s="224" customFormat="1">
      <c r="E17" s="182"/>
      <c r="F17" s="182"/>
      <c r="G17" s="182"/>
      <c r="H17" s="182"/>
      <c r="I17" s="182"/>
      <c r="J17" s="182"/>
      <c r="L17" s="504"/>
    </row>
    <row r="18" spans="1:12" ht="15" thickBot="1">
      <c r="A18" s="235" t="s">
        <v>866</v>
      </c>
      <c r="B18" s="239"/>
      <c r="C18" s="239"/>
      <c r="E18" s="242">
        <f>SUM(E11:E16)</f>
        <v>25000000000</v>
      </c>
      <c r="F18" s="240"/>
      <c r="G18" s="242">
        <f>SUM(G11:G16)</f>
        <v>-3659291587</v>
      </c>
      <c r="H18" s="201"/>
      <c r="I18" s="242">
        <f>SUM(I11:I16)</f>
        <v>21340708413</v>
      </c>
      <c r="J18" s="201"/>
      <c r="K18" s="241"/>
      <c r="L18" s="504" t="s">
        <v>867</v>
      </c>
    </row>
    <row r="19" spans="1:12" ht="15" hidden="1" thickTop="1">
      <c r="A19" s="239"/>
      <c r="B19" s="239"/>
      <c r="C19" s="239"/>
      <c r="E19" s="201"/>
      <c r="F19" s="240"/>
      <c r="G19" s="201"/>
      <c r="H19" s="201"/>
      <c r="I19" s="201"/>
      <c r="J19" s="201"/>
    </row>
    <row r="20" spans="1:12" hidden="1">
      <c r="A20" s="234" t="s">
        <v>138</v>
      </c>
      <c r="B20" s="234"/>
      <c r="C20" s="239"/>
      <c r="E20" s="237" t="s">
        <v>5</v>
      </c>
      <c r="F20" s="240"/>
      <c r="G20" s="237">
        <f>Laba!D48</f>
        <v>0</v>
      </c>
      <c r="H20" s="201"/>
      <c r="I20" s="237">
        <f>SUM(E20:G20)</f>
        <v>0</v>
      </c>
      <c r="J20" s="201"/>
    </row>
    <row r="21" spans="1:12" hidden="1">
      <c r="A21" s="239"/>
      <c r="B21" s="239"/>
      <c r="C21" s="239"/>
      <c r="E21" s="201"/>
      <c r="F21" s="240"/>
      <c r="G21" s="201"/>
      <c r="H21" s="201"/>
      <c r="I21" s="201"/>
      <c r="J21" s="201"/>
    </row>
    <row r="22" spans="1:12" ht="15" hidden="1" thickBot="1">
      <c r="A22" s="239" t="s">
        <v>337</v>
      </c>
      <c r="B22" s="239"/>
      <c r="C22" s="239"/>
      <c r="E22" s="242">
        <f>SUM(E18:E20)</f>
        <v>25000000000</v>
      </c>
      <c r="F22" s="240"/>
      <c r="G22" s="242">
        <f>SUM(G18:G20)</f>
        <v>-3659291587</v>
      </c>
      <c r="H22" s="201"/>
      <c r="I22" s="242">
        <f>SUM(I18:I20)</f>
        <v>21340708413</v>
      </c>
      <c r="J22" s="201"/>
    </row>
    <row r="23" spans="1:12" ht="15" hidden="1" thickTop="1">
      <c r="A23" s="239"/>
      <c r="B23" s="239"/>
      <c r="C23" s="239"/>
      <c r="E23" s="201"/>
      <c r="F23" s="240"/>
      <c r="G23" s="201"/>
      <c r="H23" s="201"/>
      <c r="I23" s="201"/>
      <c r="J23" s="201"/>
    </row>
    <row r="24" spans="1:12" hidden="1">
      <c r="A24" s="239"/>
      <c r="B24" s="239"/>
      <c r="C24" s="239"/>
      <c r="E24" s="201"/>
      <c r="F24" s="240"/>
      <c r="G24" s="201"/>
      <c r="H24" s="201"/>
      <c r="I24" s="201"/>
      <c r="J24" s="201"/>
    </row>
    <row r="25" spans="1:12" hidden="1">
      <c r="A25" s="239"/>
      <c r="B25" s="239"/>
      <c r="C25" s="239"/>
      <c r="E25" s="201"/>
      <c r="F25" s="240"/>
      <c r="G25" s="201"/>
      <c r="H25" s="201"/>
      <c r="I25" s="201"/>
      <c r="J25" s="201"/>
    </row>
    <row r="26" spans="1:12" ht="15" thickTop="1">
      <c r="A26" s="635"/>
      <c r="B26" s="635"/>
      <c r="C26" s="635"/>
      <c r="D26" s="635"/>
      <c r="E26" s="635"/>
      <c r="F26" s="635"/>
      <c r="G26" s="635"/>
      <c r="H26" s="635"/>
      <c r="I26" s="635"/>
      <c r="J26" s="635"/>
    </row>
    <row r="27" spans="1:12">
      <c r="A27" s="635"/>
      <c r="B27" s="635"/>
      <c r="C27" s="635"/>
      <c r="D27" s="635"/>
      <c r="E27" s="635"/>
      <c r="F27" s="635"/>
      <c r="G27" s="635"/>
      <c r="H27" s="635"/>
      <c r="I27" s="635"/>
      <c r="J27" s="635"/>
    </row>
    <row r="28" spans="1:12">
      <c r="A28" s="243"/>
      <c r="B28" s="243"/>
      <c r="C28" s="243"/>
      <c r="G28" s="244"/>
    </row>
    <row r="29" spans="1:12">
      <c r="A29" s="243"/>
      <c r="B29" s="243"/>
      <c r="C29" s="243"/>
    </row>
    <row r="30" spans="1:12">
      <c r="A30" s="243"/>
      <c r="B30" s="243"/>
      <c r="C30" s="243"/>
    </row>
  </sheetData>
  <mergeCells count="2">
    <mergeCell ref="A26:J26"/>
    <mergeCell ref="A27:J27"/>
  </mergeCells>
  <printOptions gridLinesSet="0"/>
  <pageMargins left="0.82677165354330695" right="0.39370078740157499" top="0.55118110236220497" bottom="0.74803149606299202" header="0.196850393700787" footer="0.511811023622047"/>
  <pageSetup paperSize="9" scale="95" firstPageNumber="4" orientation="landscape" useFirstPageNumber="1" r:id="rId1"/>
  <headerFooter alignWithMargins="0">
    <oddFooter>&amp;C-  5 -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82"/>
  <sheetViews>
    <sheetView showGridLines="0" zoomScale="90" zoomScaleNormal="90" workbookViewId="0">
      <selection activeCell="C48" sqref="C48"/>
    </sheetView>
  </sheetViews>
  <sheetFormatPr defaultColWidth="1.7109375" defaultRowHeight="14.25"/>
  <cols>
    <col min="1" max="1" width="2.7109375" style="246" customWidth="1"/>
    <col min="2" max="2" width="53.7109375" style="246" customWidth="1"/>
    <col min="3" max="3" width="18.7109375" style="246" customWidth="1"/>
    <col min="4" max="4" width="2.7109375" style="246" hidden="1" customWidth="1"/>
    <col min="5" max="5" width="21.42578125" style="246" hidden="1" customWidth="1"/>
    <col min="6" max="6" width="53.7109375" style="522" customWidth="1"/>
    <col min="7" max="7" width="2.7109375" style="518" customWidth="1"/>
    <col min="8" max="8" width="16.85546875" style="246" customWidth="1"/>
    <col min="9" max="9" width="10.42578125" style="246" bestFit="1" customWidth="1"/>
    <col min="10" max="10" width="15.42578125" style="249" customWidth="1"/>
    <col min="11" max="250" width="9.140625" style="246" customWidth="1"/>
    <col min="251" max="251" width="2.28515625" style="246" customWidth="1"/>
    <col min="252" max="252" width="53.85546875" style="246" customWidth="1"/>
    <col min="253" max="253" width="16.85546875" style="246" customWidth="1"/>
    <col min="254" max="16384" width="1.7109375" style="246"/>
  </cols>
  <sheetData>
    <row r="1" spans="1:10">
      <c r="A1" s="513" t="s">
        <v>338</v>
      </c>
      <c r="B1" s="513"/>
      <c r="C1" s="513"/>
      <c r="D1" s="513"/>
      <c r="E1" s="513"/>
      <c r="F1" s="520"/>
      <c r="G1" s="515" t="s">
        <v>338</v>
      </c>
      <c r="H1" s="245"/>
      <c r="I1" s="245"/>
      <c r="J1" s="245"/>
    </row>
    <row r="2" spans="1:10" ht="12.75" customHeight="1">
      <c r="A2" s="513" t="s">
        <v>326</v>
      </c>
      <c r="B2" s="513"/>
      <c r="C2" s="513"/>
      <c r="D2" s="513"/>
      <c r="E2" s="513"/>
      <c r="F2" s="515"/>
      <c r="G2" s="515" t="s">
        <v>532</v>
      </c>
      <c r="H2" s="247"/>
      <c r="I2" s="247"/>
      <c r="J2" s="247"/>
    </row>
    <row r="3" spans="1:10" ht="12.75" customHeight="1">
      <c r="A3" s="500" t="s">
        <v>864</v>
      </c>
      <c r="B3" s="513"/>
      <c r="C3" s="513"/>
      <c r="D3" s="513"/>
      <c r="E3" s="513"/>
      <c r="F3" s="515"/>
      <c r="G3" s="504" t="s">
        <v>865</v>
      </c>
      <c r="H3" s="247"/>
      <c r="I3" s="247"/>
      <c r="J3" s="247"/>
    </row>
    <row r="4" spans="1:10">
      <c r="A4" s="484" t="s">
        <v>482</v>
      </c>
      <c r="B4" s="514"/>
      <c r="C4" s="514"/>
      <c r="D4" s="514"/>
      <c r="E4" s="514"/>
      <c r="F4" s="521"/>
      <c r="G4" s="488" t="s">
        <v>21</v>
      </c>
      <c r="I4" s="247"/>
      <c r="J4" s="247"/>
    </row>
    <row r="5" spans="1:10">
      <c r="A5" s="248"/>
      <c r="B5" s="248"/>
      <c r="C5" s="248"/>
      <c r="D5" s="248"/>
      <c r="E5" s="248"/>
      <c r="F5" s="516"/>
      <c r="H5" s="248"/>
      <c r="I5" s="248"/>
    </row>
    <row r="6" spans="1:10">
      <c r="C6" s="250" t="s">
        <v>868</v>
      </c>
      <c r="E6" s="251">
        <v>2016</v>
      </c>
    </row>
    <row r="7" spans="1:10">
      <c r="C7" s="228" t="s">
        <v>6</v>
      </c>
      <c r="E7" s="228" t="s">
        <v>6</v>
      </c>
    </row>
    <row r="8" spans="1:10">
      <c r="C8" s="252"/>
      <c r="E8" s="252"/>
    </row>
    <row r="9" spans="1:10">
      <c r="A9" s="253" t="s">
        <v>15</v>
      </c>
      <c r="G9" s="518" t="s">
        <v>533</v>
      </c>
    </row>
    <row r="10" spans="1:10">
      <c r="A10" s="246" t="s">
        <v>37</v>
      </c>
      <c r="C10" s="254">
        <f>'Arus Kas'!N130</f>
        <v>0</v>
      </c>
      <c r="D10" s="248"/>
      <c r="E10" s="254">
        <v>0</v>
      </c>
      <c r="G10" s="516" t="s">
        <v>551</v>
      </c>
    </row>
    <row r="11" spans="1:10">
      <c r="A11" s="246" t="s">
        <v>85</v>
      </c>
      <c r="C11" s="254">
        <f>'Arus Kas'!O130</f>
        <v>0</v>
      </c>
      <c r="D11" s="248"/>
      <c r="E11" s="255">
        <v>0</v>
      </c>
      <c r="G11" s="522" t="s">
        <v>542</v>
      </c>
    </row>
    <row r="12" spans="1:10">
      <c r="A12" s="246" t="s">
        <v>553</v>
      </c>
      <c r="C12" s="254">
        <f>'Arus Kas'!R130</f>
        <v>0</v>
      </c>
      <c r="D12" s="248"/>
      <c r="E12" s="257">
        <v>0</v>
      </c>
      <c r="G12" s="516" t="s">
        <v>552</v>
      </c>
    </row>
    <row r="13" spans="1:10">
      <c r="A13" s="258" t="s">
        <v>38</v>
      </c>
      <c r="C13" s="256">
        <f>'Arus Kas'!P130</f>
        <v>0</v>
      </c>
      <c r="E13" s="158">
        <v>0</v>
      </c>
      <c r="F13" s="517"/>
      <c r="G13" s="517" t="s">
        <v>549</v>
      </c>
    </row>
    <row r="14" spans="1:10">
      <c r="A14" s="258"/>
      <c r="F14" s="517"/>
      <c r="G14" s="519"/>
    </row>
    <row r="15" spans="1:10">
      <c r="A15" s="259" t="s">
        <v>554</v>
      </c>
      <c r="C15" s="256">
        <f>SUM(C10:C14)</f>
        <v>0</v>
      </c>
      <c r="E15" s="256">
        <f>SUM(E13:E13)</f>
        <v>0</v>
      </c>
      <c r="F15" s="517"/>
      <c r="G15" s="519" t="s">
        <v>555</v>
      </c>
    </row>
    <row r="16" spans="1:10">
      <c r="A16" s="258"/>
      <c r="F16" s="517"/>
      <c r="G16" s="519"/>
    </row>
    <row r="17" spans="1:7">
      <c r="A17" s="253" t="s">
        <v>22</v>
      </c>
      <c r="F17" s="517"/>
      <c r="G17" s="519" t="s">
        <v>534</v>
      </c>
    </row>
    <row r="18" spans="1:7" hidden="1">
      <c r="A18" s="246" t="s">
        <v>413</v>
      </c>
      <c r="C18" s="260" t="s">
        <v>5</v>
      </c>
      <c r="E18" s="260" t="s">
        <v>5</v>
      </c>
      <c r="F18" s="517"/>
      <c r="G18" s="519"/>
    </row>
    <row r="19" spans="1:7">
      <c r="A19" s="246" t="s">
        <v>43</v>
      </c>
      <c r="C19" s="148">
        <f>'Arus Kas'!S130</f>
        <v>-12700000000</v>
      </c>
      <c r="E19" s="148">
        <v>0</v>
      </c>
      <c r="F19" s="517"/>
      <c r="G19" s="517" t="s">
        <v>546</v>
      </c>
    </row>
    <row r="20" spans="1:7">
      <c r="A20" s="246" t="s">
        <v>44</v>
      </c>
      <c r="C20" s="260">
        <f>'Arus Kas'!T130</f>
        <v>3604324099.1823192</v>
      </c>
      <c r="E20" s="261">
        <v>0</v>
      </c>
      <c r="F20" s="517"/>
      <c r="G20" s="517" t="s">
        <v>547</v>
      </c>
    </row>
    <row r="21" spans="1:7">
      <c r="A21" s="246" t="s">
        <v>23</v>
      </c>
      <c r="C21" s="174">
        <f>'Arus Kas'!X130</f>
        <v>0</v>
      </c>
      <c r="D21" s="248"/>
      <c r="E21" s="174">
        <v>0</v>
      </c>
      <c r="F21" s="517"/>
      <c r="G21" s="517" t="s">
        <v>548</v>
      </c>
    </row>
    <row r="22" spans="1:7">
      <c r="A22" s="246" t="s">
        <v>118</v>
      </c>
      <c r="C22" s="174">
        <f>'Arus Kas'!U130</f>
        <v>0</v>
      </c>
      <c r="D22" s="248"/>
      <c r="E22" s="262">
        <v>0</v>
      </c>
      <c r="F22" s="517"/>
      <c r="G22" s="517" t="s">
        <v>545</v>
      </c>
    </row>
    <row r="23" spans="1:7">
      <c r="A23" s="246" t="s">
        <v>543</v>
      </c>
      <c r="C23" s="192">
        <f>'Arus Kas'!V130</f>
        <v>-306157050</v>
      </c>
      <c r="E23" s="158">
        <v>0</v>
      </c>
      <c r="F23" s="517"/>
      <c r="G23" s="517" t="s">
        <v>544</v>
      </c>
    </row>
    <row r="24" spans="1:7">
      <c r="F24" s="517"/>
      <c r="G24" s="519"/>
    </row>
    <row r="25" spans="1:7">
      <c r="A25" s="253" t="s">
        <v>119</v>
      </c>
      <c r="C25" s="256">
        <f>SUM(C18:C23)</f>
        <v>-9401832950.8176804</v>
      </c>
      <c r="E25" s="256">
        <f>SUM(E18:E23)</f>
        <v>0</v>
      </c>
      <c r="F25" s="517"/>
      <c r="G25" s="519" t="s">
        <v>536</v>
      </c>
    </row>
    <row r="26" spans="1:7">
      <c r="A26" s="253" t="s">
        <v>21</v>
      </c>
      <c r="C26" s="248"/>
      <c r="E26" s="248"/>
      <c r="F26" s="517"/>
      <c r="G26" s="519"/>
    </row>
    <row r="27" spans="1:7">
      <c r="A27" s="253" t="s">
        <v>16</v>
      </c>
      <c r="F27" s="517"/>
      <c r="G27" s="519" t="s">
        <v>535</v>
      </c>
    </row>
    <row r="28" spans="1:7" hidden="1">
      <c r="A28" s="246" t="s">
        <v>117</v>
      </c>
      <c r="C28" s="263"/>
      <c r="E28" s="264"/>
      <c r="F28" s="517"/>
      <c r="G28" s="517"/>
    </row>
    <row r="29" spans="1:7" hidden="1">
      <c r="B29" s="246" t="s">
        <v>112</v>
      </c>
      <c r="C29" s="263">
        <f>'Arus Kas'!Y130</f>
        <v>0</v>
      </c>
      <c r="D29" s="248"/>
      <c r="E29" s="264">
        <v>0</v>
      </c>
      <c r="F29" s="517"/>
      <c r="G29" s="517"/>
    </row>
    <row r="30" spans="1:7">
      <c r="A30" s="246" t="s">
        <v>335</v>
      </c>
      <c r="C30" s="263">
        <f>'Arus Kas'!AA130</f>
        <v>0</v>
      </c>
      <c r="D30" s="248"/>
      <c r="E30" s="263">
        <v>0</v>
      </c>
      <c r="F30" s="517"/>
      <c r="G30" s="517" t="s">
        <v>550</v>
      </c>
    </row>
    <row r="31" spans="1:7">
      <c r="A31" s="246" t="s">
        <v>139</v>
      </c>
      <c r="C31" s="265">
        <f>'Arus Kas'!Z130</f>
        <v>0</v>
      </c>
      <c r="E31" s="265">
        <v>0</v>
      </c>
      <c r="F31" s="517"/>
      <c r="G31" s="517" t="s">
        <v>479</v>
      </c>
    </row>
    <row r="32" spans="1:7">
      <c r="C32" s="263"/>
      <c r="E32" s="264"/>
      <c r="F32" s="517"/>
      <c r="G32" s="517"/>
    </row>
    <row r="33" spans="1:7">
      <c r="A33" s="253" t="s">
        <v>119</v>
      </c>
      <c r="C33" s="265">
        <f>SUM(C29:C31)</f>
        <v>0</v>
      </c>
      <c r="E33" s="265">
        <f>SUM(E29:E31)</f>
        <v>0</v>
      </c>
      <c r="F33" s="517"/>
      <c r="G33" s="519" t="s">
        <v>537</v>
      </c>
    </row>
    <row r="34" spans="1:7">
      <c r="F34" s="517"/>
      <c r="G34" s="519"/>
    </row>
    <row r="35" spans="1:7">
      <c r="A35" s="253" t="s">
        <v>539</v>
      </c>
      <c r="C35" s="249">
        <f>C15+C25+C33</f>
        <v>-9401832950.8176804</v>
      </c>
      <c r="E35" s="249">
        <f>E15+E25+E33</f>
        <v>0</v>
      </c>
      <c r="F35" s="517"/>
      <c r="G35" s="519" t="s">
        <v>538</v>
      </c>
    </row>
    <row r="36" spans="1:7">
      <c r="F36" s="517"/>
      <c r="G36" s="519"/>
    </row>
    <row r="37" spans="1:7">
      <c r="A37" s="253" t="s">
        <v>120</v>
      </c>
      <c r="C37" s="266">
        <f>Neraca!H10</f>
        <v>0</v>
      </c>
      <c r="E37" s="266">
        <v>0</v>
      </c>
      <c r="G37" s="519" t="s">
        <v>540</v>
      </c>
    </row>
    <row r="38" spans="1:7">
      <c r="F38" s="517"/>
      <c r="G38" s="519"/>
    </row>
    <row r="39" spans="1:7" ht="15" thickBot="1">
      <c r="A39" s="253" t="s">
        <v>121</v>
      </c>
      <c r="C39" s="267">
        <f>SUM(C35:C37)</f>
        <v>-9401832950.8176804</v>
      </c>
      <c r="E39" s="267">
        <f>SUM(E35:E37)</f>
        <v>0</v>
      </c>
      <c r="F39" s="517"/>
      <c r="G39" s="519" t="s">
        <v>541</v>
      </c>
    </row>
    <row r="40" spans="1:7" ht="15" thickTop="1">
      <c r="F40" s="517"/>
      <c r="G40" s="519"/>
    </row>
    <row r="41" spans="1:7">
      <c r="F41" s="517"/>
      <c r="G41" s="519"/>
    </row>
    <row r="42" spans="1:7">
      <c r="A42" s="216"/>
      <c r="F42" s="517"/>
      <c r="G42" s="519"/>
    </row>
    <row r="43" spans="1:7">
      <c r="E43" s="249"/>
      <c r="F43" s="517"/>
      <c r="G43" s="519"/>
    </row>
    <row r="44" spans="1:7">
      <c r="C44" s="268"/>
      <c r="E44" s="249"/>
      <c r="F44" s="517"/>
      <c r="G44" s="519"/>
    </row>
    <row r="45" spans="1:7">
      <c r="A45" s="633"/>
      <c r="B45" s="633"/>
      <c r="C45" s="633"/>
      <c r="D45" s="633"/>
      <c r="E45" s="633"/>
      <c r="F45" s="517"/>
      <c r="G45" s="519"/>
    </row>
    <row r="46" spans="1:7">
      <c r="A46" s="633"/>
      <c r="B46" s="633"/>
      <c r="C46" s="633"/>
      <c r="D46" s="633"/>
      <c r="E46" s="633"/>
      <c r="F46" s="517"/>
      <c r="G46" s="519"/>
    </row>
    <row r="47" spans="1:7">
      <c r="C47" s="249">
        <f>C39-Neraca!F10</f>
        <v>-9401832950.8176804</v>
      </c>
      <c r="E47" s="249">
        <f>E39-Neraca!H10</f>
        <v>0</v>
      </c>
      <c r="F47" s="517"/>
      <c r="G47" s="519"/>
    </row>
    <row r="48" spans="1:7">
      <c r="E48" s="249"/>
      <c r="F48" s="517"/>
      <c r="G48" s="519"/>
    </row>
    <row r="49" spans="5:7">
      <c r="E49" s="249"/>
      <c r="F49" s="517"/>
      <c r="G49" s="519"/>
    </row>
    <row r="50" spans="5:7">
      <c r="E50" s="249"/>
      <c r="F50" s="517"/>
      <c r="G50" s="519"/>
    </row>
    <row r="51" spans="5:7">
      <c r="E51" s="249"/>
      <c r="F51" s="517"/>
      <c r="G51" s="519"/>
    </row>
    <row r="52" spans="5:7">
      <c r="E52" s="249"/>
      <c r="F52" s="517"/>
      <c r="G52" s="519"/>
    </row>
    <row r="53" spans="5:7">
      <c r="E53" s="249"/>
      <c r="F53" s="517"/>
      <c r="G53" s="519"/>
    </row>
    <row r="54" spans="5:7">
      <c r="E54" s="249"/>
      <c r="F54" s="517"/>
      <c r="G54" s="519"/>
    </row>
    <row r="55" spans="5:7">
      <c r="E55" s="249"/>
      <c r="F55" s="517"/>
      <c r="G55" s="519"/>
    </row>
    <row r="56" spans="5:7">
      <c r="E56" s="249"/>
      <c r="F56" s="517"/>
      <c r="G56" s="519"/>
    </row>
    <row r="57" spans="5:7">
      <c r="E57" s="249"/>
      <c r="F57" s="517"/>
      <c r="G57" s="519"/>
    </row>
    <row r="58" spans="5:7">
      <c r="E58" s="249"/>
      <c r="F58" s="517"/>
      <c r="G58" s="519"/>
    </row>
    <row r="59" spans="5:7">
      <c r="E59" s="249"/>
      <c r="F59" s="517"/>
      <c r="G59" s="519"/>
    </row>
    <row r="60" spans="5:7">
      <c r="E60" s="249"/>
      <c r="F60" s="517"/>
      <c r="G60" s="519"/>
    </row>
    <row r="61" spans="5:7">
      <c r="E61" s="249"/>
      <c r="F61" s="517"/>
      <c r="G61" s="519"/>
    </row>
    <row r="62" spans="5:7">
      <c r="E62" s="249"/>
      <c r="F62" s="517"/>
      <c r="G62" s="519"/>
    </row>
    <row r="63" spans="5:7">
      <c r="E63" s="249"/>
      <c r="F63" s="517"/>
      <c r="G63" s="519"/>
    </row>
    <row r="64" spans="5:7">
      <c r="E64" s="249"/>
      <c r="F64" s="517"/>
      <c r="G64" s="519"/>
    </row>
    <row r="65" spans="1:7">
      <c r="E65" s="249"/>
      <c r="F65" s="517"/>
      <c r="G65" s="519"/>
    </row>
    <row r="66" spans="1:7">
      <c r="E66" s="249"/>
      <c r="F66" s="517"/>
      <c r="G66" s="519"/>
    </row>
    <row r="67" spans="1:7">
      <c r="E67" s="249"/>
      <c r="F67" s="517"/>
      <c r="G67" s="519"/>
    </row>
    <row r="68" spans="1:7">
      <c r="E68" s="249"/>
      <c r="F68" s="517"/>
      <c r="G68" s="519"/>
    </row>
    <row r="69" spans="1:7">
      <c r="E69" s="249"/>
      <c r="F69" s="517"/>
      <c r="G69" s="519"/>
    </row>
    <row r="70" spans="1:7">
      <c r="E70" s="249"/>
      <c r="F70" s="517"/>
      <c r="G70" s="519"/>
    </row>
    <row r="71" spans="1:7">
      <c r="E71" s="249"/>
      <c r="F71" s="517"/>
      <c r="G71" s="519"/>
    </row>
    <row r="72" spans="1:7">
      <c r="E72" s="249"/>
      <c r="F72" s="517"/>
      <c r="G72" s="519"/>
    </row>
    <row r="73" spans="1:7">
      <c r="E73" s="249"/>
      <c r="F73" s="517"/>
      <c r="G73" s="519"/>
    </row>
    <row r="74" spans="1:7">
      <c r="E74" s="249"/>
      <c r="F74" s="517"/>
      <c r="G74" s="519"/>
    </row>
    <row r="75" spans="1:7">
      <c r="E75" s="249"/>
      <c r="F75" s="517"/>
      <c r="G75" s="519"/>
    </row>
    <row r="76" spans="1:7">
      <c r="E76" s="249"/>
      <c r="F76" s="517"/>
      <c r="G76" s="519"/>
    </row>
    <row r="77" spans="1:7">
      <c r="E77" s="249"/>
      <c r="F77" s="517"/>
      <c r="G77" s="519"/>
    </row>
    <row r="78" spans="1:7">
      <c r="A78" s="636"/>
      <c r="B78" s="636"/>
      <c r="C78" s="636"/>
      <c r="D78" s="636"/>
      <c r="E78" s="636"/>
      <c r="F78" s="503"/>
      <c r="G78" s="519"/>
    </row>
    <row r="79" spans="1:7">
      <c r="A79" s="636"/>
      <c r="B79" s="636"/>
      <c r="C79" s="636"/>
      <c r="D79" s="636"/>
      <c r="E79" s="636"/>
      <c r="F79" s="503"/>
      <c r="G79" s="519"/>
    </row>
    <row r="80" spans="1:7">
      <c r="F80" s="517"/>
      <c r="G80" s="519"/>
    </row>
    <row r="81" spans="1:7">
      <c r="F81" s="517"/>
      <c r="G81" s="519"/>
    </row>
    <row r="82" spans="1:7">
      <c r="A82" s="253"/>
      <c r="C82" s="269"/>
      <c r="E82" s="270"/>
      <c r="F82" s="517"/>
      <c r="G82" s="519"/>
    </row>
  </sheetData>
  <mergeCells count="4">
    <mergeCell ref="A79:E79"/>
    <mergeCell ref="A78:E78"/>
    <mergeCell ref="A45:E45"/>
    <mergeCell ref="A46:E46"/>
  </mergeCells>
  <phoneticPr fontId="0" type="noConversion"/>
  <pageMargins left="0.82677165354330695" right="0.39370078740157499" top="0.55118110236220497" bottom="0.74803149606299202" header="0.196850393700787" footer="0.511811023622047"/>
  <pageSetup paperSize="9" scale="69" orientation="portrait" r:id="rId1"/>
  <headerFooter scaleWithDoc="0" alignWithMargins="0">
    <oddFooter xml:space="preserve">&amp;C&amp;8- 6 -&amp;R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6">
    <pageSetUpPr fitToPage="1"/>
  </sheetPr>
  <dimension ref="A1:AF133"/>
  <sheetViews>
    <sheetView zoomScale="80" zoomScaleNormal="80" workbookViewId="0">
      <selection activeCell="AE10" sqref="AE10"/>
    </sheetView>
  </sheetViews>
  <sheetFormatPr defaultColWidth="12.42578125" defaultRowHeight="12.75" customHeight="1"/>
  <cols>
    <col min="1" max="2" width="2.85546875" style="1" customWidth="1"/>
    <col min="3" max="3" width="51.140625" style="1" customWidth="1"/>
    <col min="4" max="4" width="8.28515625" style="11" customWidth="1"/>
    <col min="5" max="5" width="2.28515625" style="1" customWidth="1"/>
    <col min="6" max="6" width="19.7109375" style="1" customWidth="1"/>
    <col min="7" max="7" width="2.28515625" style="1" customWidth="1"/>
    <col min="8" max="8" width="19.7109375" style="12" customWidth="1"/>
    <col min="9" max="9" width="6.7109375" style="1" customWidth="1"/>
    <col min="10" max="10" width="5.42578125" style="12" hidden="1" customWidth="1"/>
    <col min="11" max="11" width="19.7109375" style="1" customWidth="1"/>
    <col min="12" max="12" width="17" style="1" bestFit="1" customWidth="1"/>
    <col min="13" max="13" width="21.42578125" style="1" customWidth="1"/>
    <col min="14" max="14" width="20" style="1" bestFit="1" customWidth="1"/>
    <col min="15" max="15" width="18.28515625" style="1" customWidth="1"/>
    <col min="16" max="16" width="17" style="1" customWidth="1"/>
    <col min="17" max="17" width="1.7109375" style="1" customWidth="1"/>
    <col min="18" max="18" width="14.28515625" style="1" customWidth="1"/>
    <col min="19" max="19" width="17.42578125" style="1" customWidth="1"/>
    <col min="20" max="20" width="18.140625" style="1" customWidth="1"/>
    <col min="21" max="21" width="14.28515625" style="1" customWidth="1"/>
    <col min="22" max="22" width="15.85546875" style="1" bestFit="1" customWidth="1"/>
    <col min="23" max="23" width="1.7109375" style="1" customWidth="1"/>
    <col min="24" max="24" width="13.7109375" style="1" customWidth="1"/>
    <col min="25" max="25" width="23.85546875" style="1" customWidth="1"/>
    <col min="26" max="26" width="14.42578125" style="1" customWidth="1"/>
    <col min="27" max="27" width="19.85546875" style="1" bestFit="1" customWidth="1"/>
    <col min="28" max="28" width="12.42578125" style="1"/>
    <col min="29" max="32" width="15.7109375" style="1" customWidth="1"/>
    <col min="33" max="16384" width="12.42578125" style="1"/>
  </cols>
  <sheetData>
    <row r="1" spans="1:32" ht="12.75" customHeight="1">
      <c r="A1" s="639" t="s">
        <v>338</v>
      </c>
      <c r="B1" s="640"/>
      <c r="C1" s="640"/>
      <c r="D1" s="640"/>
      <c r="E1" s="640"/>
      <c r="F1" s="640"/>
      <c r="G1" s="640"/>
      <c r="H1" s="640"/>
      <c r="I1" s="27"/>
      <c r="J1" s="27"/>
    </row>
    <row r="2" spans="1:32" ht="12.75" customHeight="1">
      <c r="A2" s="639" t="s">
        <v>315</v>
      </c>
      <c r="B2" s="639"/>
      <c r="C2" s="639"/>
      <c r="D2" s="639"/>
      <c r="E2" s="639"/>
      <c r="F2" s="639"/>
      <c r="G2" s="639"/>
      <c r="H2" s="639"/>
      <c r="I2" s="66"/>
      <c r="J2" s="66"/>
      <c r="K2" s="67"/>
      <c r="L2" s="29"/>
      <c r="M2" s="29"/>
      <c r="N2" s="637" t="s">
        <v>46</v>
      </c>
      <c r="O2" s="637"/>
      <c r="P2" s="637"/>
      <c r="Q2" s="69"/>
      <c r="R2" s="637" t="s">
        <v>47</v>
      </c>
      <c r="S2" s="637"/>
      <c r="T2" s="637"/>
      <c r="U2" s="637"/>
      <c r="V2" s="637"/>
      <c r="W2" s="69"/>
      <c r="X2" s="637" t="s">
        <v>48</v>
      </c>
      <c r="Y2" s="637"/>
      <c r="Z2" s="637"/>
      <c r="AA2" s="637"/>
    </row>
    <row r="3" spans="1:32" ht="12.75" customHeight="1">
      <c r="A3" s="641" t="s">
        <v>680</v>
      </c>
      <c r="B3" s="641"/>
      <c r="C3" s="641"/>
      <c r="D3" s="641"/>
      <c r="E3" s="641"/>
      <c r="F3" s="641"/>
      <c r="G3" s="641"/>
      <c r="H3" s="641"/>
      <c r="I3" s="70"/>
      <c r="J3" s="70"/>
      <c r="K3" s="67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71" t="s">
        <v>109</v>
      </c>
      <c r="Z3" s="71"/>
      <c r="AA3" s="29"/>
    </row>
    <row r="4" spans="1:32" ht="12.75" customHeight="1">
      <c r="A4" s="2"/>
      <c r="B4" s="2"/>
      <c r="C4" s="2"/>
      <c r="D4" s="3"/>
      <c r="E4" s="2"/>
      <c r="F4" s="2"/>
      <c r="G4" s="2"/>
      <c r="H4" s="4"/>
      <c r="I4" s="2"/>
      <c r="J4" s="4"/>
      <c r="K4" s="67"/>
      <c r="L4" s="29"/>
      <c r="M4" s="29"/>
      <c r="N4" s="71" t="s">
        <v>49</v>
      </c>
      <c r="O4" s="71" t="s">
        <v>50</v>
      </c>
      <c r="P4" s="71" t="s">
        <v>49</v>
      </c>
      <c r="Q4" s="71"/>
      <c r="R4" s="71" t="s">
        <v>50</v>
      </c>
      <c r="T4" s="71"/>
      <c r="U4" s="71" t="s">
        <v>107</v>
      </c>
      <c r="V4" s="71"/>
      <c r="W4" s="71"/>
      <c r="X4" s="29"/>
      <c r="Y4" s="71" t="s">
        <v>110</v>
      </c>
      <c r="Z4" s="71" t="s">
        <v>50</v>
      </c>
      <c r="AA4" s="71" t="s">
        <v>50</v>
      </c>
    </row>
    <row r="5" spans="1:32" ht="12.75" customHeight="1">
      <c r="A5" s="2"/>
      <c r="B5" s="2"/>
      <c r="C5" s="2"/>
      <c r="D5" s="3"/>
      <c r="E5" s="2"/>
      <c r="F5" s="2"/>
      <c r="G5" s="2"/>
      <c r="H5" s="4"/>
      <c r="I5" s="2"/>
      <c r="J5" s="4"/>
      <c r="K5" s="67"/>
      <c r="L5" s="29"/>
      <c r="M5" s="29"/>
      <c r="N5" s="71" t="s">
        <v>52</v>
      </c>
      <c r="O5" s="71" t="s">
        <v>66</v>
      </c>
      <c r="P5" s="71" t="s">
        <v>53</v>
      </c>
      <c r="Q5" s="71"/>
      <c r="R5" s="71" t="s">
        <v>54</v>
      </c>
      <c r="S5" s="71" t="s">
        <v>84</v>
      </c>
      <c r="T5" s="71" t="s">
        <v>83</v>
      </c>
      <c r="U5" s="71" t="s">
        <v>51</v>
      </c>
      <c r="V5" s="71" t="s">
        <v>55</v>
      </c>
      <c r="W5" s="71"/>
      <c r="X5" s="71" t="s">
        <v>50</v>
      </c>
      <c r="Y5" s="71" t="s">
        <v>111</v>
      </c>
      <c r="Z5" s="71" t="s">
        <v>115</v>
      </c>
      <c r="AA5" s="71" t="s">
        <v>54</v>
      </c>
    </row>
    <row r="6" spans="1:32" ht="12.75" customHeight="1">
      <c r="D6" s="56" t="s">
        <v>88</v>
      </c>
      <c r="F6" s="40" t="s">
        <v>400</v>
      </c>
      <c r="H6" s="40"/>
      <c r="I6" s="2"/>
      <c r="J6" s="5" t="s">
        <v>7</v>
      </c>
      <c r="K6" s="72" t="s">
        <v>56</v>
      </c>
      <c r="L6" s="29"/>
      <c r="M6" s="68" t="s">
        <v>57</v>
      </c>
      <c r="N6" s="68" t="s">
        <v>58</v>
      </c>
      <c r="O6" s="68" t="s">
        <v>59</v>
      </c>
      <c r="P6" s="68" t="s">
        <v>60</v>
      </c>
      <c r="Q6" s="68"/>
      <c r="R6" s="68" t="s">
        <v>61</v>
      </c>
      <c r="S6" s="68" t="s">
        <v>65</v>
      </c>
      <c r="T6" s="68" t="s">
        <v>65</v>
      </c>
      <c r="U6" s="68" t="s">
        <v>108</v>
      </c>
      <c r="V6" s="68" t="s">
        <v>62</v>
      </c>
      <c r="W6" s="68"/>
      <c r="X6" s="68" t="s">
        <v>63</v>
      </c>
      <c r="Y6" s="68" t="s">
        <v>112</v>
      </c>
      <c r="Z6" s="68" t="s">
        <v>116</v>
      </c>
      <c r="AA6" s="68" t="s">
        <v>64</v>
      </c>
      <c r="AC6" s="65" t="s">
        <v>327</v>
      </c>
      <c r="AD6" s="65" t="s">
        <v>328</v>
      </c>
      <c r="AE6" s="65" t="s">
        <v>329</v>
      </c>
      <c r="AF6" s="65" t="s">
        <v>330</v>
      </c>
    </row>
    <row r="7" spans="1:32" ht="12.75" customHeight="1">
      <c r="D7" s="9"/>
      <c r="F7" s="54" t="s">
        <v>6</v>
      </c>
      <c r="H7" s="54" t="s">
        <v>6</v>
      </c>
      <c r="J7" s="73" t="s">
        <v>6</v>
      </c>
      <c r="AC7" s="65"/>
      <c r="AD7" s="65"/>
      <c r="AE7" s="65">
        <v>688296549.60000002</v>
      </c>
      <c r="AF7" s="65">
        <v>5000000000</v>
      </c>
    </row>
    <row r="8" spans="1:32" ht="12.75" customHeight="1">
      <c r="A8" s="8" t="s">
        <v>2</v>
      </c>
      <c r="D8" s="9"/>
      <c r="H8" s="10"/>
      <c r="J8" s="10"/>
      <c r="AC8" s="65"/>
      <c r="AD8" s="65"/>
      <c r="AE8" s="65">
        <v>147152236</v>
      </c>
      <c r="AF8" s="65">
        <v>5000000000</v>
      </c>
    </row>
    <row r="9" spans="1:32" ht="12.75" customHeight="1">
      <c r="A9" s="1" t="s">
        <v>94</v>
      </c>
      <c r="B9" s="13"/>
      <c r="F9" s="60">
        <f>Neraca!F10</f>
        <v>0</v>
      </c>
      <c r="H9" s="12">
        <f>Neraca!H10</f>
        <v>0</v>
      </c>
      <c r="J9" s="41">
        <v>2419112387</v>
      </c>
      <c r="K9" s="1">
        <f>H9-F9</f>
        <v>0</v>
      </c>
      <c r="L9" s="1">
        <f>K9-SUM(M9:AA9)</f>
        <v>0</v>
      </c>
      <c r="AC9" s="65"/>
      <c r="AD9" s="65"/>
      <c r="AE9" s="65">
        <f>'[3]Journal IDR 399'!$G$46</f>
        <v>1961748783.7323604</v>
      </c>
      <c r="AF9" s="65">
        <v>700000000</v>
      </c>
    </row>
    <row r="10" spans="1:32" ht="12.75" customHeight="1">
      <c r="A10" s="13" t="s">
        <v>41</v>
      </c>
      <c r="B10" s="13"/>
      <c r="F10" s="60"/>
      <c r="H10" s="46"/>
      <c r="J10" s="41">
        <v>24877777777</v>
      </c>
      <c r="AC10" s="65"/>
      <c r="AD10" s="65"/>
      <c r="AE10" s="65">
        <f>'Journal IDR 399'!G51</f>
        <v>974320975.87807548</v>
      </c>
      <c r="AF10" s="65">
        <v>2000000000</v>
      </c>
    </row>
    <row r="11" spans="1:32" ht="12.75" customHeight="1">
      <c r="A11" s="13" t="s">
        <v>42</v>
      </c>
      <c r="B11" s="13"/>
      <c r="F11" s="507">
        <f>Neraca!F12</f>
        <v>0</v>
      </c>
      <c r="G11" s="85"/>
      <c r="H11" s="508">
        <f>Neraca!H12</f>
        <v>0</v>
      </c>
      <c r="J11" s="46" t="s">
        <v>5</v>
      </c>
      <c r="M11" s="74"/>
      <c r="AC11" s="65"/>
      <c r="AD11" s="65"/>
      <c r="AE11" s="65"/>
      <c r="AF11" s="65"/>
    </row>
    <row r="12" spans="1:32" ht="12.75" customHeight="1">
      <c r="A12" s="13"/>
      <c r="B12" s="13" t="s">
        <v>89</v>
      </c>
      <c r="F12" s="507"/>
      <c r="G12" s="85"/>
      <c r="H12" s="508"/>
      <c r="J12" s="46"/>
      <c r="K12" s="1">
        <f t="shared" ref="K12:K19" si="0">H12-F12</f>
        <v>0</v>
      </c>
      <c r="L12" s="1">
        <f>SUM(M12:AA12)-K12-K13</f>
        <v>-9095675900.8176804</v>
      </c>
      <c r="M12" s="75">
        <f>-M45-M73</f>
        <v>-167194446.02811664</v>
      </c>
      <c r="S12" s="1">
        <f>-(AC29+AF29)</f>
        <v>-12700000000</v>
      </c>
      <c r="T12" s="1">
        <f>AD29+AE29</f>
        <v>3771518545.2104359</v>
      </c>
      <c r="AC12" s="65"/>
      <c r="AD12" s="65"/>
      <c r="AE12" s="65"/>
      <c r="AF12" s="65"/>
    </row>
    <row r="13" spans="1:32" ht="12.75" customHeight="1">
      <c r="A13" s="13"/>
      <c r="B13" s="13" t="s">
        <v>90</v>
      </c>
      <c r="F13" s="507"/>
      <c r="G13" s="85"/>
      <c r="H13" s="508"/>
      <c r="J13" s="46"/>
      <c r="K13" s="1">
        <f t="shared" si="0"/>
        <v>0</v>
      </c>
      <c r="M13" s="74"/>
      <c r="AC13" s="65"/>
      <c r="AD13" s="65"/>
      <c r="AE13" s="65"/>
      <c r="AF13" s="65"/>
    </row>
    <row r="14" spans="1:32" ht="12.75" customHeight="1">
      <c r="A14" s="13" t="s">
        <v>67</v>
      </c>
      <c r="B14" s="13"/>
      <c r="F14" s="507">
        <f>Neraca!F13</f>
        <v>0</v>
      </c>
      <c r="G14" s="85"/>
      <c r="H14" s="509">
        <f>Neraca!H13</f>
        <v>0</v>
      </c>
      <c r="J14" s="46"/>
      <c r="K14" s="1">
        <f t="shared" si="0"/>
        <v>0</v>
      </c>
      <c r="L14" s="1">
        <f t="shared" ref="L14:L19" si="1">SUM(M14:AA14)-K14</f>
        <v>0</v>
      </c>
      <c r="N14" s="1">
        <f>K14</f>
        <v>0</v>
      </c>
      <c r="O14" s="1">
        <v>0</v>
      </c>
    </row>
    <row r="15" spans="1:32" ht="12.75" customHeight="1">
      <c r="A15" s="13"/>
      <c r="B15" s="13" t="s">
        <v>89</v>
      </c>
      <c r="F15" s="507"/>
      <c r="G15" s="85"/>
      <c r="H15" s="508"/>
      <c r="J15" s="46"/>
      <c r="K15" s="1">
        <f t="shared" si="0"/>
        <v>0</v>
      </c>
      <c r="L15" s="1">
        <f t="shared" si="1"/>
        <v>0</v>
      </c>
      <c r="O15" s="1">
        <f>K15</f>
        <v>0</v>
      </c>
    </row>
    <row r="16" spans="1:32" ht="12.75" customHeight="1">
      <c r="A16" s="13"/>
      <c r="B16" s="13" t="s">
        <v>90</v>
      </c>
      <c r="F16" s="507"/>
      <c r="G16" s="85"/>
      <c r="H16" s="508"/>
      <c r="J16" s="46"/>
      <c r="K16" s="1">
        <f t="shared" si="0"/>
        <v>0</v>
      </c>
      <c r="L16" s="1">
        <f t="shared" si="1"/>
        <v>0</v>
      </c>
      <c r="O16" s="1">
        <f>K16</f>
        <v>0</v>
      </c>
    </row>
    <row r="17" spans="1:32" ht="12.75" customHeight="1">
      <c r="A17" s="13" t="s">
        <v>17</v>
      </c>
      <c r="B17" s="13"/>
      <c r="F17" s="507">
        <f>Neraca!F14</f>
        <v>0</v>
      </c>
      <c r="G17" s="85"/>
      <c r="H17" s="550">
        <f>Neraca!H14</f>
        <v>0</v>
      </c>
      <c r="J17" s="41">
        <v>6199644</v>
      </c>
      <c r="K17" s="1">
        <f t="shared" si="0"/>
        <v>0</v>
      </c>
      <c r="L17" s="1">
        <f t="shared" si="1"/>
        <v>0</v>
      </c>
      <c r="R17" s="1">
        <f>K17</f>
        <v>0</v>
      </c>
    </row>
    <row r="18" spans="1:32" ht="12.75" customHeight="1">
      <c r="A18" s="13" t="s">
        <v>68</v>
      </c>
      <c r="B18" s="13"/>
      <c r="F18" s="507">
        <f>Neraca!F15</f>
        <v>0</v>
      </c>
      <c r="G18" s="85"/>
      <c r="H18" s="508">
        <f>Neraca!H15</f>
        <v>0</v>
      </c>
      <c r="J18" s="41"/>
      <c r="K18" s="1">
        <f t="shared" si="0"/>
        <v>0</v>
      </c>
      <c r="L18" s="1">
        <f t="shared" si="1"/>
        <v>0</v>
      </c>
      <c r="N18" s="1">
        <f>K18</f>
        <v>0</v>
      </c>
    </row>
    <row r="19" spans="1:32" ht="12.75" customHeight="1">
      <c r="A19" s="1" t="s">
        <v>331</v>
      </c>
      <c r="F19" s="507">
        <f>Neraca!F16+Neraca!F17</f>
        <v>0</v>
      </c>
      <c r="G19" s="85"/>
      <c r="H19" s="508">
        <f>Neraca!H16</f>
        <v>0</v>
      </c>
      <c r="J19" s="46"/>
      <c r="K19" s="1">
        <f t="shared" si="0"/>
        <v>0</v>
      </c>
      <c r="L19" s="1">
        <f t="shared" si="1"/>
        <v>0</v>
      </c>
      <c r="N19" s="1">
        <f>K19</f>
        <v>0</v>
      </c>
    </row>
    <row r="20" spans="1:32" ht="12.75" customHeight="1">
      <c r="A20" s="13" t="s">
        <v>40</v>
      </c>
      <c r="B20" s="13"/>
      <c r="F20" s="507"/>
      <c r="G20" s="85"/>
      <c r="H20" s="508"/>
      <c r="J20" s="46"/>
      <c r="N20" s="76"/>
    </row>
    <row r="21" spans="1:32" ht="12.75" customHeight="1">
      <c r="A21" s="13"/>
      <c r="B21" s="13" t="s">
        <v>95</v>
      </c>
      <c r="F21" s="507"/>
      <c r="G21" s="510"/>
      <c r="H21" s="511"/>
      <c r="J21" s="45" t="s">
        <v>5</v>
      </c>
    </row>
    <row r="22" spans="1:32" ht="12.75" customHeight="1">
      <c r="A22" s="13"/>
      <c r="B22" s="13" t="s">
        <v>332</v>
      </c>
      <c r="F22" s="507">
        <f>Neraca!F18</f>
        <v>0</v>
      </c>
      <c r="G22" s="85"/>
      <c r="H22" s="508">
        <f>Neraca!H18</f>
        <v>0</v>
      </c>
      <c r="J22" s="47"/>
      <c r="K22" s="1">
        <f>H22-F22</f>
        <v>0</v>
      </c>
      <c r="L22" s="1">
        <f>SUM(M22:AA22)-K22</f>
        <v>-306157050</v>
      </c>
      <c r="M22" s="1">
        <f>-K84</f>
        <v>0</v>
      </c>
      <c r="U22" s="1">
        <v>0</v>
      </c>
      <c r="V22" s="1">
        <f>-(3750000+1885000+22580000+2400000+9891750+200100430+42350000+12195000+11004870)</f>
        <v>-306157050</v>
      </c>
    </row>
    <row r="23" spans="1:32" ht="12.75" customHeight="1">
      <c r="A23" s="13" t="s">
        <v>122</v>
      </c>
      <c r="D23" s="1"/>
      <c r="F23" s="84">
        <v>0</v>
      </c>
      <c r="G23" s="85"/>
      <c r="H23" s="512">
        <f>Neraca!H17</f>
        <v>0</v>
      </c>
      <c r="J23" s="47"/>
      <c r="K23" s="1">
        <f>H23-F23</f>
        <v>0</v>
      </c>
      <c r="L23" s="1">
        <f>SUM(M23:AA23)-K23</f>
        <v>0</v>
      </c>
      <c r="R23" s="1">
        <f>K23</f>
        <v>0</v>
      </c>
    </row>
    <row r="24" spans="1:32">
      <c r="A24" s="13"/>
      <c r="B24" s="13"/>
      <c r="F24" s="60"/>
      <c r="H24" s="16"/>
      <c r="I24" s="15"/>
      <c r="J24" s="16"/>
    </row>
    <row r="25" spans="1:32" ht="13.5" thickBot="1">
      <c r="A25" s="17" t="s">
        <v>3</v>
      </c>
      <c r="B25" s="13"/>
      <c r="F25" s="62">
        <f>SUM(F9:F22)</f>
        <v>0</v>
      </c>
      <c r="H25" s="18">
        <f>SUM(H9:H23)</f>
        <v>0</v>
      </c>
      <c r="I25" s="15"/>
      <c r="J25" s="18">
        <f>SUM(J9:J21)</f>
        <v>27303089808</v>
      </c>
    </row>
    <row r="26" spans="1:32" ht="12.75" customHeight="1" thickTop="1">
      <c r="A26" s="13"/>
      <c r="B26" s="13"/>
      <c r="F26" s="64"/>
      <c r="H26" s="16"/>
      <c r="I26" s="15"/>
      <c r="J26" s="16"/>
    </row>
    <row r="27" spans="1:32" ht="12.75" customHeight="1">
      <c r="F27" s="60"/>
      <c r="H27" s="16"/>
      <c r="I27" s="19"/>
      <c r="J27" s="16"/>
    </row>
    <row r="28" spans="1:32" ht="12.75" customHeight="1">
      <c r="A28" s="20" t="s">
        <v>8</v>
      </c>
      <c r="F28" s="60"/>
      <c r="H28" s="16"/>
      <c r="I28" s="19"/>
      <c r="J28" s="16"/>
    </row>
    <row r="29" spans="1:32" ht="12.75" customHeight="1">
      <c r="A29" s="20"/>
      <c r="F29" s="60"/>
      <c r="H29" s="16"/>
      <c r="I29" s="19"/>
      <c r="J29" s="16"/>
      <c r="AC29" s="1">
        <f>SUM(AC7:AC28)</f>
        <v>0</v>
      </c>
      <c r="AD29" s="1">
        <f>SUM(AD7:AD28)</f>
        <v>0</v>
      </c>
      <c r="AE29" s="1">
        <f>SUM(AE7:AE28)</f>
        <v>3771518545.2104359</v>
      </c>
      <c r="AF29" s="1">
        <f>SUM(AF7:AF28)</f>
        <v>12700000000</v>
      </c>
    </row>
    <row r="30" spans="1:32" ht="12.75" customHeight="1">
      <c r="A30" s="20" t="s">
        <v>9</v>
      </c>
      <c r="F30" s="60"/>
      <c r="H30" s="16"/>
      <c r="I30" s="19"/>
      <c r="J30" s="16"/>
    </row>
    <row r="31" spans="1:32" ht="12.75" customHeight="1">
      <c r="A31" s="1" t="s">
        <v>24</v>
      </c>
      <c r="D31" s="48"/>
      <c r="F31" s="60">
        <f>Neraca!F26</f>
        <v>0</v>
      </c>
      <c r="H31" s="16">
        <f>Neraca!H26</f>
        <v>0</v>
      </c>
      <c r="I31" s="77"/>
      <c r="J31" s="44">
        <v>135916050</v>
      </c>
      <c r="K31" s="1">
        <f>F31-H31</f>
        <v>0</v>
      </c>
      <c r="L31" s="1">
        <f>SUM(M31:AA31)-K31</f>
        <v>0</v>
      </c>
      <c r="N31" s="1">
        <f>K31</f>
        <v>0</v>
      </c>
    </row>
    <row r="32" spans="1:32" ht="12.75" customHeight="1">
      <c r="A32" s="1" t="s">
        <v>25</v>
      </c>
      <c r="F32" s="60">
        <f>Neraca!F27</f>
        <v>0</v>
      </c>
      <c r="H32" s="16">
        <f>Neraca!H27</f>
        <v>0</v>
      </c>
      <c r="I32" s="77"/>
      <c r="J32" s="47">
        <v>582920950</v>
      </c>
      <c r="K32" s="1">
        <f>F32-H32</f>
        <v>0</v>
      </c>
      <c r="L32" s="1">
        <f>SUM(M32:AA32)-K32</f>
        <v>0</v>
      </c>
      <c r="R32" s="1">
        <f>K32</f>
        <v>0</v>
      </c>
    </row>
    <row r="33" spans="1:27" ht="12.75" customHeight="1">
      <c r="A33" s="1" t="s">
        <v>27</v>
      </c>
      <c r="F33" s="60">
        <f>Neraca!F28</f>
        <v>0</v>
      </c>
      <c r="H33" s="16">
        <f>Neraca!H28</f>
        <v>0</v>
      </c>
      <c r="I33" s="77"/>
      <c r="J33" s="47" t="s">
        <v>5</v>
      </c>
      <c r="K33" s="1">
        <f>F33-H33</f>
        <v>0</v>
      </c>
      <c r="L33" s="1">
        <f>SUM(M33:AA33)-K33</f>
        <v>0</v>
      </c>
      <c r="N33" s="1">
        <f>K33</f>
        <v>0</v>
      </c>
    </row>
    <row r="34" spans="1:27" ht="12.75" customHeight="1">
      <c r="A34" s="1" t="s">
        <v>96</v>
      </c>
      <c r="F34" s="60">
        <f>Neraca!F29</f>
        <v>0</v>
      </c>
      <c r="H34" s="16">
        <f>Neraca!H29</f>
        <v>0</v>
      </c>
      <c r="I34" s="78"/>
      <c r="J34" s="47"/>
      <c r="K34" s="1">
        <f>F34-H34</f>
        <v>0</v>
      </c>
      <c r="L34" s="1">
        <f>SUM(M34:AA34)-K34</f>
        <v>0</v>
      </c>
      <c r="AA34" s="1">
        <f>K34</f>
        <v>0</v>
      </c>
    </row>
    <row r="35" spans="1:27" ht="12.75" customHeight="1">
      <c r="A35" s="1" t="s">
        <v>39</v>
      </c>
      <c r="F35" s="83">
        <f>Neraca!F30</f>
        <v>0</v>
      </c>
      <c r="H35" s="14">
        <f>Neraca!H30</f>
        <v>0</v>
      </c>
      <c r="I35" s="77"/>
      <c r="J35" s="45" t="s">
        <v>5</v>
      </c>
      <c r="K35" s="1">
        <f>F35-H35</f>
        <v>0</v>
      </c>
      <c r="L35" s="1">
        <f>SUM(M35:AA35)-K35</f>
        <v>0</v>
      </c>
      <c r="M35" s="1">
        <f>K35</f>
        <v>0</v>
      </c>
    </row>
    <row r="36" spans="1:27" ht="12.75" customHeight="1">
      <c r="F36" s="60"/>
      <c r="H36" s="16"/>
      <c r="I36" s="15"/>
      <c r="J36" s="44"/>
    </row>
    <row r="37" spans="1:27" ht="12.75" customHeight="1">
      <c r="A37" s="20" t="s">
        <v>26</v>
      </c>
      <c r="F37" s="49">
        <f>SUM(F31:F35)</f>
        <v>0</v>
      </c>
      <c r="H37" s="14">
        <f>SUM(H31:H35)</f>
        <v>0</v>
      </c>
      <c r="I37" s="15"/>
      <c r="J37" s="14">
        <f>SUM(J31:J33)</f>
        <v>718837000</v>
      </c>
    </row>
    <row r="38" spans="1:27" ht="12.75" customHeight="1">
      <c r="F38" s="60"/>
      <c r="H38" s="16"/>
      <c r="I38" s="19"/>
      <c r="J38" s="16"/>
    </row>
    <row r="39" spans="1:27" ht="12.75" customHeight="1">
      <c r="A39" s="17" t="s">
        <v>1</v>
      </c>
      <c r="B39" s="17"/>
      <c r="F39" s="60"/>
      <c r="I39" s="19"/>
    </row>
    <row r="40" spans="1:27" ht="12.75" customHeight="1">
      <c r="A40" s="21" t="s">
        <v>28</v>
      </c>
      <c r="B40" s="21"/>
      <c r="F40" s="60"/>
      <c r="I40" s="19"/>
    </row>
    <row r="41" spans="1:27" ht="12.75" customHeight="1">
      <c r="A41" s="21"/>
      <c r="B41" s="21" t="s">
        <v>29</v>
      </c>
      <c r="F41" s="60"/>
      <c r="I41" s="19"/>
    </row>
    <row r="42" spans="1:27" ht="12.75" customHeight="1">
      <c r="A42" s="21"/>
      <c r="B42" s="21" t="s">
        <v>30</v>
      </c>
      <c r="F42" s="60">
        <f>Neraca!F37</f>
        <v>0</v>
      </c>
      <c r="H42" s="12">
        <f>Neraca!H37</f>
        <v>0</v>
      </c>
      <c r="I42" s="19"/>
      <c r="J42" s="12">
        <v>25000000000</v>
      </c>
      <c r="K42" s="1">
        <f>F42-H42</f>
        <v>0</v>
      </c>
      <c r="L42" s="1">
        <f>SUM(M42:AA42)-K42</f>
        <v>0</v>
      </c>
      <c r="Z42" s="1">
        <f>K42</f>
        <v>0</v>
      </c>
    </row>
    <row r="43" spans="1:27" ht="12.75" customHeight="1">
      <c r="A43" s="21" t="s">
        <v>97</v>
      </c>
      <c r="B43" s="21"/>
      <c r="F43" s="60">
        <f>Neraca!F38</f>
        <v>0</v>
      </c>
      <c r="H43" s="12">
        <f>Neraca!H38</f>
        <v>0</v>
      </c>
      <c r="I43" s="19"/>
      <c r="K43" s="1">
        <f>F43-H43</f>
        <v>0</v>
      </c>
      <c r="L43" s="1">
        <f>SUM(N43:AA43)-K43</f>
        <v>0</v>
      </c>
      <c r="Z43" s="1">
        <f>K43</f>
        <v>0</v>
      </c>
    </row>
    <row r="44" spans="1:27" ht="12.75" customHeight="1">
      <c r="A44" s="21" t="s">
        <v>324</v>
      </c>
      <c r="B44" s="21"/>
      <c r="F44" s="60"/>
      <c r="H44" s="46"/>
      <c r="I44" s="19"/>
    </row>
    <row r="45" spans="1:27" ht="12.75" customHeight="1">
      <c r="A45" s="21"/>
      <c r="B45" s="21" t="s">
        <v>325</v>
      </c>
      <c r="F45" s="60">
        <f>Neraca!F40</f>
        <v>0</v>
      </c>
      <c r="H45" s="12">
        <f>Neraca!H40</f>
        <v>0</v>
      </c>
      <c r="I45" s="19"/>
      <c r="K45" s="1">
        <f>F45-H45</f>
        <v>0</v>
      </c>
      <c r="L45" s="1">
        <f>SUM(M45:AA45)-K45</f>
        <v>0</v>
      </c>
      <c r="M45" s="1">
        <f>K45</f>
        <v>0</v>
      </c>
    </row>
    <row r="46" spans="1:27" ht="12.75" customHeight="1">
      <c r="A46" s="548" t="s">
        <v>681</v>
      </c>
      <c r="B46" s="21"/>
      <c r="F46" s="60">
        <f>Neraca!F41</f>
        <v>0</v>
      </c>
      <c r="H46" s="12">
        <f>Neraca!H42</f>
        <v>0</v>
      </c>
      <c r="I46" s="19"/>
      <c r="K46" s="1">
        <f>F46-H46</f>
        <v>0</v>
      </c>
    </row>
    <row r="47" spans="1:27" ht="12.75" customHeight="1">
      <c r="A47" s="13" t="s">
        <v>31</v>
      </c>
      <c r="F47" s="83">
        <f>F128</f>
        <v>0</v>
      </c>
      <c r="H47" s="12">
        <v>0</v>
      </c>
      <c r="I47" s="19"/>
      <c r="J47" s="22">
        <v>1584252808</v>
      </c>
      <c r="K47" s="1">
        <f>F47-H47</f>
        <v>0</v>
      </c>
      <c r="L47" s="1">
        <f>SUM(M47:AA47)-K47</f>
        <v>0</v>
      </c>
    </row>
    <row r="48" spans="1:27" ht="10.5" customHeight="1">
      <c r="H48" s="23"/>
      <c r="I48" s="19"/>
      <c r="J48" s="23"/>
    </row>
    <row r="49" spans="1:25" ht="14.25" customHeight="1">
      <c r="A49" s="1" t="s">
        <v>333</v>
      </c>
      <c r="F49" s="16">
        <f>SUM(F41:F47)</f>
        <v>0</v>
      </c>
      <c r="G49" s="50"/>
      <c r="H49" s="16">
        <f>SUM(H40:H47)</f>
        <v>0</v>
      </c>
      <c r="I49" s="19"/>
      <c r="J49" s="14">
        <f>SUM(J40:J47)</f>
        <v>26584252808</v>
      </c>
    </row>
    <row r="50" spans="1:25" ht="14.25" customHeight="1">
      <c r="F50" s="16"/>
      <c r="H50" s="16"/>
      <c r="I50" s="19"/>
      <c r="J50" s="16"/>
    </row>
    <row r="51" spans="1:25" ht="14.25" customHeight="1">
      <c r="A51" s="1" t="s">
        <v>334</v>
      </c>
      <c r="F51" s="45" t="s">
        <v>5</v>
      </c>
      <c r="H51" s="14">
        <v>0</v>
      </c>
      <c r="I51" s="19"/>
      <c r="J51" s="16"/>
      <c r="K51" s="1">
        <f>F51-H51</f>
        <v>0</v>
      </c>
      <c r="L51" s="1">
        <f>SUM(M51:AA51)-K51</f>
        <v>0</v>
      </c>
      <c r="Y51" s="1">
        <f>K51</f>
        <v>0</v>
      </c>
    </row>
    <row r="52" spans="1:25">
      <c r="H52" s="16"/>
      <c r="I52" s="19"/>
      <c r="J52" s="16"/>
    </row>
    <row r="53" spans="1:25" ht="17.25" customHeight="1" thickBot="1">
      <c r="A53" s="20" t="s">
        <v>10</v>
      </c>
      <c r="B53" s="17"/>
      <c r="C53" s="17"/>
      <c r="F53" s="14">
        <f>F49</f>
        <v>0</v>
      </c>
      <c r="H53" s="14">
        <f>H51+H49</f>
        <v>0</v>
      </c>
      <c r="I53" s="19"/>
      <c r="J53" s="18">
        <f>J37+J49</f>
        <v>27303089808</v>
      </c>
    </row>
    <row r="54" spans="1:25" ht="12.75" customHeight="1" thickTop="1">
      <c r="H54" s="16"/>
      <c r="J54" s="79"/>
      <c r="M54" s="80"/>
    </row>
    <row r="55" spans="1:25" ht="12.75" customHeight="1" thickBot="1">
      <c r="A55" s="17" t="s">
        <v>11</v>
      </c>
      <c r="F55" s="61">
        <f>F53+F37</f>
        <v>0</v>
      </c>
      <c r="H55" s="18">
        <f>H53+H37</f>
        <v>0</v>
      </c>
      <c r="J55" s="16"/>
    </row>
    <row r="56" spans="1:25" ht="12.75" customHeight="1" thickTop="1">
      <c r="A56" s="17"/>
      <c r="F56" s="50"/>
      <c r="H56" s="16"/>
      <c r="J56" s="16"/>
    </row>
    <row r="57" spans="1:25" ht="12.75" customHeight="1">
      <c r="H57" s="16"/>
      <c r="J57" s="16"/>
    </row>
    <row r="58" spans="1:25" ht="12.75" customHeight="1">
      <c r="H58" s="16"/>
      <c r="J58" s="16"/>
    </row>
    <row r="59" spans="1:25" ht="12.75" customHeight="1">
      <c r="H59" s="16"/>
      <c r="J59" s="16"/>
    </row>
    <row r="60" spans="1:25" ht="12.75" customHeight="1">
      <c r="H60" s="16"/>
      <c r="J60" s="16"/>
    </row>
    <row r="61" spans="1:25" ht="12.75" customHeight="1">
      <c r="A61" s="638"/>
      <c r="B61" s="638"/>
      <c r="C61" s="638"/>
      <c r="D61" s="638"/>
      <c r="E61" s="638"/>
      <c r="F61" s="638"/>
      <c r="G61" s="638"/>
      <c r="H61" s="638"/>
      <c r="J61" s="16"/>
    </row>
    <row r="62" spans="1:25" ht="12.75" customHeight="1">
      <c r="A62" s="638"/>
      <c r="B62" s="638"/>
      <c r="C62" s="638"/>
      <c r="D62" s="638"/>
      <c r="E62" s="638"/>
      <c r="F62" s="638"/>
      <c r="G62" s="638"/>
      <c r="H62" s="638"/>
      <c r="J62" s="16"/>
    </row>
    <row r="63" spans="1:25" ht="12.75" customHeight="1">
      <c r="H63" s="16"/>
      <c r="J63" s="16"/>
    </row>
    <row r="64" spans="1:25" ht="12.75" customHeight="1">
      <c r="B64" s="7"/>
      <c r="C64" s="24"/>
      <c r="D64" s="24"/>
      <c r="E64" s="24"/>
      <c r="F64" s="22">
        <f>F25-F55</f>
        <v>0</v>
      </c>
      <c r="G64" s="24"/>
      <c r="H64" s="22">
        <f>H25-H55</f>
        <v>0</v>
      </c>
      <c r="I64" s="24"/>
      <c r="J64" s="22">
        <f>J25-J53</f>
        <v>0</v>
      </c>
    </row>
    <row r="66" spans="1:24" ht="12.75" customHeight="1">
      <c r="A66" s="7"/>
    </row>
    <row r="67" spans="1:24" ht="12.75" customHeight="1">
      <c r="A67" s="28"/>
      <c r="B67" s="81"/>
      <c r="C67" s="28"/>
      <c r="F67" s="40" t="s">
        <v>400</v>
      </c>
      <c r="H67" s="40"/>
    </row>
    <row r="68" spans="1:24" ht="12.75" customHeight="1">
      <c r="A68" s="28"/>
      <c r="B68" s="30"/>
      <c r="C68" s="28"/>
      <c r="F68" s="6" t="s">
        <v>6</v>
      </c>
      <c r="H68" s="6"/>
    </row>
    <row r="69" spans="1:24" ht="12.75" customHeight="1">
      <c r="A69" s="28"/>
      <c r="B69" s="30"/>
      <c r="C69" s="28"/>
      <c r="F69" s="28"/>
    </row>
    <row r="70" spans="1:24" ht="12.75" customHeight="1">
      <c r="A70" s="32" t="s">
        <v>4</v>
      </c>
      <c r="B70" s="30"/>
      <c r="C70" s="28"/>
      <c r="F70" s="28"/>
    </row>
    <row r="71" spans="1:24" ht="12.75" customHeight="1">
      <c r="A71" s="34" t="s">
        <v>70</v>
      </c>
      <c r="B71" s="30"/>
      <c r="C71" s="28"/>
      <c r="F71" s="28">
        <f>Laba!D12</f>
        <v>0</v>
      </c>
      <c r="K71" s="1">
        <f>F71</f>
        <v>0</v>
      </c>
      <c r="L71" s="1">
        <f>SUM(M71:AA71)-K71</f>
        <v>0</v>
      </c>
      <c r="O71" s="1">
        <f>K71</f>
        <v>0</v>
      </c>
    </row>
    <row r="72" spans="1:24" ht="12.75" customHeight="1">
      <c r="A72" s="34" t="s">
        <v>69</v>
      </c>
      <c r="B72" s="30"/>
      <c r="C72" s="28"/>
      <c r="F72" s="28">
        <f>Laba!D34</f>
        <v>0</v>
      </c>
      <c r="K72" s="1">
        <f>F72</f>
        <v>0</v>
      </c>
      <c r="L72" s="1">
        <f>SUM(M72:AA72)-K72</f>
        <v>0</v>
      </c>
      <c r="X72" s="1">
        <f>K72</f>
        <v>0</v>
      </c>
    </row>
    <row r="73" spans="1:24" ht="12.75" customHeight="1">
      <c r="A73" s="34" t="s">
        <v>98</v>
      </c>
      <c r="B73" s="30"/>
      <c r="C73" s="28"/>
      <c r="F73" s="28">
        <f>Laba!D36</f>
        <v>0</v>
      </c>
      <c r="K73" s="1">
        <f>F73</f>
        <v>0</v>
      </c>
      <c r="L73" s="1">
        <f>SUM(M73:AA73)-K73</f>
        <v>0</v>
      </c>
      <c r="M73" s="1">
        <f>Worksheet!O196+Worksheet!O197</f>
        <v>167194446.02811664</v>
      </c>
      <c r="T73" s="1">
        <f>K73-M73</f>
        <v>-167194446.02811664</v>
      </c>
    </row>
    <row r="74" spans="1:24" ht="12.75" customHeight="1">
      <c r="A74" s="28"/>
      <c r="B74" s="30"/>
      <c r="C74" s="28"/>
      <c r="F74" s="28">
        <v>0</v>
      </c>
      <c r="K74" s="1">
        <f>F74</f>
        <v>0</v>
      </c>
      <c r="L74" s="1">
        <f>SUM(M74:AA74)-K74</f>
        <v>0</v>
      </c>
      <c r="R74" s="1">
        <v>0</v>
      </c>
      <c r="T74" s="1">
        <f>K74-M74</f>
        <v>0</v>
      </c>
    </row>
    <row r="75" spans="1:24" ht="12.75" customHeight="1">
      <c r="A75" s="25" t="s">
        <v>71</v>
      </c>
      <c r="B75" s="30"/>
      <c r="C75" s="28"/>
      <c r="F75" s="51">
        <f>SUM(F71:F74)</f>
        <v>0</v>
      </c>
    </row>
    <row r="76" spans="1:24" ht="12.75" customHeight="1">
      <c r="A76" s="28"/>
      <c r="B76" s="30"/>
      <c r="C76" s="28"/>
      <c r="F76" s="28"/>
    </row>
    <row r="77" spans="1:24" ht="12.75" customHeight="1">
      <c r="A77" s="32" t="s">
        <v>0</v>
      </c>
      <c r="B77" s="33"/>
      <c r="C77" s="19"/>
      <c r="F77" s="19"/>
    </row>
    <row r="78" spans="1:24" ht="12.75" customHeight="1">
      <c r="A78" s="34" t="s">
        <v>72</v>
      </c>
      <c r="B78" s="30"/>
      <c r="C78" s="19"/>
      <c r="F78" s="19">
        <f>Laba!D16</f>
        <v>0</v>
      </c>
      <c r="K78" s="1">
        <f>-F78</f>
        <v>0</v>
      </c>
      <c r="L78" s="1">
        <f t="shared" ref="L78:L85" si="2">SUM(M78:AA78)-K78</f>
        <v>0</v>
      </c>
      <c r="M78" s="1">
        <v>0</v>
      </c>
      <c r="N78" s="1">
        <f>K78</f>
        <v>0</v>
      </c>
    </row>
    <row r="79" spans="1:24" ht="12.75" customHeight="1">
      <c r="A79" s="34" t="s">
        <v>33</v>
      </c>
      <c r="B79" s="30"/>
      <c r="C79" s="19"/>
      <c r="F79" s="19">
        <f>Laba!D17</f>
        <v>0</v>
      </c>
      <c r="K79" s="1">
        <f t="shared" ref="K79:K90" si="3">-F79</f>
        <v>0</v>
      </c>
      <c r="L79" s="1">
        <f t="shared" si="2"/>
        <v>0</v>
      </c>
      <c r="N79" s="1">
        <f>K79</f>
        <v>0</v>
      </c>
    </row>
    <row r="80" spans="1:24" ht="12.75" customHeight="1">
      <c r="A80" s="34" t="s">
        <v>12</v>
      </c>
      <c r="B80" s="30"/>
      <c r="C80" s="19"/>
      <c r="F80" s="19">
        <f>Laba!D18</f>
        <v>0</v>
      </c>
      <c r="K80" s="1">
        <f>-F80</f>
        <v>0</v>
      </c>
      <c r="L80" s="1">
        <f t="shared" si="2"/>
        <v>0</v>
      </c>
      <c r="N80" s="1">
        <f t="shared" ref="N80:N88" si="4">K80</f>
        <v>0</v>
      </c>
    </row>
    <row r="81" spans="1:18" ht="12.75" customHeight="1">
      <c r="A81" s="34" t="s">
        <v>73</v>
      </c>
      <c r="B81" s="30"/>
      <c r="C81" s="19"/>
      <c r="F81" s="19">
        <f>Laba!D19</f>
        <v>0</v>
      </c>
      <c r="K81" s="1">
        <f t="shared" si="3"/>
        <v>0</v>
      </c>
      <c r="L81" s="1">
        <f t="shared" si="2"/>
        <v>0</v>
      </c>
      <c r="N81" s="1">
        <f t="shared" si="4"/>
        <v>0</v>
      </c>
    </row>
    <row r="82" spans="1:18" ht="12.75" customHeight="1">
      <c r="A82" s="34" t="s">
        <v>106</v>
      </c>
      <c r="B82" s="30"/>
      <c r="C82" s="19"/>
      <c r="F82" s="19">
        <f>Laba!D20</f>
        <v>0</v>
      </c>
      <c r="K82" s="1">
        <f t="shared" si="3"/>
        <v>0</v>
      </c>
      <c r="L82" s="1">
        <f t="shared" si="2"/>
        <v>0</v>
      </c>
      <c r="N82" s="1">
        <f t="shared" si="4"/>
        <v>0</v>
      </c>
    </row>
    <row r="83" spans="1:18" ht="12.75" customHeight="1">
      <c r="A83" s="34" t="s">
        <v>323</v>
      </c>
      <c r="B83" s="30"/>
      <c r="C83" s="19"/>
      <c r="F83" s="19">
        <f>Laba!D21</f>
        <v>0</v>
      </c>
      <c r="K83" s="1">
        <f t="shared" si="3"/>
        <v>0</v>
      </c>
      <c r="L83" s="1">
        <f t="shared" si="2"/>
        <v>0</v>
      </c>
      <c r="N83" s="1">
        <f t="shared" si="4"/>
        <v>0</v>
      </c>
    </row>
    <row r="84" spans="1:18" ht="12.75" customHeight="1">
      <c r="A84" s="34" t="s">
        <v>34</v>
      </c>
      <c r="B84" s="30"/>
      <c r="C84" s="19"/>
      <c r="F84" s="19">
        <f>Laba!D22</f>
        <v>0</v>
      </c>
      <c r="K84" s="1">
        <f t="shared" si="3"/>
        <v>0</v>
      </c>
      <c r="L84" s="1">
        <f t="shared" si="2"/>
        <v>0</v>
      </c>
      <c r="M84" s="1">
        <f>K84</f>
        <v>0</v>
      </c>
    </row>
    <row r="85" spans="1:18" ht="12.75" customHeight="1">
      <c r="A85" s="34" t="s">
        <v>105</v>
      </c>
      <c r="B85" s="30"/>
      <c r="C85" s="19"/>
      <c r="F85" s="19">
        <f>Laba!D23</f>
        <v>0</v>
      </c>
      <c r="K85" s="1">
        <f t="shared" si="3"/>
        <v>0</v>
      </c>
      <c r="L85" s="1">
        <f t="shared" si="2"/>
        <v>0</v>
      </c>
      <c r="N85" s="1">
        <f t="shared" si="4"/>
        <v>0</v>
      </c>
    </row>
    <row r="86" spans="1:18" ht="12.75" customHeight="1">
      <c r="A86" s="34" t="s">
        <v>45</v>
      </c>
      <c r="B86" s="30"/>
      <c r="C86" s="19"/>
      <c r="F86" s="19">
        <f>Laba!D24</f>
        <v>0</v>
      </c>
      <c r="K86" s="1">
        <f t="shared" si="3"/>
        <v>0</v>
      </c>
      <c r="L86" s="1">
        <f>K86-SUM(M86:AA86)</f>
        <v>0</v>
      </c>
      <c r="N86" s="1">
        <f t="shared" si="4"/>
        <v>0</v>
      </c>
    </row>
    <row r="87" spans="1:18" ht="12.75" customHeight="1">
      <c r="A87" s="34" t="s">
        <v>32</v>
      </c>
      <c r="B87" s="30"/>
      <c r="C87" s="19"/>
      <c r="F87" s="19">
        <f>Laba!D25</f>
        <v>0</v>
      </c>
      <c r="K87" s="1">
        <f t="shared" si="3"/>
        <v>0</v>
      </c>
      <c r="L87" s="1">
        <f>K87-SUM(M87:AA87)</f>
        <v>0</v>
      </c>
      <c r="N87" s="1">
        <f t="shared" si="4"/>
        <v>0</v>
      </c>
    </row>
    <row r="88" spans="1:18" ht="12.75" customHeight="1">
      <c r="A88" s="34" t="s">
        <v>113</v>
      </c>
      <c r="B88" s="33"/>
      <c r="C88" s="19"/>
      <c r="F88" s="19">
        <f>Laba!D26</f>
        <v>0</v>
      </c>
      <c r="K88" s="1">
        <f t="shared" si="3"/>
        <v>0</v>
      </c>
      <c r="L88" s="1">
        <f>SUM(M88:AA88)-K88</f>
        <v>0</v>
      </c>
      <c r="N88" s="1">
        <f t="shared" si="4"/>
        <v>0</v>
      </c>
    </row>
    <row r="89" spans="1:18" ht="12.75" customHeight="1">
      <c r="A89" s="34" t="s">
        <v>99</v>
      </c>
      <c r="B89" s="33"/>
      <c r="C89" s="19"/>
      <c r="F89" s="46" t="s">
        <v>5</v>
      </c>
      <c r="K89" s="1">
        <f>-F89</f>
        <v>0</v>
      </c>
      <c r="L89" s="1">
        <f>SUM(M89:AA89)-K89</f>
        <v>0</v>
      </c>
      <c r="N89" s="1">
        <v>0</v>
      </c>
    </row>
    <row r="90" spans="1:18" ht="12.75" customHeight="1">
      <c r="A90" s="28" t="s">
        <v>14</v>
      </c>
      <c r="B90" s="33"/>
      <c r="C90" s="19"/>
      <c r="F90" s="52">
        <f>Laba!D27</f>
        <v>0</v>
      </c>
      <c r="K90" s="1">
        <f t="shared" si="3"/>
        <v>0</v>
      </c>
      <c r="L90" s="1">
        <f>SUM(M90:AA90)-K90</f>
        <v>0</v>
      </c>
      <c r="R90" s="1">
        <f>K90</f>
        <v>0</v>
      </c>
    </row>
    <row r="91" spans="1:18" ht="12.75" customHeight="1">
      <c r="A91" s="28"/>
      <c r="B91" s="33"/>
      <c r="C91" s="19"/>
      <c r="F91" s="19"/>
    </row>
    <row r="92" spans="1:18" ht="12.75" customHeight="1">
      <c r="A92" s="32" t="s">
        <v>18</v>
      </c>
      <c r="B92" s="33"/>
      <c r="C92" s="19"/>
      <c r="F92" s="35">
        <f>SUM(F78:F90)</f>
        <v>0</v>
      </c>
    </row>
    <row r="93" spans="1:18" ht="12.75" customHeight="1">
      <c r="A93" s="28"/>
      <c r="B93" s="33"/>
      <c r="C93" s="19"/>
      <c r="F93" s="19"/>
    </row>
    <row r="94" spans="1:18" ht="12.75" customHeight="1">
      <c r="A94" s="31" t="s">
        <v>74</v>
      </c>
      <c r="B94" s="33"/>
      <c r="C94" s="19"/>
      <c r="F94" s="35">
        <f>F75-F92</f>
        <v>0</v>
      </c>
    </row>
    <row r="95" spans="1:18" ht="12.75" customHeight="1">
      <c r="A95" s="28"/>
      <c r="B95" s="30"/>
      <c r="C95" s="19"/>
      <c r="F95" s="19"/>
    </row>
    <row r="96" spans="1:18" ht="12.75" customHeight="1">
      <c r="A96" s="36" t="s">
        <v>13</v>
      </c>
      <c r="B96" s="30"/>
      <c r="C96" s="19"/>
      <c r="F96" s="19"/>
    </row>
    <row r="97" spans="1:24" ht="12.75" customHeight="1">
      <c r="A97" s="37" t="s">
        <v>75</v>
      </c>
      <c r="B97" s="30"/>
      <c r="C97" s="19"/>
      <c r="F97" s="19">
        <f>Laba!D35</f>
        <v>0</v>
      </c>
      <c r="K97" s="1">
        <f>F97</f>
        <v>0</v>
      </c>
      <c r="L97" s="1">
        <f>SUM(M97:AA97)-K97</f>
        <v>0</v>
      </c>
      <c r="X97" s="1">
        <f>K97</f>
        <v>0</v>
      </c>
    </row>
    <row r="98" spans="1:24" ht="12.75" customHeight="1">
      <c r="A98" s="37" t="s">
        <v>92</v>
      </c>
      <c r="B98" s="30"/>
      <c r="C98" s="19"/>
      <c r="F98" s="19">
        <f>Laba!D37</f>
        <v>0</v>
      </c>
      <c r="K98" s="1">
        <f>F98</f>
        <v>0</v>
      </c>
      <c r="L98" s="1">
        <f>SUM(M98:AA98)-K98</f>
        <v>0</v>
      </c>
      <c r="M98" s="60"/>
      <c r="U98" s="1">
        <f>K98</f>
        <v>0</v>
      </c>
    </row>
    <row r="99" spans="1:24" ht="12.75" customHeight="1">
      <c r="A99" s="37" t="s">
        <v>35</v>
      </c>
      <c r="B99" s="33"/>
      <c r="C99" s="19"/>
      <c r="F99" s="19"/>
      <c r="K99" s="1">
        <f>F99</f>
        <v>0</v>
      </c>
      <c r="L99" s="1">
        <f>SUM(M99:AA99)-K99</f>
        <v>0</v>
      </c>
    </row>
    <row r="100" spans="1:24" ht="12.75" customHeight="1">
      <c r="A100" s="37" t="s">
        <v>19</v>
      </c>
      <c r="B100" s="33"/>
      <c r="C100" s="19"/>
      <c r="F100" s="19"/>
    </row>
    <row r="101" spans="1:24" ht="12.75" customHeight="1">
      <c r="A101" s="34" t="s">
        <v>36</v>
      </c>
      <c r="B101" s="30"/>
      <c r="C101" s="19"/>
      <c r="F101" s="52">
        <f>Laba!D40</f>
        <v>0</v>
      </c>
      <c r="K101" s="1">
        <f>F101</f>
        <v>0</v>
      </c>
      <c r="L101" s="1">
        <f>SUM(M101:AA101)-K101</f>
        <v>0</v>
      </c>
      <c r="R101" s="1">
        <f>K101</f>
        <v>0</v>
      </c>
    </row>
    <row r="102" spans="1:24" ht="12.75" customHeight="1">
      <c r="A102" s="34"/>
      <c r="B102" s="30"/>
      <c r="C102" s="19"/>
      <c r="F102" s="19"/>
    </row>
    <row r="103" spans="1:24" ht="12.75" customHeight="1">
      <c r="A103" s="32" t="s">
        <v>93</v>
      </c>
      <c r="B103" s="30"/>
      <c r="C103" s="19"/>
      <c r="F103" s="35">
        <f>SUM(F97:F101)</f>
        <v>0</v>
      </c>
    </row>
    <row r="104" spans="1:24" ht="12.75" customHeight="1">
      <c r="A104" s="34"/>
      <c r="B104" s="38"/>
      <c r="C104" s="15"/>
      <c r="F104" s="19"/>
    </row>
    <row r="105" spans="1:24" ht="12.75" customHeight="1">
      <c r="A105" s="32" t="s">
        <v>77</v>
      </c>
      <c r="B105" s="38"/>
      <c r="C105" s="15"/>
      <c r="F105" s="26">
        <f>F94+F103</f>
        <v>0</v>
      </c>
    </row>
    <row r="106" spans="1:24" ht="12.75" customHeight="1">
      <c r="A106" s="32"/>
      <c r="B106" s="38"/>
      <c r="C106" s="15"/>
      <c r="F106" s="19"/>
    </row>
    <row r="107" spans="1:24" ht="12.75" customHeight="1">
      <c r="A107" s="32" t="s">
        <v>20</v>
      </c>
      <c r="B107" s="38"/>
      <c r="C107" s="15"/>
      <c r="F107" s="53">
        <f>Laba!D46</f>
        <v>0</v>
      </c>
      <c r="K107" s="1">
        <f>F107</f>
        <v>0</v>
      </c>
      <c r="L107" s="1">
        <f>SUM(M107:AA107)-K107</f>
        <v>0</v>
      </c>
      <c r="P107" s="1">
        <f>K107</f>
        <v>0</v>
      </c>
    </row>
    <row r="108" spans="1:24" ht="12.75" customHeight="1">
      <c r="A108" s="28"/>
      <c r="B108" s="38"/>
      <c r="C108" s="15"/>
      <c r="F108" s="19"/>
    </row>
    <row r="109" spans="1:24" ht="12.75" customHeight="1">
      <c r="A109" s="25" t="s">
        <v>78</v>
      </c>
      <c r="B109" s="30"/>
      <c r="C109" s="19"/>
      <c r="F109" s="26">
        <f>SUM(F105:F107)</f>
        <v>0</v>
      </c>
    </row>
    <row r="110" spans="1:24" ht="12.75" customHeight="1">
      <c r="A110" s="25"/>
      <c r="B110" s="30"/>
      <c r="C110" s="19"/>
      <c r="F110" s="15"/>
    </row>
    <row r="111" spans="1:24" ht="12.75" customHeight="1">
      <c r="A111" s="31" t="s">
        <v>86</v>
      </c>
      <c r="B111" s="30"/>
      <c r="C111" s="19"/>
      <c r="F111" s="15"/>
    </row>
    <row r="112" spans="1:24" ht="12.75" customHeight="1">
      <c r="A112" s="55" t="s">
        <v>79</v>
      </c>
      <c r="F112" s="15"/>
    </row>
    <row r="113" spans="1:27" ht="12.75" customHeight="1">
      <c r="A113" s="55" t="s">
        <v>80</v>
      </c>
      <c r="F113" s="15"/>
    </row>
    <row r="114" spans="1:27" ht="12.75" customHeight="1">
      <c r="A114" s="55" t="s">
        <v>114</v>
      </c>
      <c r="F114" s="43">
        <v>0</v>
      </c>
    </row>
    <row r="115" spans="1:27" ht="12.75" customHeight="1">
      <c r="A115" s="55"/>
      <c r="F115" s="42"/>
    </row>
    <row r="116" spans="1:27" ht="12.75" customHeight="1" thickBot="1">
      <c r="A116" s="31" t="s">
        <v>81</v>
      </c>
      <c r="F116" s="39">
        <f>SUM(F109:F114)</f>
        <v>0</v>
      </c>
    </row>
    <row r="117" spans="1:27" ht="12.75" customHeight="1" thickTop="1">
      <c r="A117" s="31"/>
      <c r="F117" s="19"/>
    </row>
    <row r="118" spans="1:27" ht="12.75" customHeight="1">
      <c r="A118" s="57" t="s">
        <v>100</v>
      </c>
      <c r="F118" s="28"/>
    </row>
    <row r="119" spans="1:27" ht="12.75" customHeight="1">
      <c r="A119" s="55" t="s">
        <v>101</v>
      </c>
      <c r="F119" s="63">
        <f>F109</f>
        <v>0</v>
      </c>
    </row>
    <row r="120" spans="1:27" ht="12.75" customHeight="1">
      <c r="A120" s="55" t="s">
        <v>102</v>
      </c>
      <c r="F120" s="59" t="s">
        <v>5</v>
      </c>
    </row>
    <row r="121" spans="1:27" ht="12.75" customHeight="1">
      <c r="A121" s="55"/>
      <c r="F121" s="28"/>
    </row>
    <row r="122" spans="1:27" ht="12.75" customHeight="1" thickBot="1">
      <c r="A122" s="57" t="s">
        <v>103</v>
      </c>
      <c r="D122" s="1"/>
      <c r="F122" s="39">
        <f>SUM(F119:F120)</f>
        <v>0</v>
      </c>
      <c r="H122" s="1"/>
      <c r="J122" s="1"/>
    </row>
    <row r="123" spans="1:27" ht="12.75" customHeight="1" thickTop="1">
      <c r="A123" s="55"/>
      <c r="D123" s="1"/>
      <c r="F123" s="28"/>
      <c r="H123" s="1"/>
      <c r="J123" s="1"/>
    </row>
    <row r="124" spans="1:27" ht="12.75" customHeight="1">
      <c r="A124" s="57" t="s">
        <v>104</v>
      </c>
      <c r="D124" s="1"/>
      <c r="F124" s="28"/>
      <c r="H124" s="1"/>
      <c r="J124" s="1"/>
    </row>
    <row r="125" spans="1:27" ht="12.75" customHeight="1">
      <c r="A125" s="55" t="s">
        <v>101</v>
      </c>
      <c r="D125" s="1"/>
      <c r="F125" s="63">
        <f>F116</f>
        <v>0</v>
      </c>
      <c r="H125" s="1"/>
      <c r="J125" s="1"/>
    </row>
    <row r="126" spans="1:27" ht="12.75" customHeight="1">
      <c r="A126" s="55" t="s">
        <v>102</v>
      </c>
      <c r="F126" s="59" t="s">
        <v>5</v>
      </c>
    </row>
    <row r="127" spans="1:27" ht="12.75" customHeight="1">
      <c r="A127" s="55"/>
      <c r="F127" s="28"/>
    </row>
    <row r="128" spans="1:27" ht="12.75" customHeight="1" thickBot="1">
      <c r="A128" s="57" t="s">
        <v>81</v>
      </c>
      <c r="F128" s="58">
        <f>SUM(F125:F126)</f>
        <v>0</v>
      </c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  <c r="AA128" s="82"/>
    </row>
    <row r="129" spans="11:27" ht="12.75" customHeight="1" thickTop="1"/>
    <row r="130" spans="11:27" ht="12.75" customHeight="1">
      <c r="K130" s="19">
        <f t="shared" ref="K130:AA130" si="5">SUM(K8:K129)</f>
        <v>0</v>
      </c>
      <c r="L130" s="19">
        <f>SUM(L8:L129)</f>
        <v>-9401832950.8176804</v>
      </c>
      <c r="M130" s="19">
        <f t="shared" si="5"/>
        <v>0</v>
      </c>
      <c r="N130" s="19">
        <f t="shared" si="5"/>
        <v>0</v>
      </c>
      <c r="O130" s="19">
        <f t="shared" si="5"/>
        <v>0</v>
      </c>
      <c r="P130" s="19">
        <f>SUM(P8:P129)</f>
        <v>0</v>
      </c>
      <c r="Q130" s="19">
        <f t="shared" si="5"/>
        <v>0</v>
      </c>
      <c r="R130" s="19">
        <f>SUM(R8:R129)</f>
        <v>0</v>
      </c>
      <c r="S130" s="19">
        <f t="shared" si="5"/>
        <v>-12700000000</v>
      </c>
      <c r="T130" s="19">
        <f t="shared" si="5"/>
        <v>3604324099.1823192</v>
      </c>
      <c r="U130" s="19">
        <f t="shared" si="5"/>
        <v>0</v>
      </c>
      <c r="V130" s="19">
        <f t="shared" si="5"/>
        <v>-306157050</v>
      </c>
      <c r="W130" s="19">
        <f t="shared" si="5"/>
        <v>0</v>
      </c>
      <c r="X130" s="19">
        <f t="shared" si="5"/>
        <v>0</v>
      </c>
      <c r="Y130" s="19">
        <f t="shared" si="5"/>
        <v>0</v>
      </c>
      <c r="Z130" s="19">
        <f t="shared" si="5"/>
        <v>0</v>
      </c>
      <c r="AA130" s="19">
        <f t="shared" si="5"/>
        <v>0</v>
      </c>
    </row>
    <row r="132" spans="11:27" ht="12.75" customHeight="1">
      <c r="AA132" s="1">
        <f>SUM(M130:AA130)</f>
        <v>-9401832950.8176804</v>
      </c>
    </row>
    <row r="133" spans="11:27" ht="12.75" customHeight="1">
      <c r="AA133" s="85">
        <f>AA132+L130</f>
        <v>-18803665901.635361</v>
      </c>
    </row>
  </sheetData>
  <mergeCells count="8">
    <mergeCell ref="X2:AA2"/>
    <mergeCell ref="A61:H61"/>
    <mergeCell ref="A1:H1"/>
    <mergeCell ref="A2:H2"/>
    <mergeCell ref="A62:H62"/>
    <mergeCell ref="A3:H3"/>
    <mergeCell ref="N2:P2"/>
    <mergeCell ref="R2:V2"/>
  </mergeCells>
  <printOptions gridLines="1" gridLinesSet="0"/>
  <pageMargins left="0.82677165354330717" right="0.39370078740157483" top="0.55118110236220474" bottom="0.74803149606299213" header="0.19685039370078741" footer="0.51181102362204722"/>
  <pageSetup paperSize="9" scale="84" firstPageNumber="2" orientation="portrait" useFirstPageNumber="1" r:id="rId1"/>
  <headerFooter alignWithMargins="0">
    <oddFooter>&amp;C- 3 -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N19"/>
  <sheetViews>
    <sheetView zoomScale="90" zoomScaleNormal="90" workbookViewId="0">
      <selection activeCell="H8" sqref="H8"/>
    </sheetView>
  </sheetViews>
  <sheetFormatPr defaultRowHeight="12"/>
  <cols>
    <col min="1" max="1" width="12.42578125" style="123" customWidth="1"/>
    <col min="2" max="3" width="9.140625" style="123"/>
    <col min="4" max="4" width="15.7109375" style="131" customWidth="1"/>
    <col min="5" max="5" width="12.42578125" style="131" customWidth="1"/>
    <col min="6" max="7" width="15.7109375" style="132" customWidth="1"/>
    <col min="8" max="8" width="41.42578125" style="131" bestFit="1" customWidth="1"/>
    <col min="9" max="9" width="7.28515625" style="123" customWidth="1"/>
    <col min="10" max="10" width="9.140625" style="123"/>
    <col min="11" max="11" width="17.7109375" style="123" customWidth="1"/>
    <col min="12" max="12" width="22.28515625" style="123" customWidth="1"/>
    <col min="13" max="13" width="9.140625" style="123"/>
    <col min="14" max="14" width="22.140625" style="123" customWidth="1"/>
    <col min="15" max="16384" width="9.140625" style="123"/>
  </cols>
  <sheetData>
    <row r="1" spans="1:14">
      <c r="A1" s="119" t="s">
        <v>347</v>
      </c>
      <c r="B1" s="120"/>
      <c r="C1" s="120"/>
      <c r="D1" s="120"/>
      <c r="E1" s="120"/>
      <c r="F1" s="121"/>
      <c r="G1" s="121"/>
      <c r="H1" s="122"/>
      <c r="I1" s="122"/>
    </row>
    <row r="2" spans="1:14">
      <c r="A2" s="119" t="s">
        <v>344</v>
      </c>
      <c r="B2" s="120"/>
      <c r="C2" s="120"/>
      <c r="D2" s="120"/>
      <c r="E2" s="120"/>
      <c r="F2" s="121"/>
      <c r="G2" s="121"/>
      <c r="H2" s="122"/>
      <c r="I2" s="122"/>
    </row>
    <row r="3" spans="1:14">
      <c r="A3" s="120" t="s">
        <v>343</v>
      </c>
      <c r="B3" s="120"/>
      <c r="C3" s="120"/>
      <c r="D3" s="120"/>
      <c r="E3" s="120"/>
      <c r="F3" s="121"/>
      <c r="G3" s="121"/>
      <c r="H3" s="122"/>
      <c r="I3" s="122"/>
    </row>
    <row r="4" spans="1:14">
      <c r="A4" s="541"/>
      <c r="B4" s="120"/>
      <c r="C4" s="120"/>
      <c r="D4" s="120" t="s">
        <v>148</v>
      </c>
      <c r="E4" s="120" t="s">
        <v>149</v>
      </c>
      <c r="F4" s="121"/>
      <c r="G4" s="121"/>
      <c r="H4" s="122"/>
      <c r="I4" s="122"/>
    </row>
    <row r="5" spans="1:14">
      <c r="A5" s="541"/>
      <c r="B5" s="125"/>
      <c r="C5" s="120"/>
      <c r="D5" s="120"/>
      <c r="E5" s="120"/>
      <c r="F5" s="121"/>
      <c r="G5" s="126"/>
      <c r="H5" s="127"/>
      <c r="I5" s="127"/>
    </row>
    <row r="6" spans="1:14">
      <c r="A6" s="542" t="s">
        <v>869</v>
      </c>
      <c r="B6" s="123" t="s">
        <v>870</v>
      </c>
      <c r="D6" s="122" t="s">
        <v>348</v>
      </c>
      <c r="E6" s="122"/>
      <c r="F6" s="121">
        <v>25000</v>
      </c>
      <c r="G6" s="121"/>
      <c r="H6" s="128" t="s">
        <v>349</v>
      </c>
    </row>
    <row r="7" spans="1:14">
      <c r="A7" s="543" t="s">
        <v>799</v>
      </c>
      <c r="D7" s="122"/>
      <c r="E7" s="122" t="s">
        <v>345</v>
      </c>
      <c r="F7" s="121"/>
      <c r="G7" s="121">
        <f>F6</f>
        <v>25000</v>
      </c>
      <c r="H7" s="128" t="s">
        <v>349</v>
      </c>
      <c r="K7" s="119"/>
    </row>
    <row r="8" spans="1:14">
      <c r="A8" s="543"/>
      <c r="D8" s="131" t="s">
        <v>346</v>
      </c>
      <c r="F8" s="132">
        <f>4611-922</f>
        <v>3689</v>
      </c>
      <c r="H8" s="131" t="s">
        <v>879</v>
      </c>
      <c r="K8" s="528"/>
    </row>
    <row r="9" spans="1:14">
      <c r="A9" s="543"/>
      <c r="E9" s="131" t="s">
        <v>290</v>
      </c>
      <c r="G9" s="132">
        <f>F8</f>
        <v>3689</v>
      </c>
      <c r="H9" s="131" t="s">
        <v>879</v>
      </c>
      <c r="K9" s="530"/>
    </row>
    <row r="10" spans="1:14">
      <c r="A10" s="543"/>
      <c r="K10" s="530"/>
    </row>
    <row r="11" spans="1:14">
      <c r="A11" s="543"/>
      <c r="K11" s="530"/>
    </row>
    <row r="12" spans="1:14" s="524" customFormat="1">
      <c r="A12" s="544"/>
      <c r="F12" s="525"/>
      <c r="G12" s="525"/>
      <c r="K12" s="531"/>
      <c r="L12" s="532"/>
      <c r="M12" s="532"/>
      <c r="N12" s="532"/>
    </row>
    <row r="13" spans="1:14">
      <c r="A13" s="545"/>
      <c r="D13" s="123"/>
      <c r="E13" s="123"/>
      <c r="F13" s="466"/>
      <c r="G13" s="466"/>
      <c r="H13" s="123"/>
      <c r="K13" s="529"/>
      <c r="L13" s="466"/>
      <c r="M13" s="526"/>
      <c r="N13" s="469"/>
    </row>
    <row r="14" spans="1:14">
      <c r="D14" s="123"/>
      <c r="E14" s="123"/>
      <c r="F14" s="466"/>
      <c r="G14" s="466"/>
      <c r="H14" s="123"/>
      <c r="K14" s="529"/>
    </row>
    <row r="15" spans="1:14">
      <c r="F15" s="527"/>
      <c r="G15" s="527"/>
    </row>
    <row r="17" spans="6:14">
      <c r="F17" s="131"/>
      <c r="G17" s="131"/>
    </row>
    <row r="18" spans="6:14">
      <c r="F18" s="131"/>
      <c r="G18" s="131"/>
      <c r="K18" s="529"/>
      <c r="L18" s="466"/>
      <c r="M18" s="526"/>
      <c r="N18" s="469"/>
    </row>
    <row r="19" spans="6:14">
      <c r="F19" s="540"/>
      <c r="G19" s="131"/>
      <c r="K19" s="52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S112"/>
  <sheetViews>
    <sheetView topLeftCell="A94" zoomScale="90" zoomScaleNormal="90" workbookViewId="0">
      <selection activeCell="H111" sqref="H111"/>
    </sheetView>
  </sheetViews>
  <sheetFormatPr defaultRowHeight="12"/>
  <cols>
    <col min="1" max="1" width="10.5703125" style="123" customWidth="1"/>
    <col min="2" max="3" width="9.140625" style="123"/>
    <col min="4" max="4" width="15.7109375" style="131" customWidth="1"/>
    <col min="5" max="5" width="12.42578125" style="131" customWidth="1"/>
    <col min="6" max="6" width="15.7109375" style="132" customWidth="1"/>
    <col min="7" max="7" width="15.7109375" style="129" customWidth="1"/>
    <col min="8" max="8" width="41.42578125" style="123" bestFit="1" customWidth="1"/>
    <col min="9" max="9" width="7.28515625" style="123" customWidth="1"/>
    <col min="10" max="10" width="13.85546875" style="123" bestFit="1" customWidth="1"/>
    <col min="11" max="11" width="15.5703125" style="463" bestFit="1" customWidth="1"/>
    <col min="12" max="12" width="13.42578125" style="463" bestFit="1" customWidth="1"/>
    <col min="13" max="13" width="15.7109375" style="123" bestFit="1" customWidth="1"/>
    <col min="14" max="14" width="15.42578125" style="123" customWidth="1"/>
    <col min="15" max="16" width="13.42578125" style="123" bestFit="1" customWidth="1"/>
    <col min="17" max="17" width="14.5703125" style="123" customWidth="1"/>
    <col min="18" max="19" width="12.7109375" style="123" customWidth="1"/>
    <col min="20" max="16384" width="9.140625" style="123"/>
  </cols>
  <sheetData>
    <row r="1" spans="1:13">
      <c r="A1" s="119" t="s">
        <v>347</v>
      </c>
      <c r="B1" s="120"/>
      <c r="C1" s="120"/>
      <c r="G1" s="121"/>
      <c r="H1" s="122"/>
      <c r="I1" s="122"/>
    </row>
    <row r="2" spans="1:13">
      <c r="A2" s="119" t="s">
        <v>344</v>
      </c>
      <c r="B2" s="120"/>
      <c r="C2" s="120"/>
      <c r="G2" s="121"/>
      <c r="H2" s="122"/>
      <c r="I2" s="122"/>
    </row>
    <row r="3" spans="1:13">
      <c r="A3" s="120" t="s">
        <v>353</v>
      </c>
      <c r="B3" s="120"/>
      <c r="C3" s="120"/>
      <c r="G3" s="121"/>
      <c r="H3" s="122"/>
      <c r="I3" s="122"/>
    </row>
    <row r="4" spans="1:13">
      <c r="A4" s="120"/>
      <c r="B4" s="120"/>
      <c r="C4" s="120"/>
      <c r="D4" s="131" t="s">
        <v>148</v>
      </c>
      <c r="E4" s="131" t="s">
        <v>149</v>
      </c>
      <c r="G4" s="121"/>
      <c r="H4" s="122"/>
      <c r="I4" s="122"/>
    </row>
    <row r="5" spans="1:13">
      <c r="A5" s="552" t="s">
        <v>872</v>
      </c>
      <c r="B5" s="120" t="s">
        <v>870</v>
      </c>
      <c r="C5" s="120"/>
      <c r="D5" s="131" t="s">
        <v>670</v>
      </c>
      <c r="F5" s="132">
        <v>200000000</v>
      </c>
      <c r="G5" s="132"/>
      <c r="H5" s="131" t="s">
        <v>672</v>
      </c>
      <c r="I5" s="122"/>
    </row>
    <row r="6" spans="1:13">
      <c r="A6" s="120"/>
      <c r="B6" s="120"/>
      <c r="C6" s="120"/>
      <c r="E6" s="131" t="s">
        <v>671</v>
      </c>
      <c r="G6" s="132">
        <f>F5</f>
        <v>200000000</v>
      </c>
      <c r="H6" s="131" t="s">
        <v>672</v>
      </c>
      <c r="I6" s="122"/>
    </row>
    <row r="7" spans="1:13">
      <c r="A7" s="120"/>
      <c r="B7" s="120"/>
      <c r="C7" s="120"/>
      <c r="D7" s="527" t="s">
        <v>661</v>
      </c>
      <c r="E7" s="527"/>
      <c r="F7" s="132">
        <v>25000</v>
      </c>
      <c r="G7" s="121"/>
      <c r="H7" s="128" t="s">
        <v>716</v>
      </c>
      <c r="I7" s="122"/>
    </row>
    <row r="8" spans="1:13">
      <c r="C8" s="120"/>
      <c r="D8" s="527"/>
      <c r="E8" s="131" t="s">
        <v>345</v>
      </c>
      <c r="G8" s="121">
        <f>F7</f>
        <v>25000</v>
      </c>
      <c r="H8" s="128" t="s">
        <v>716</v>
      </c>
      <c r="I8" s="122"/>
    </row>
    <row r="9" spans="1:13">
      <c r="C9" s="120"/>
      <c r="I9" s="122"/>
    </row>
    <row r="10" spans="1:13">
      <c r="A10" s="552" t="s">
        <v>880</v>
      </c>
      <c r="B10" s="120" t="s">
        <v>881</v>
      </c>
      <c r="C10" s="120"/>
      <c r="D10" s="131" t="s">
        <v>346</v>
      </c>
      <c r="F10" s="132">
        <v>2410673</v>
      </c>
      <c r="H10" s="123" t="s">
        <v>811</v>
      </c>
      <c r="I10" s="122"/>
    </row>
    <row r="11" spans="1:13">
      <c r="A11" s="120"/>
      <c r="B11" s="120"/>
      <c r="C11" s="120"/>
      <c r="E11" s="131" t="s">
        <v>745</v>
      </c>
      <c r="G11" s="129">
        <f>F10</f>
        <v>2410673</v>
      </c>
      <c r="H11" s="123" t="s">
        <v>811</v>
      </c>
      <c r="I11" s="122"/>
    </row>
    <row r="12" spans="1:13">
      <c r="A12" s="120"/>
      <c r="B12" s="120"/>
      <c r="C12" s="120"/>
      <c r="G12" s="121"/>
      <c r="H12" s="122"/>
      <c r="I12" s="122"/>
    </row>
    <row r="13" spans="1:13">
      <c r="A13" s="552" t="s">
        <v>882</v>
      </c>
      <c r="B13" s="120" t="s">
        <v>883</v>
      </c>
      <c r="C13" s="120"/>
      <c r="D13" s="131" t="s">
        <v>346</v>
      </c>
      <c r="F13" s="132">
        <v>4428206</v>
      </c>
      <c r="H13" s="123" t="s">
        <v>821</v>
      </c>
      <c r="I13" s="122"/>
    </row>
    <row r="14" spans="1:13">
      <c r="A14" s="120"/>
      <c r="B14" s="120"/>
      <c r="C14" s="120"/>
      <c r="E14" s="131" t="s">
        <v>745</v>
      </c>
      <c r="G14" s="129">
        <f>F13</f>
        <v>4428206</v>
      </c>
      <c r="H14" s="123" t="s">
        <v>821</v>
      </c>
      <c r="I14" s="122"/>
    </row>
    <row r="15" spans="1:13">
      <c r="A15" s="120"/>
      <c r="B15" s="120"/>
      <c r="C15" s="120"/>
      <c r="D15" s="123"/>
      <c r="E15" s="123"/>
      <c r="F15" s="123"/>
      <c r="G15" s="123"/>
      <c r="I15" s="122"/>
    </row>
    <row r="16" spans="1:13">
      <c r="A16" s="552" t="s">
        <v>882</v>
      </c>
      <c r="B16" s="120" t="s">
        <v>884</v>
      </c>
      <c r="C16" s="120"/>
      <c r="D16" s="131" t="s">
        <v>346</v>
      </c>
      <c r="F16" s="132">
        <v>9085905</v>
      </c>
      <c r="H16" s="123" t="s">
        <v>820</v>
      </c>
      <c r="I16" s="122"/>
      <c r="M16" s="463"/>
    </row>
    <row r="17" spans="1:13">
      <c r="A17" s="120"/>
      <c r="B17" s="120"/>
      <c r="C17" s="120"/>
      <c r="E17" s="131" t="s">
        <v>745</v>
      </c>
      <c r="G17" s="129">
        <f>F16</f>
        <v>9085905</v>
      </c>
      <c r="H17" s="123" t="s">
        <v>820</v>
      </c>
      <c r="I17" s="122"/>
      <c r="M17" s="463"/>
    </row>
    <row r="18" spans="1:13">
      <c r="A18" s="552"/>
      <c r="B18" s="120"/>
      <c r="C18" s="120"/>
      <c r="D18" s="527"/>
      <c r="E18" s="527"/>
      <c r="G18" s="121"/>
      <c r="H18" s="128"/>
      <c r="I18" s="122"/>
      <c r="M18" s="463"/>
    </row>
    <row r="19" spans="1:13" s="131" customFormat="1">
      <c r="A19" s="552" t="s">
        <v>882</v>
      </c>
      <c r="B19" s="120" t="s">
        <v>885</v>
      </c>
      <c r="C19" s="120"/>
      <c r="D19" s="131" t="s">
        <v>346</v>
      </c>
      <c r="F19" s="132">
        <v>34364</v>
      </c>
      <c r="G19" s="129"/>
      <c r="H19" s="123" t="s">
        <v>795</v>
      </c>
      <c r="I19" s="122"/>
      <c r="K19" s="540"/>
      <c r="L19" s="540"/>
    </row>
    <row r="20" spans="1:13" s="131" customFormat="1">
      <c r="A20" s="120"/>
      <c r="B20" s="120"/>
      <c r="C20" s="120"/>
      <c r="E20" s="131" t="s">
        <v>745</v>
      </c>
      <c r="F20" s="132"/>
      <c r="G20" s="129">
        <f>F19</f>
        <v>34364</v>
      </c>
      <c r="H20" s="123" t="s">
        <v>795</v>
      </c>
      <c r="I20" s="122"/>
      <c r="K20" s="540"/>
      <c r="L20" s="540"/>
    </row>
    <row r="21" spans="1:13" s="131" customFormat="1">
      <c r="A21" s="552"/>
      <c r="B21" s="120"/>
      <c r="C21" s="120"/>
      <c r="F21" s="132"/>
      <c r="G21" s="129"/>
      <c r="H21" s="123"/>
      <c r="I21" s="122"/>
      <c r="K21" s="540"/>
      <c r="L21" s="540"/>
    </row>
    <row r="22" spans="1:13" s="131" customFormat="1">
      <c r="A22" s="552" t="s">
        <v>882</v>
      </c>
      <c r="B22" s="120" t="s">
        <v>886</v>
      </c>
      <c r="C22" s="120"/>
      <c r="D22" s="131" t="s">
        <v>346</v>
      </c>
      <c r="F22" s="132">
        <v>279818</v>
      </c>
      <c r="G22" s="129"/>
      <c r="H22" s="123" t="s">
        <v>819</v>
      </c>
      <c r="I22" s="122"/>
      <c r="K22" s="540"/>
      <c r="L22" s="540"/>
    </row>
    <row r="23" spans="1:13" s="131" customFormat="1">
      <c r="A23" s="120"/>
      <c r="C23" s="120"/>
      <c r="E23" s="131" t="s">
        <v>745</v>
      </c>
      <c r="F23" s="132"/>
      <c r="G23" s="129">
        <f>F22</f>
        <v>279818</v>
      </c>
      <c r="H23" s="123" t="s">
        <v>819</v>
      </c>
      <c r="I23" s="122"/>
      <c r="K23" s="540"/>
      <c r="L23" s="540"/>
    </row>
    <row r="24" spans="1:13" s="131" customFormat="1">
      <c r="A24" s="120"/>
      <c r="C24" s="120"/>
      <c r="F24" s="132"/>
      <c r="G24" s="129"/>
      <c r="I24" s="122"/>
      <c r="K24" s="540"/>
      <c r="L24" s="540"/>
    </row>
    <row r="25" spans="1:13" s="131" customFormat="1">
      <c r="A25" s="552" t="s">
        <v>887</v>
      </c>
      <c r="B25" s="120" t="s">
        <v>888</v>
      </c>
      <c r="C25" s="120"/>
      <c r="D25" s="131" t="s">
        <v>670</v>
      </c>
      <c r="F25" s="132">
        <v>100000000</v>
      </c>
      <c r="G25" s="132"/>
      <c r="H25" s="131" t="s">
        <v>672</v>
      </c>
      <c r="I25" s="122"/>
      <c r="K25" s="540"/>
      <c r="L25" s="540"/>
    </row>
    <row r="26" spans="1:13" s="131" customFormat="1">
      <c r="A26" s="120"/>
      <c r="C26" s="120"/>
      <c r="E26" s="131" t="s">
        <v>671</v>
      </c>
      <c r="F26" s="132"/>
      <c r="G26" s="132">
        <f>F25</f>
        <v>100000000</v>
      </c>
      <c r="H26" s="131" t="s">
        <v>672</v>
      </c>
      <c r="I26" s="122"/>
      <c r="K26" s="540"/>
      <c r="L26" s="540"/>
    </row>
    <row r="27" spans="1:13" s="131" customFormat="1">
      <c r="A27" s="120"/>
      <c r="C27" s="120"/>
      <c r="D27" s="527" t="s">
        <v>661</v>
      </c>
      <c r="E27" s="527"/>
      <c r="F27" s="132">
        <v>5000</v>
      </c>
      <c r="G27" s="121"/>
      <c r="H27" s="128" t="s">
        <v>716</v>
      </c>
      <c r="I27" s="122"/>
      <c r="K27" s="540"/>
      <c r="L27" s="540"/>
    </row>
    <row r="28" spans="1:13" s="131" customFormat="1">
      <c r="A28" s="120"/>
      <c r="C28" s="120"/>
      <c r="D28" s="527"/>
      <c r="E28" s="131" t="s">
        <v>345</v>
      </c>
      <c r="F28" s="132"/>
      <c r="G28" s="121">
        <f>F27</f>
        <v>5000</v>
      </c>
      <c r="H28" s="128" t="s">
        <v>716</v>
      </c>
      <c r="I28" s="122"/>
      <c r="K28" s="540"/>
      <c r="L28" s="540"/>
    </row>
    <row r="29" spans="1:13" s="591" customFormat="1">
      <c r="A29" s="590"/>
      <c r="C29" s="590"/>
      <c r="D29" s="608"/>
      <c r="F29" s="596"/>
      <c r="G29" s="598"/>
      <c r="H29" s="609"/>
      <c r="I29" s="597"/>
      <c r="K29" s="610"/>
      <c r="L29" s="610"/>
    </row>
    <row r="30" spans="1:13" s="131" customFormat="1">
      <c r="A30" s="552" t="s">
        <v>1064</v>
      </c>
      <c r="B30" s="120" t="s">
        <v>1065</v>
      </c>
      <c r="C30" s="120"/>
      <c r="D30" s="131" t="s">
        <v>670</v>
      </c>
      <c r="F30" s="132">
        <v>550000000</v>
      </c>
      <c r="G30" s="132"/>
      <c r="H30" s="131" t="s">
        <v>672</v>
      </c>
      <c r="I30" s="122"/>
      <c r="K30" s="540"/>
      <c r="L30" s="540"/>
    </row>
    <row r="31" spans="1:13" s="131" customFormat="1">
      <c r="A31" s="120"/>
      <c r="C31" s="120"/>
      <c r="E31" s="131" t="s">
        <v>671</v>
      </c>
      <c r="F31" s="132"/>
      <c r="G31" s="132">
        <f>F30</f>
        <v>550000000</v>
      </c>
      <c r="H31" s="131" t="s">
        <v>672</v>
      </c>
      <c r="I31" s="122"/>
      <c r="K31" s="540"/>
      <c r="L31" s="540"/>
    </row>
    <row r="32" spans="1:13" s="131" customFormat="1">
      <c r="A32" s="120"/>
      <c r="C32" s="120"/>
      <c r="D32" s="527" t="s">
        <v>661</v>
      </c>
      <c r="E32" s="527"/>
      <c r="F32" s="132">
        <v>25000</v>
      </c>
      <c r="G32" s="121"/>
      <c r="H32" s="128" t="s">
        <v>716</v>
      </c>
      <c r="I32" s="122"/>
      <c r="K32" s="540"/>
      <c r="L32" s="540"/>
    </row>
    <row r="33" spans="1:19" s="131" customFormat="1">
      <c r="A33" s="120"/>
      <c r="C33" s="120"/>
      <c r="D33" s="527"/>
      <c r="E33" s="131" t="s">
        <v>345</v>
      </c>
      <c r="F33" s="132"/>
      <c r="G33" s="121">
        <f>F32</f>
        <v>25000</v>
      </c>
      <c r="H33" s="128" t="s">
        <v>716</v>
      </c>
      <c r="I33" s="122"/>
      <c r="K33" s="540"/>
      <c r="L33" s="540"/>
    </row>
    <row r="34" spans="1:19" s="131" customFormat="1">
      <c r="A34" s="120"/>
      <c r="C34" s="120"/>
      <c r="D34" s="527"/>
      <c r="F34" s="132"/>
      <c r="G34" s="121"/>
      <c r="H34" s="128"/>
      <c r="I34" s="122"/>
      <c r="K34" s="540"/>
      <c r="L34" s="540"/>
    </row>
    <row r="35" spans="1:19" s="131" customFormat="1">
      <c r="A35" s="552" t="s">
        <v>1064</v>
      </c>
      <c r="B35" s="120" t="s">
        <v>1066</v>
      </c>
      <c r="C35" s="120"/>
      <c r="D35" s="122" t="s">
        <v>348</v>
      </c>
      <c r="E35" s="122"/>
      <c r="F35" s="121">
        <v>25000</v>
      </c>
      <c r="G35" s="121"/>
      <c r="H35" s="128" t="s">
        <v>349</v>
      </c>
      <c r="I35" s="122"/>
      <c r="K35" s="540"/>
      <c r="L35" s="540"/>
    </row>
    <row r="36" spans="1:19" s="131" customFormat="1">
      <c r="A36" s="552"/>
      <c r="B36" s="120"/>
      <c r="C36" s="120"/>
      <c r="D36" s="122"/>
      <c r="E36" s="122" t="s">
        <v>345</v>
      </c>
      <c r="F36" s="121"/>
      <c r="G36" s="121">
        <f>F35</f>
        <v>25000</v>
      </c>
      <c r="H36" s="128" t="s">
        <v>349</v>
      </c>
      <c r="I36" s="122"/>
      <c r="K36" s="540"/>
      <c r="L36" s="540"/>
    </row>
    <row r="37" spans="1:19" s="131" customFormat="1">
      <c r="A37" s="552"/>
      <c r="B37" s="120"/>
      <c r="C37" s="120"/>
      <c r="D37" s="131" t="s">
        <v>346</v>
      </c>
      <c r="F37" s="132">
        <f>571359-114272</f>
        <v>457087</v>
      </c>
      <c r="G37" s="132"/>
      <c r="H37" s="131" t="s">
        <v>1067</v>
      </c>
      <c r="I37" s="122"/>
      <c r="K37" s="540"/>
      <c r="L37" s="540"/>
    </row>
    <row r="38" spans="1:19" s="131" customFormat="1">
      <c r="A38" s="552"/>
      <c r="B38" s="120"/>
      <c r="C38" s="120"/>
      <c r="E38" s="131" t="s">
        <v>290</v>
      </c>
      <c r="F38" s="132"/>
      <c r="G38" s="132">
        <f>F37</f>
        <v>457087</v>
      </c>
      <c r="H38" s="131" t="s">
        <v>1067</v>
      </c>
      <c r="I38" s="122"/>
      <c r="K38" s="540"/>
      <c r="L38" s="540"/>
    </row>
    <row r="39" spans="1:19" s="591" customFormat="1">
      <c r="A39" s="590"/>
      <c r="C39" s="590"/>
      <c r="F39" s="596"/>
      <c r="G39" s="596"/>
      <c r="I39" s="597"/>
      <c r="K39" s="610"/>
      <c r="L39" s="610"/>
    </row>
    <row r="40" spans="1:19" s="131" customFormat="1">
      <c r="A40" s="120"/>
      <c r="C40" s="120"/>
      <c r="D40" s="527"/>
      <c r="F40" s="132"/>
      <c r="G40" s="121"/>
      <c r="H40" s="128"/>
      <c r="I40" s="122"/>
      <c r="K40" s="540"/>
      <c r="L40" s="540"/>
    </row>
    <row r="41" spans="1:19" s="131" customFormat="1">
      <c r="A41" s="552" t="s">
        <v>1093</v>
      </c>
      <c r="B41" s="120" t="s">
        <v>1094</v>
      </c>
      <c r="C41" s="120"/>
      <c r="D41" s="131" t="s">
        <v>840</v>
      </c>
      <c r="F41" s="555">
        <v>1000000000</v>
      </c>
      <c r="G41" s="560"/>
      <c r="H41" s="123" t="s">
        <v>1095</v>
      </c>
      <c r="I41" s="122"/>
      <c r="J41" s="131" t="s">
        <v>828</v>
      </c>
      <c r="L41" s="599"/>
    </row>
    <row r="42" spans="1:19" s="131" customFormat="1">
      <c r="A42" s="120"/>
      <c r="C42" s="120"/>
      <c r="D42" s="131" t="s">
        <v>841</v>
      </c>
      <c r="F42" s="555">
        <f>R46</f>
        <v>26151497.971883371</v>
      </c>
      <c r="G42" s="560" t="s">
        <v>21</v>
      </c>
      <c r="H42" s="123" t="s">
        <v>845</v>
      </c>
      <c r="I42" s="122"/>
      <c r="J42" s="600" t="s">
        <v>1096</v>
      </c>
      <c r="L42" s="599"/>
    </row>
    <row r="43" spans="1:19" s="131" customFormat="1">
      <c r="A43" s="120"/>
      <c r="C43" s="120"/>
      <c r="E43" s="131" t="s">
        <v>842</v>
      </c>
      <c r="F43" s="555"/>
      <c r="G43" s="560">
        <f>F42</f>
        <v>26151497.971883371</v>
      </c>
      <c r="H43" s="123" t="s">
        <v>845</v>
      </c>
      <c r="I43" s="122"/>
      <c r="J43" s="131" t="s">
        <v>829</v>
      </c>
      <c r="L43" s="599"/>
    </row>
    <row r="44" spans="1:19" s="131" customFormat="1">
      <c r="A44" s="120"/>
      <c r="C44" s="120"/>
      <c r="E44" s="131" t="s">
        <v>843</v>
      </c>
      <c r="F44" s="555"/>
      <c r="G44" s="560">
        <f>F41</f>
        <v>1000000000</v>
      </c>
      <c r="H44" s="123" t="s">
        <v>1095</v>
      </c>
      <c r="I44" s="122"/>
      <c r="J44" s="120"/>
      <c r="K44" s="601" t="s">
        <v>830</v>
      </c>
      <c r="L44" s="602" t="s">
        <v>831</v>
      </c>
      <c r="M44" s="602" t="s">
        <v>832</v>
      </c>
      <c r="N44" s="603" t="s">
        <v>1098</v>
      </c>
      <c r="O44" s="604" t="s">
        <v>833</v>
      </c>
      <c r="P44" s="604" t="s">
        <v>834</v>
      </c>
      <c r="Q44" s="604" t="s">
        <v>835</v>
      </c>
      <c r="R44" s="604" t="s">
        <v>836</v>
      </c>
      <c r="S44" s="604" t="s">
        <v>836</v>
      </c>
    </row>
    <row r="45" spans="1:19" s="131" customFormat="1">
      <c r="A45" s="120"/>
      <c r="C45" s="120"/>
      <c r="F45" s="555"/>
      <c r="G45" s="560"/>
      <c r="H45" s="123"/>
      <c r="I45" s="122"/>
      <c r="J45" s="120" t="s">
        <v>837</v>
      </c>
      <c r="K45" s="605">
        <v>3733833.3783000004</v>
      </c>
      <c r="L45" s="605">
        <v>1001.1832000000001</v>
      </c>
      <c r="M45" s="605">
        <v>1027.0847000000001</v>
      </c>
      <c r="N45" s="605">
        <v>1027.5702000000001</v>
      </c>
      <c r="O45" s="561">
        <f>K45*L45</f>
        <v>3738251249.9532051</v>
      </c>
      <c r="P45" s="561">
        <f>K45*N45</f>
        <v>3836775911.3064075</v>
      </c>
      <c r="Q45" s="561"/>
      <c r="R45" s="561">
        <f>P45-O45</f>
        <v>98524661.353202343</v>
      </c>
      <c r="S45" s="561"/>
    </row>
    <row r="46" spans="1:19" s="131" customFormat="1">
      <c r="A46" s="552" t="s">
        <v>1099</v>
      </c>
      <c r="B46" s="120" t="s">
        <v>1101</v>
      </c>
      <c r="C46" s="120"/>
      <c r="D46" s="131" t="s">
        <v>843</v>
      </c>
      <c r="F46" s="555">
        <f>G44</f>
        <v>1000000000</v>
      </c>
      <c r="G46" s="560"/>
      <c r="H46" s="123" t="s">
        <v>1095</v>
      </c>
      <c r="I46" s="122"/>
      <c r="J46" s="120" t="s">
        <v>1097</v>
      </c>
      <c r="K46" s="605">
        <v>-973169.52170000004</v>
      </c>
      <c r="L46" s="605">
        <v>1001.1832000000001</v>
      </c>
      <c r="M46" s="605">
        <v>1027.0847000000001</v>
      </c>
      <c r="N46" s="605">
        <v>1027.5702000000001</v>
      </c>
      <c r="O46" s="561">
        <f>K46*L46</f>
        <v>-974320975.87807548</v>
      </c>
      <c r="P46" s="561">
        <f>K46*N46</f>
        <v>-1000000000.0471735</v>
      </c>
      <c r="Q46" s="561">
        <f>P46-O46</f>
        <v>-25679024.16909802</v>
      </c>
      <c r="R46" s="606">
        <f>(-K46*(N46-M46))-Q46</f>
        <v>26151497.971883371</v>
      </c>
      <c r="S46" s="561">
        <f>R45</f>
        <v>98524661.353202343</v>
      </c>
    </row>
    <row r="47" spans="1:19" s="131" customFormat="1">
      <c r="A47" s="120"/>
      <c r="C47" s="120"/>
      <c r="E47" s="131" t="s">
        <v>840</v>
      </c>
      <c r="F47" s="555"/>
      <c r="G47" s="560">
        <f>F46</f>
        <v>1000000000</v>
      </c>
      <c r="H47" s="123" t="s">
        <v>1095</v>
      </c>
      <c r="I47" s="122"/>
      <c r="J47" s="120"/>
      <c r="K47" s="605"/>
      <c r="L47" s="605"/>
      <c r="M47" s="605"/>
      <c r="N47" s="605"/>
      <c r="O47" s="561"/>
      <c r="P47" s="561"/>
      <c r="Q47" s="561"/>
      <c r="R47" s="561">
        <v>0</v>
      </c>
      <c r="S47" s="561">
        <f>S46</f>
        <v>98524661.353202343</v>
      </c>
    </row>
    <row r="48" spans="1:19" s="131" customFormat="1">
      <c r="A48" s="120"/>
      <c r="C48" s="120"/>
      <c r="D48" s="561" t="s">
        <v>847</v>
      </c>
      <c r="F48" s="555">
        <v>999990000</v>
      </c>
      <c r="G48" s="556"/>
      <c r="H48" s="123" t="s">
        <v>1095</v>
      </c>
      <c r="I48" s="122"/>
      <c r="J48" s="120"/>
      <c r="K48" s="605">
        <f>SUM(K45:K47)</f>
        <v>2760663.8566000005</v>
      </c>
      <c r="L48" s="605">
        <v>1001.1832000000001</v>
      </c>
      <c r="M48" s="605"/>
      <c r="N48" s="605">
        <v>1017.0035</v>
      </c>
      <c r="O48" s="561">
        <f>K48*L48</f>
        <v>2763930274.07513</v>
      </c>
      <c r="P48" s="561">
        <f>K48*N48</f>
        <v>2807604804.4856987</v>
      </c>
      <c r="Q48" s="561"/>
      <c r="R48" s="561">
        <f>O48-P48</f>
        <v>-43674530.410568714</v>
      </c>
      <c r="S48" s="561">
        <f>S47+R48</f>
        <v>54850130.942633629</v>
      </c>
    </row>
    <row r="49" spans="1:19" s="131" customFormat="1">
      <c r="A49" s="120"/>
      <c r="C49" s="120"/>
      <c r="D49" s="131" t="s">
        <v>848</v>
      </c>
      <c r="F49" s="555">
        <v>10000</v>
      </c>
      <c r="G49" s="560"/>
      <c r="H49" s="128" t="s">
        <v>661</v>
      </c>
      <c r="I49" s="122"/>
      <c r="J49" s="120"/>
      <c r="K49" s="120"/>
      <c r="L49" s="562"/>
      <c r="M49" s="562"/>
      <c r="N49" s="607"/>
      <c r="O49" s="561"/>
      <c r="P49" s="561"/>
      <c r="Q49" s="561"/>
      <c r="R49" s="561">
        <f>K46*(N46-M46)</f>
        <v>-472473.80278535181</v>
      </c>
      <c r="S49" s="561"/>
    </row>
    <row r="50" spans="1:19" s="131" customFormat="1">
      <c r="A50" s="120"/>
      <c r="C50" s="120"/>
      <c r="E50" s="131" t="s">
        <v>844</v>
      </c>
      <c r="F50" s="555"/>
      <c r="G50" s="560">
        <f>-Q46</f>
        <v>25679024.16909802</v>
      </c>
      <c r="H50" s="128" t="s">
        <v>846</v>
      </c>
      <c r="I50" s="122"/>
      <c r="K50" s="540"/>
      <c r="L50" s="540"/>
    </row>
    <row r="51" spans="1:19" s="131" customFormat="1">
      <c r="A51" s="120"/>
      <c r="C51" s="120"/>
      <c r="D51" s="527"/>
      <c r="E51" s="131" t="s">
        <v>837</v>
      </c>
      <c r="F51" s="555"/>
      <c r="G51" s="560">
        <f>973169.5217*1001.1832</f>
        <v>974320975.87807548</v>
      </c>
      <c r="H51" s="123" t="s">
        <v>1095</v>
      </c>
      <c r="I51" s="122"/>
      <c r="K51" s="540"/>
      <c r="L51" s="540"/>
    </row>
    <row r="52" spans="1:19" s="131" customFormat="1">
      <c r="A52" s="120"/>
      <c r="C52" s="120"/>
      <c r="D52" s="527"/>
      <c r="F52" s="132"/>
      <c r="G52" s="121"/>
      <c r="H52" s="128"/>
      <c r="I52" s="122"/>
      <c r="K52" s="540"/>
      <c r="L52" s="540"/>
      <c r="R52" s="611"/>
    </row>
    <row r="53" spans="1:19" s="591" customFormat="1">
      <c r="A53" s="590"/>
      <c r="C53" s="590"/>
      <c r="D53" s="608"/>
      <c r="F53" s="596"/>
      <c r="G53" s="598"/>
      <c r="H53" s="609"/>
      <c r="I53" s="597"/>
      <c r="K53" s="610"/>
      <c r="L53" s="610"/>
    </row>
    <row r="54" spans="1:19" s="131" customFormat="1">
      <c r="I54" s="122"/>
      <c r="K54" s="540"/>
      <c r="L54" s="540"/>
    </row>
    <row r="55" spans="1:19" s="131" customFormat="1">
      <c r="A55" s="616" t="s">
        <v>872</v>
      </c>
      <c r="B55" s="131" t="s">
        <v>725</v>
      </c>
      <c r="D55" s="131" t="s">
        <v>733</v>
      </c>
      <c r="F55" s="527">
        <f>409482</f>
        <v>409482</v>
      </c>
      <c r="G55" s="527"/>
      <c r="H55" s="131" t="s">
        <v>889</v>
      </c>
      <c r="I55" s="122"/>
      <c r="K55" s="540"/>
      <c r="L55" s="540"/>
    </row>
    <row r="56" spans="1:19" s="131" customFormat="1">
      <c r="E56" s="131" t="s">
        <v>644</v>
      </c>
      <c r="F56" s="527"/>
      <c r="G56" s="527">
        <f>F55</f>
        <v>409482</v>
      </c>
      <c r="H56" s="131" t="s">
        <v>889</v>
      </c>
      <c r="I56" s="122"/>
      <c r="K56" s="540"/>
      <c r="L56" s="540"/>
    </row>
    <row r="57" spans="1:19" s="131" customFormat="1">
      <c r="I57" s="122"/>
      <c r="K57" s="540"/>
      <c r="L57" s="540"/>
    </row>
    <row r="58" spans="1:19" s="131" customFormat="1">
      <c r="A58" s="616" t="s">
        <v>996</v>
      </c>
      <c r="B58" s="131" t="s">
        <v>726</v>
      </c>
      <c r="D58" s="131" t="s">
        <v>733</v>
      </c>
      <c r="F58" s="527">
        <v>460000</v>
      </c>
      <c r="G58" s="527"/>
      <c r="H58" s="131" t="s">
        <v>1105</v>
      </c>
      <c r="I58" s="122"/>
      <c r="K58" s="540"/>
      <c r="L58" s="540"/>
    </row>
    <row r="59" spans="1:19" s="131" customFormat="1">
      <c r="E59" s="131" t="s">
        <v>644</v>
      </c>
      <c r="F59" s="527"/>
      <c r="G59" s="527">
        <f>F58</f>
        <v>460000</v>
      </c>
      <c r="H59" s="131" t="s">
        <v>1105</v>
      </c>
      <c r="I59" s="122"/>
      <c r="K59" s="540"/>
      <c r="L59" s="540"/>
    </row>
    <row r="60" spans="1:19" s="131" customFormat="1">
      <c r="I60" s="122"/>
      <c r="K60" s="540"/>
      <c r="L60" s="540"/>
    </row>
    <row r="61" spans="1:19" s="131" customFormat="1">
      <c r="A61" s="616" t="s">
        <v>1100</v>
      </c>
      <c r="B61" s="131" t="s">
        <v>744</v>
      </c>
      <c r="D61" s="131" t="s">
        <v>733</v>
      </c>
      <c r="F61" s="527">
        <v>583263</v>
      </c>
      <c r="G61" s="527"/>
      <c r="H61" s="131" t="s">
        <v>1106</v>
      </c>
      <c r="I61" s="122"/>
      <c r="K61" s="540"/>
      <c r="L61" s="540"/>
    </row>
    <row r="62" spans="1:19" s="131" customFormat="1">
      <c r="E62" s="131" t="s">
        <v>644</v>
      </c>
      <c r="F62" s="527"/>
      <c r="G62" s="527">
        <f>F61</f>
        <v>583263</v>
      </c>
      <c r="H62" s="131" t="s">
        <v>1106</v>
      </c>
      <c r="I62" s="122"/>
      <c r="K62" s="540"/>
      <c r="L62" s="540"/>
    </row>
    <row r="63" spans="1:19" s="131" customFormat="1">
      <c r="I63" s="122"/>
      <c r="K63" s="540"/>
      <c r="L63" s="540"/>
    </row>
    <row r="64" spans="1:19" s="131" customFormat="1" ht="12.75">
      <c r="A64" s="616" t="s">
        <v>860</v>
      </c>
      <c r="B64" s="131" t="s">
        <v>748</v>
      </c>
      <c r="D64" s="131" t="s">
        <v>405</v>
      </c>
      <c r="F64" s="132">
        <v>55334426</v>
      </c>
      <c r="G64" s="132"/>
      <c r="H64" s="131" t="s">
        <v>1083</v>
      </c>
      <c r="J64" s="617"/>
      <c r="K64" s="618"/>
      <c r="L64" s="619"/>
      <c r="M64" s="619"/>
      <c r="N64" s="618"/>
    </row>
    <row r="65" spans="1:14" s="131" customFormat="1" ht="12.75">
      <c r="E65" s="131" t="s">
        <v>448</v>
      </c>
      <c r="G65" s="620">
        <f>SUM(F64:F64)</f>
        <v>55334426</v>
      </c>
      <c r="H65" s="131" t="s">
        <v>1083</v>
      </c>
      <c r="J65" s="622"/>
      <c r="K65" s="618"/>
      <c r="L65" s="619"/>
      <c r="M65" s="619"/>
      <c r="N65" s="618"/>
    </row>
    <row r="66" spans="1:14" s="131" customFormat="1">
      <c r="F66" s="132"/>
      <c r="G66" s="132"/>
      <c r="J66" s="611"/>
      <c r="K66" s="540"/>
      <c r="L66" s="540"/>
    </row>
    <row r="67" spans="1:14" s="131" customFormat="1">
      <c r="A67" s="616" t="s">
        <v>860</v>
      </c>
      <c r="B67" s="131" t="s">
        <v>563</v>
      </c>
      <c r="D67" s="131" t="s">
        <v>393</v>
      </c>
      <c r="F67" s="132">
        <f>'LIst Asset'!R74</f>
        <v>8571349.25</v>
      </c>
      <c r="G67" s="132"/>
      <c r="H67" s="131" t="s">
        <v>1084</v>
      </c>
      <c r="K67" s="540"/>
      <c r="L67" s="540"/>
    </row>
    <row r="68" spans="1:14" s="131" customFormat="1">
      <c r="E68" s="131" t="s">
        <v>394</v>
      </c>
      <c r="F68" s="132"/>
      <c r="G68" s="132">
        <f>F67</f>
        <v>8571349.25</v>
      </c>
      <c r="H68" s="131" t="s">
        <v>1084</v>
      </c>
      <c r="K68" s="540"/>
      <c r="L68" s="540"/>
    </row>
    <row r="69" spans="1:14" s="131" customFormat="1">
      <c r="D69" s="131" t="s">
        <v>393</v>
      </c>
      <c r="F69" s="132">
        <f>'LIst Asset'!R103</f>
        <v>5574562.458333334</v>
      </c>
      <c r="G69" s="132"/>
      <c r="H69" s="131" t="s">
        <v>1085</v>
      </c>
      <c r="K69" s="540"/>
      <c r="L69" s="540"/>
    </row>
    <row r="70" spans="1:14" s="131" customFormat="1">
      <c r="E70" s="131" t="s">
        <v>443</v>
      </c>
      <c r="F70" s="132"/>
      <c r="G70" s="132">
        <f>F69</f>
        <v>5574562.458333334</v>
      </c>
      <c r="H70" s="131" t="s">
        <v>1085</v>
      </c>
      <c r="K70" s="540"/>
      <c r="L70" s="540"/>
    </row>
    <row r="71" spans="1:14" s="131" customFormat="1">
      <c r="D71" s="131" t="s">
        <v>393</v>
      </c>
      <c r="F71" s="132">
        <f>'LIst Asset'!R108</f>
        <v>6458333.333333333</v>
      </c>
      <c r="G71" s="132"/>
      <c r="H71" s="131" t="s">
        <v>1086</v>
      </c>
      <c r="K71" s="540"/>
      <c r="L71" s="540"/>
    </row>
    <row r="72" spans="1:14" s="131" customFormat="1">
      <c r="E72" s="131" t="s">
        <v>443</v>
      </c>
      <c r="F72" s="132"/>
      <c r="G72" s="132">
        <f>F71</f>
        <v>6458333.333333333</v>
      </c>
      <c r="H72" s="131" t="s">
        <v>1086</v>
      </c>
      <c r="K72" s="540"/>
      <c r="L72" s="540"/>
    </row>
    <row r="73" spans="1:14" s="131" customFormat="1">
      <c r="D73" s="131" t="s">
        <v>393</v>
      </c>
      <c r="F73" s="132">
        <f>'LIst Asset'!R114</f>
        <v>9793758.958333334</v>
      </c>
      <c r="G73" s="132"/>
      <c r="H73" s="131" t="s">
        <v>1087</v>
      </c>
      <c r="K73" s="540"/>
      <c r="L73" s="540"/>
    </row>
    <row r="74" spans="1:14" s="131" customFormat="1">
      <c r="E74" s="131" t="s">
        <v>657</v>
      </c>
      <c r="F74" s="132"/>
      <c r="G74" s="132">
        <f>F73</f>
        <v>9793758.958333334</v>
      </c>
      <c r="H74" s="131" t="s">
        <v>1087</v>
      </c>
      <c r="K74" s="540"/>
      <c r="L74" s="540"/>
    </row>
    <row r="75" spans="1:14" s="131" customFormat="1">
      <c r="F75" s="132"/>
      <c r="G75" s="132"/>
      <c r="K75" s="540"/>
      <c r="L75" s="540"/>
    </row>
    <row r="76" spans="1:14" s="131" customFormat="1">
      <c r="A76" s="616" t="s">
        <v>860</v>
      </c>
      <c r="B76" s="131" t="s">
        <v>754</v>
      </c>
      <c r="D76" s="131" t="s">
        <v>745</v>
      </c>
      <c r="F76" s="132">
        <f>G79+G78-F77</f>
        <v>2881522.4727272722</v>
      </c>
      <c r="G76" s="132"/>
      <c r="H76" s="131" t="s">
        <v>1088</v>
      </c>
      <c r="K76" s="540"/>
      <c r="L76" s="540"/>
    </row>
    <row r="77" spans="1:14" s="131" customFormat="1">
      <c r="D77" s="131" t="s">
        <v>733</v>
      </c>
      <c r="F77" s="132">
        <f>G79*2%</f>
        <v>53361.527272727268</v>
      </c>
      <c r="G77" s="132"/>
      <c r="H77" s="131" t="s">
        <v>747</v>
      </c>
      <c r="K77" s="540"/>
      <c r="L77" s="540"/>
    </row>
    <row r="78" spans="1:14" s="131" customFormat="1">
      <c r="E78" s="131" t="s">
        <v>734</v>
      </c>
      <c r="F78" s="132"/>
      <c r="G78" s="132">
        <f>G79*10%</f>
        <v>266807.63636363635</v>
      </c>
      <c r="H78" s="131" t="s">
        <v>746</v>
      </c>
      <c r="K78" s="540"/>
      <c r="L78" s="540"/>
    </row>
    <row r="79" spans="1:14" s="131" customFormat="1">
      <c r="E79" s="131" t="s">
        <v>732</v>
      </c>
      <c r="F79" s="132"/>
      <c r="G79" s="132">
        <f>2934884/1.1</f>
        <v>2668076.3636363633</v>
      </c>
      <c r="H79" s="131" t="s">
        <v>1088</v>
      </c>
      <c r="K79" s="540"/>
      <c r="L79" s="540"/>
    </row>
    <row r="80" spans="1:14" s="131" customFormat="1">
      <c r="F80" s="132"/>
      <c r="G80" s="132"/>
      <c r="K80" s="540"/>
      <c r="L80" s="540"/>
    </row>
    <row r="81" spans="1:12" s="131" customFormat="1">
      <c r="A81" s="616" t="s">
        <v>860</v>
      </c>
      <c r="B81" s="131" t="s">
        <v>755</v>
      </c>
      <c r="D81" s="131" t="s">
        <v>745</v>
      </c>
      <c r="F81" s="132">
        <f>G84+G83-F82</f>
        <v>10588468.254545452</v>
      </c>
      <c r="G81" s="132"/>
      <c r="H81" s="131" t="s">
        <v>1089</v>
      </c>
      <c r="K81" s="540"/>
      <c r="L81" s="540"/>
    </row>
    <row r="82" spans="1:12" s="131" customFormat="1">
      <c r="D82" s="131" t="s">
        <v>733</v>
      </c>
      <c r="F82" s="132">
        <f>G84*2%</f>
        <v>196082.74545454542</v>
      </c>
      <c r="G82" s="132"/>
      <c r="H82" s="131" t="s">
        <v>749</v>
      </c>
      <c r="K82" s="540"/>
      <c r="L82" s="540"/>
    </row>
    <row r="83" spans="1:12" s="131" customFormat="1">
      <c r="E83" s="131" t="s">
        <v>734</v>
      </c>
      <c r="F83" s="132"/>
      <c r="G83" s="132">
        <f>G84*10%</f>
        <v>980413.72727272718</v>
      </c>
      <c r="H83" s="131" t="s">
        <v>750</v>
      </c>
      <c r="K83" s="540"/>
      <c r="L83" s="540"/>
    </row>
    <row r="84" spans="1:12" s="131" customFormat="1">
      <c r="E84" s="131" t="s">
        <v>732</v>
      </c>
      <c r="F84" s="132"/>
      <c r="G84" s="132">
        <f>10784551/1.1</f>
        <v>9804137.2727272715</v>
      </c>
      <c r="H84" s="131" t="s">
        <v>1089</v>
      </c>
      <c r="K84" s="540"/>
      <c r="L84" s="540"/>
    </row>
    <row r="85" spans="1:12" s="131" customFormat="1">
      <c r="F85" s="132"/>
      <c r="G85" s="132"/>
      <c r="K85" s="540"/>
      <c r="L85" s="540"/>
    </row>
    <row r="86" spans="1:12" s="131" customFormat="1">
      <c r="A86" s="616" t="s">
        <v>860</v>
      </c>
      <c r="B86" s="131" t="s">
        <v>1102</v>
      </c>
      <c r="D86" s="131" t="s">
        <v>745</v>
      </c>
      <c r="F86" s="132">
        <f>G89+G88-F87</f>
        <v>5546461.7454545442</v>
      </c>
      <c r="G86" s="132"/>
      <c r="H86" s="131" t="s">
        <v>1090</v>
      </c>
      <c r="K86" s="540"/>
      <c r="L86" s="540"/>
    </row>
    <row r="87" spans="1:12" s="131" customFormat="1">
      <c r="D87" s="131" t="s">
        <v>733</v>
      </c>
      <c r="F87" s="132">
        <f>G89*2%</f>
        <v>102712.25454545453</v>
      </c>
      <c r="G87" s="132"/>
      <c r="H87" s="131" t="s">
        <v>774</v>
      </c>
      <c r="K87" s="540"/>
      <c r="L87" s="540"/>
    </row>
    <row r="88" spans="1:12" s="131" customFormat="1">
      <c r="E88" s="131" t="s">
        <v>734</v>
      </c>
      <c r="F88" s="132"/>
      <c r="G88" s="132">
        <f>G89*10%</f>
        <v>513561.27272727271</v>
      </c>
      <c r="H88" s="131" t="s">
        <v>775</v>
      </c>
      <c r="K88" s="540"/>
      <c r="L88" s="540"/>
    </row>
    <row r="89" spans="1:12" s="131" customFormat="1">
      <c r="E89" s="131" t="s">
        <v>732</v>
      </c>
      <c r="F89" s="132"/>
      <c r="G89" s="132">
        <f>5649174/1.1</f>
        <v>5135612.7272727266</v>
      </c>
      <c r="H89" s="131" t="s">
        <v>1090</v>
      </c>
      <c r="K89" s="540"/>
      <c r="L89" s="540"/>
    </row>
    <row r="90" spans="1:12" s="131" customFormat="1">
      <c r="F90" s="132"/>
      <c r="G90" s="132"/>
      <c r="K90" s="540"/>
      <c r="L90" s="540"/>
    </row>
    <row r="91" spans="1:12" s="131" customFormat="1">
      <c r="F91" s="132"/>
      <c r="G91" s="132"/>
      <c r="K91" s="540"/>
      <c r="L91" s="540"/>
    </row>
    <row r="92" spans="1:12" s="131" customFormat="1">
      <c r="F92" s="132"/>
      <c r="G92" s="132"/>
      <c r="K92" s="540"/>
      <c r="L92" s="540"/>
    </row>
    <row r="93" spans="1:12" s="131" customFormat="1">
      <c r="D93" s="131" t="s">
        <v>727</v>
      </c>
      <c r="F93" s="132">
        <v>19497209</v>
      </c>
      <c r="G93" s="132"/>
      <c r="H93" s="131" t="s">
        <v>729</v>
      </c>
      <c r="K93" s="540"/>
      <c r="L93" s="540"/>
    </row>
    <row r="94" spans="1:12" s="131" customFormat="1">
      <c r="E94" s="131" t="s">
        <v>728</v>
      </c>
      <c r="F94" s="132"/>
      <c r="G94" s="132">
        <f>F93</f>
        <v>19497209</v>
      </c>
      <c r="H94" s="131" t="s">
        <v>729</v>
      </c>
      <c r="K94" s="540"/>
      <c r="L94" s="540"/>
    </row>
    <row r="95" spans="1:12" s="131" customFormat="1">
      <c r="D95" s="131" t="s">
        <v>787</v>
      </c>
      <c r="F95" s="132">
        <v>36275323</v>
      </c>
      <c r="G95" s="132"/>
      <c r="H95" s="131" t="s">
        <v>730</v>
      </c>
      <c r="K95" s="540"/>
      <c r="L95" s="540"/>
    </row>
    <row r="96" spans="1:12" s="131" customFormat="1">
      <c r="E96" s="131" t="s">
        <v>727</v>
      </c>
      <c r="F96" s="132"/>
      <c r="G96" s="132">
        <f>F95</f>
        <v>36275323</v>
      </c>
      <c r="H96" s="131" t="s">
        <v>730</v>
      </c>
      <c r="K96" s="540"/>
      <c r="L96" s="540"/>
    </row>
    <row r="97" spans="1:12" s="131" customFormat="1">
      <c r="D97" s="131" t="s">
        <v>787</v>
      </c>
      <c r="F97" s="132">
        <v>7882800</v>
      </c>
      <c r="G97" s="132"/>
      <c r="H97" s="131" t="s">
        <v>788</v>
      </c>
      <c r="K97" s="540"/>
      <c r="L97" s="540"/>
    </row>
    <row r="98" spans="1:12" s="131" customFormat="1">
      <c r="E98" s="131" t="s">
        <v>727</v>
      </c>
      <c r="F98" s="132"/>
      <c r="G98" s="132">
        <f>F97</f>
        <v>7882800</v>
      </c>
      <c r="H98" s="131" t="s">
        <v>788</v>
      </c>
      <c r="K98" s="540"/>
      <c r="L98" s="540"/>
    </row>
    <row r="101" spans="1:12">
      <c r="A101" s="616" t="s">
        <v>860</v>
      </c>
      <c r="B101" s="123" t="s">
        <v>1103</v>
      </c>
      <c r="D101" s="131" t="s">
        <v>790</v>
      </c>
      <c r="F101" s="132">
        <f>G104+G103-F102</f>
        <v>7130945.4545454541</v>
      </c>
      <c r="H101" s="123" t="s">
        <v>791</v>
      </c>
    </row>
    <row r="102" spans="1:12">
      <c r="D102" s="131" t="s">
        <v>733</v>
      </c>
      <c r="F102" s="132">
        <f>G104*2%</f>
        <v>132054.54545454544</v>
      </c>
      <c r="H102" s="123" t="s">
        <v>792</v>
      </c>
    </row>
    <row r="103" spans="1:12">
      <c r="E103" s="131" t="s">
        <v>734</v>
      </c>
      <c r="G103" s="129">
        <f>G104*10%</f>
        <v>660272.72727272729</v>
      </c>
      <c r="H103" s="123" t="s">
        <v>793</v>
      </c>
    </row>
    <row r="104" spans="1:12">
      <c r="E104" s="131" t="s">
        <v>771</v>
      </c>
      <c r="G104" s="129">
        <f>7263000/1.1</f>
        <v>6602727.2727272725</v>
      </c>
      <c r="H104" s="123" t="s">
        <v>791</v>
      </c>
    </row>
    <row r="106" spans="1:12">
      <c r="A106" s="616" t="s">
        <v>860</v>
      </c>
      <c r="B106" s="123" t="s">
        <v>1104</v>
      </c>
      <c r="D106" s="131" t="s">
        <v>790</v>
      </c>
      <c r="F106" s="132">
        <f>G109+G108-F107</f>
        <v>29454.545454545456</v>
      </c>
      <c r="H106" s="123" t="s">
        <v>795</v>
      </c>
    </row>
    <row r="107" spans="1:12">
      <c r="D107" s="131" t="s">
        <v>733</v>
      </c>
      <c r="F107" s="132">
        <f>G109*2%</f>
        <v>545.4545454545455</v>
      </c>
      <c r="H107" s="123" t="s">
        <v>794</v>
      </c>
    </row>
    <row r="108" spans="1:12">
      <c r="E108" s="131" t="s">
        <v>734</v>
      </c>
      <c r="G108" s="129">
        <f>G109*10%</f>
        <v>2727.2727272727275</v>
      </c>
      <c r="H108" s="123" t="s">
        <v>796</v>
      </c>
    </row>
    <row r="109" spans="1:12">
      <c r="E109" s="131" t="s">
        <v>771</v>
      </c>
      <c r="G109" s="129">
        <f>30000/1.1</f>
        <v>27272.727272727272</v>
      </c>
      <c r="H109" s="123" t="s">
        <v>795</v>
      </c>
    </row>
    <row r="111" spans="1:12">
      <c r="A111" s="616" t="s">
        <v>860</v>
      </c>
      <c r="B111" s="123" t="s">
        <v>1107</v>
      </c>
      <c r="D111" s="131" t="s">
        <v>1110</v>
      </c>
      <c r="F111" s="132">
        <v>395000000</v>
      </c>
      <c r="H111" s="123" t="s">
        <v>1109</v>
      </c>
    </row>
    <row r="112" spans="1:12">
      <c r="E112" s="131" t="s">
        <v>1108</v>
      </c>
      <c r="G112" s="129">
        <f>F111</f>
        <v>395000000</v>
      </c>
      <c r="H112" s="123" t="s">
        <v>1109</v>
      </c>
    </row>
  </sheetData>
  <pageMargins left="0.7" right="0.7" top="0.75" bottom="0.75" header="0.3" footer="0.3"/>
  <pageSetup paperSize="9" scale="77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K243"/>
  <sheetViews>
    <sheetView topLeftCell="A214" zoomScale="90" zoomScaleNormal="90" workbookViewId="0">
      <selection activeCell="A235" sqref="A235"/>
    </sheetView>
  </sheetViews>
  <sheetFormatPr defaultRowHeight="12"/>
  <cols>
    <col min="1" max="1" width="12.42578125" style="123" customWidth="1"/>
    <col min="2" max="3" width="9.140625" style="123"/>
    <col min="4" max="4" width="15.7109375" style="131" customWidth="1"/>
    <col min="5" max="5" width="12.42578125" style="131" customWidth="1"/>
    <col min="6" max="6" width="15.7109375" style="527" customWidth="1"/>
    <col min="7" max="7" width="15.7109375" style="132" customWidth="1"/>
    <col min="8" max="8" width="41.42578125" style="131" bestFit="1" customWidth="1"/>
    <col min="9" max="9" width="7.28515625" style="123" customWidth="1"/>
    <col min="10" max="10" width="14" style="123" bestFit="1" customWidth="1"/>
    <col min="11" max="11" width="16.42578125" style="123" bestFit="1" customWidth="1"/>
    <col min="12" max="16384" width="9.140625" style="123"/>
  </cols>
  <sheetData>
    <row r="1" spans="1:9">
      <c r="A1" s="119" t="s">
        <v>347</v>
      </c>
      <c r="B1" s="120"/>
      <c r="C1" s="120"/>
      <c r="D1" s="120"/>
      <c r="E1" s="120"/>
      <c r="G1" s="121"/>
      <c r="H1" s="122"/>
      <c r="I1" s="122"/>
    </row>
    <row r="2" spans="1:9">
      <c r="A2" s="119" t="s">
        <v>344</v>
      </c>
      <c r="B2" s="120"/>
      <c r="C2" s="120"/>
      <c r="D2" s="120"/>
      <c r="E2" s="120"/>
      <c r="G2" s="121"/>
      <c r="H2" s="122"/>
      <c r="I2" s="122"/>
    </row>
    <row r="3" spans="1:9">
      <c r="A3" s="120" t="s">
        <v>662</v>
      </c>
      <c r="B3" s="120"/>
      <c r="C3" s="120"/>
      <c r="D3" s="120"/>
      <c r="E3" s="120"/>
      <c r="G3" s="121"/>
      <c r="H3" s="122"/>
      <c r="I3" s="122"/>
    </row>
    <row r="4" spans="1:9">
      <c r="A4" s="541"/>
      <c r="B4" s="120"/>
      <c r="C4" s="120"/>
      <c r="D4" s="120" t="s">
        <v>148</v>
      </c>
      <c r="E4" s="120" t="s">
        <v>149</v>
      </c>
      <c r="G4" s="121"/>
      <c r="H4" s="122"/>
      <c r="I4" s="122"/>
    </row>
    <row r="5" spans="1:9">
      <c r="A5" s="542" t="s">
        <v>872</v>
      </c>
      <c r="B5" s="120" t="s">
        <v>890</v>
      </c>
      <c r="C5" s="124"/>
      <c r="D5" s="120" t="s">
        <v>770</v>
      </c>
      <c r="E5" s="120"/>
      <c r="F5" s="527">
        <v>100000</v>
      </c>
      <c r="G5" s="126"/>
      <c r="H5" s="131" t="s">
        <v>892</v>
      </c>
      <c r="I5" s="122"/>
    </row>
    <row r="6" spans="1:9">
      <c r="A6" s="541" t="s">
        <v>21</v>
      </c>
      <c r="B6" s="125"/>
      <c r="C6" s="120"/>
      <c r="D6" s="120"/>
      <c r="E6" s="131" t="s">
        <v>800</v>
      </c>
      <c r="G6" s="126">
        <f>F5</f>
        <v>100000</v>
      </c>
      <c r="H6" s="131" t="s">
        <v>892</v>
      </c>
      <c r="I6" s="127"/>
    </row>
    <row r="7" spans="1:9">
      <c r="A7" s="542"/>
      <c r="B7" s="120"/>
      <c r="C7" s="120"/>
      <c r="F7" s="555"/>
      <c r="G7" s="555"/>
      <c r="H7" s="547"/>
      <c r="I7" s="127"/>
    </row>
    <row r="8" spans="1:9">
      <c r="A8" s="542" t="s">
        <v>872</v>
      </c>
      <c r="B8" s="120" t="s">
        <v>891</v>
      </c>
      <c r="C8" s="120"/>
      <c r="D8" s="120" t="s">
        <v>743</v>
      </c>
      <c r="E8" s="120"/>
      <c r="F8" s="527">
        <v>20476860</v>
      </c>
      <c r="G8" s="126"/>
      <c r="H8" s="131" t="s">
        <v>739</v>
      </c>
      <c r="I8" s="127"/>
    </row>
    <row r="9" spans="1:9">
      <c r="A9" s="542"/>
      <c r="B9" s="120"/>
      <c r="C9" s="120"/>
      <c r="D9" s="120"/>
      <c r="E9" s="131" t="s">
        <v>800</v>
      </c>
      <c r="G9" s="126">
        <f>F8</f>
        <v>20476860</v>
      </c>
      <c r="H9" s="131" t="s">
        <v>739</v>
      </c>
      <c r="I9" s="127"/>
    </row>
    <row r="10" spans="1:9">
      <c r="A10" s="542"/>
      <c r="B10" s="120"/>
      <c r="C10" s="120"/>
      <c r="F10" s="555"/>
      <c r="G10" s="555"/>
      <c r="H10" s="547"/>
      <c r="I10" s="127"/>
    </row>
    <row r="11" spans="1:9">
      <c r="A11" s="542" t="s">
        <v>872</v>
      </c>
      <c r="B11" s="120" t="s">
        <v>912</v>
      </c>
      <c r="C11" s="120"/>
      <c r="D11" s="131" t="s">
        <v>893</v>
      </c>
      <c r="F11" s="555">
        <v>45090000</v>
      </c>
      <c r="G11" s="555"/>
      <c r="H11" s="547" t="s">
        <v>895</v>
      </c>
      <c r="I11" s="127"/>
    </row>
    <row r="12" spans="1:9">
      <c r="A12" s="542"/>
      <c r="B12" s="120"/>
      <c r="C12" s="120"/>
      <c r="D12" s="131" t="s">
        <v>893</v>
      </c>
      <c r="F12" s="555">
        <v>4509000</v>
      </c>
      <c r="G12" s="555"/>
      <c r="H12" s="547" t="s">
        <v>896</v>
      </c>
      <c r="I12" s="127"/>
    </row>
    <row r="13" spans="1:9">
      <c r="A13" s="542"/>
      <c r="B13" s="120"/>
      <c r="C13" s="120"/>
      <c r="D13" s="131" t="s">
        <v>894</v>
      </c>
      <c r="F13" s="555">
        <v>15030000</v>
      </c>
      <c r="G13" s="555"/>
      <c r="H13" s="547" t="s">
        <v>897</v>
      </c>
      <c r="I13" s="127"/>
    </row>
    <row r="14" spans="1:9">
      <c r="A14" s="542"/>
      <c r="B14" s="120"/>
      <c r="C14" s="120"/>
      <c r="D14" s="131" t="s">
        <v>894</v>
      </c>
      <c r="F14" s="555">
        <v>1503000</v>
      </c>
      <c r="G14" s="555"/>
      <c r="H14" s="547" t="s">
        <v>898</v>
      </c>
      <c r="I14" s="127"/>
    </row>
    <row r="15" spans="1:9">
      <c r="A15" s="542"/>
      <c r="B15" s="120"/>
      <c r="C15" s="120"/>
      <c r="D15" s="131" t="s">
        <v>61</v>
      </c>
      <c r="F15" s="555">
        <v>12000</v>
      </c>
      <c r="G15" s="555"/>
      <c r="H15" s="547" t="s">
        <v>901</v>
      </c>
      <c r="I15" s="127"/>
    </row>
    <row r="16" spans="1:9">
      <c r="A16" s="542"/>
      <c r="B16" s="120"/>
      <c r="C16" s="120"/>
      <c r="E16" s="131" t="s">
        <v>800</v>
      </c>
      <c r="F16" s="555"/>
      <c r="G16" s="555">
        <f>SUM(F11:F15)</f>
        <v>66144000</v>
      </c>
      <c r="H16" s="547" t="s">
        <v>899</v>
      </c>
      <c r="I16" s="127"/>
    </row>
    <row r="17" spans="1:9">
      <c r="A17" s="542"/>
      <c r="B17" s="120"/>
      <c r="C17" s="120"/>
      <c r="F17" s="555"/>
      <c r="G17" s="555"/>
      <c r="H17" s="547"/>
      <c r="I17" s="127"/>
    </row>
    <row r="18" spans="1:9">
      <c r="A18" s="542" t="s">
        <v>872</v>
      </c>
      <c r="B18" s="120" t="s">
        <v>913</v>
      </c>
      <c r="C18" s="120"/>
      <c r="D18" s="131" t="s">
        <v>900</v>
      </c>
      <c r="F18" s="555">
        <v>5067299</v>
      </c>
      <c r="G18" s="555"/>
      <c r="H18" s="547" t="s">
        <v>902</v>
      </c>
      <c r="I18" s="127"/>
    </row>
    <row r="19" spans="1:9">
      <c r="A19" s="542"/>
      <c r="B19" s="120"/>
      <c r="C19" s="120"/>
      <c r="D19" s="131" t="s">
        <v>900</v>
      </c>
      <c r="F19" s="555">
        <v>506729</v>
      </c>
      <c r="G19" s="555"/>
      <c r="H19" s="547" t="s">
        <v>903</v>
      </c>
      <c r="I19" s="127"/>
    </row>
    <row r="20" spans="1:9">
      <c r="A20" s="542"/>
      <c r="B20" s="120"/>
      <c r="C20" s="120"/>
      <c r="D20" s="131" t="s">
        <v>61</v>
      </c>
      <c r="F20" s="555">
        <v>6000</v>
      </c>
      <c r="G20" s="555"/>
      <c r="H20" s="547" t="s">
        <v>901</v>
      </c>
      <c r="I20" s="127"/>
    </row>
    <row r="21" spans="1:9">
      <c r="A21" s="542"/>
      <c r="B21" s="120"/>
      <c r="C21" s="120"/>
      <c r="D21" s="131" t="s">
        <v>661</v>
      </c>
      <c r="F21" s="555">
        <v>5000</v>
      </c>
      <c r="G21" s="555"/>
      <c r="H21" s="547" t="s">
        <v>904</v>
      </c>
      <c r="I21" s="127"/>
    </row>
    <row r="22" spans="1:9">
      <c r="A22" s="542"/>
      <c r="B22" s="120"/>
      <c r="C22" s="120"/>
      <c r="E22" s="131" t="s">
        <v>800</v>
      </c>
      <c r="F22" s="555"/>
      <c r="G22" s="555">
        <f>SUM(F18:F21)</f>
        <v>5585028</v>
      </c>
      <c r="H22" s="547" t="s">
        <v>902</v>
      </c>
      <c r="I22" s="127"/>
    </row>
    <row r="23" spans="1:9">
      <c r="A23" s="542"/>
      <c r="B23" s="120"/>
      <c r="C23" s="120"/>
      <c r="F23" s="555"/>
      <c r="G23" s="555"/>
      <c r="H23" s="547"/>
      <c r="I23" s="127"/>
    </row>
    <row r="24" spans="1:9">
      <c r="A24" s="542" t="s">
        <v>872</v>
      </c>
      <c r="B24" s="120" t="s">
        <v>914</v>
      </c>
      <c r="C24" s="120"/>
      <c r="D24" s="131" t="s">
        <v>693</v>
      </c>
      <c r="E24" s="120"/>
      <c r="F24" s="561">
        <v>3300000</v>
      </c>
      <c r="G24" s="555"/>
      <c r="H24" s="131" t="s">
        <v>907</v>
      </c>
      <c r="I24" s="127"/>
    </row>
    <row r="25" spans="1:9">
      <c r="A25" s="542"/>
      <c r="B25" s="120"/>
      <c r="C25" s="120"/>
      <c r="D25" s="131" t="s">
        <v>905</v>
      </c>
      <c r="E25" s="120"/>
      <c r="F25" s="561">
        <v>526900</v>
      </c>
      <c r="G25" s="555"/>
      <c r="H25" s="131" t="s">
        <v>908</v>
      </c>
      <c r="I25" s="127"/>
    </row>
    <row r="26" spans="1:9">
      <c r="A26" s="542"/>
      <c r="B26" s="120"/>
      <c r="C26" s="120"/>
      <c r="D26" s="131" t="s">
        <v>61</v>
      </c>
      <c r="E26" s="120"/>
      <c r="F26" s="561">
        <v>6000</v>
      </c>
      <c r="G26" s="555"/>
      <c r="H26" s="131" t="s">
        <v>906</v>
      </c>
      <c r="I26" s="127"/>
    </row>
    <row r="27" spans="1:9">
      <c r="A27" s="542"/>
      <c r="B27" s="120"/>
      <c r="C27" s="120"/>
      <c r="E27" s="120" t="s">
        <v>345</v>
      </c>
      <c r="F27" s="561"/>
      <c r="G27" s="555">
        <f>SUM(F24:F26)</f>
        <v>3832900</v>
      </c>
      <c r="H27" s="131" t="s">
        <v>909</v>
      </c>
      <c r="I27" s="127"/>
    </row>
    <row r="28" spans="1:9">
      <c r="A28" s="542"/>
      <c r="B28" s="120"/>
      <c r="C28" s="120"/>
      <c r="F28" s="555"/>
      <c r="G28" s="555"/>
      <c r="H28" s="547"/>
      <c r="I28" s="127"/>
    </row>
    <row r="29" spans="1:9">
      <c r="A29" s="542" t="s">
        <v>872</v>
      </c>
      <c r="B29" s="120" t="s">
        <v>915</v>
      </c>
      <c r="C29" s="120"/>
      <c r="D29" s="131" t="s">
        <v>773</v>
      </c>
      <c r="F29" s="555">
        <f>11652000/24</f>
        <v>485500</v>
      </c>
      <c r="G29" s="555"/>
      <c r="H29" s="131" t="s">
        <v>910</v>
      </c>
      <c r="I29" s="127"/>
    </row>
    <row r="30" spans="1:9">
      <c r="A30" s="542"/>
      <c r="B30" s="120"/>
      <c r="C30" s="120"/>
      <c r="D30" s="131" t="s">
        <v>715</v>
      </c>
      <c r="F30" s="555">
        <v>6387500</v>
      </c>
      <c r="G30" s="555"/>
      <c r="H30" s="131" t="s">
        <v>911</v>
      </c>
      <c r="I30" s="127"/>
    </row>
    <row r="31" spans="1:9">
      <c r="A31" s="542"/>
      <c r="B31" s="120"/>
      <c r="C31" s="120"/>
      <c r="D31" s="131" t="s">
        <v>770</v>
      </c>
      <c r="F31" s="555">
        <v>2500</v>
      </c>
      <c r="G31" s="555"/>
      <c r="H31" s="131" t="s">
        <v>348</v>
      </c>
      <c r="I31" s="127"/>
    </row>
    <row r="32" spans="1:9">
      <c r="A32" s="542"/>
      <c r="B32" s="120"/>
      <c r="C32" s="120"/>
      <c r="E32" s="131" t="s">
        <v>800</v>
      </c>
      <c r="F32" s="555"/>
      <c r="G32" s="555">
        <f>F29+F30+F31</f>
        <v>6875500</v>
      </c>
      <c r="H32" s="131" t="s">
        <v>911</v>
      </c>
      <c r="I32" s="127"/>
    </row>
    <row r="33" spans="1:11">
      <c r="A33" s="542"/>
      <c r="B33" s="120"/>
      <c r="C33" s="120"/>
      <c r="F33" s="555"/>
      <c r="G33" s="555"/>
      <c r="H33" s="547"/>
      <c r="I33" s="127"/>
    </row>
    <row r="34" spans="1:11">
      <c r="A34" s="542" t="s">
        <v>922</v>
      </c>
      <c r="B34" s="120" t="s">
        <v>923</v>
      </c>
      <c r="C34" s="120"/>
      <c r="D34" s="131" t="s">
        <v>710</v>
      </c>
      <c r="E34" s="120"/>
      <c r="F34" s="555">
        <v>2605001</v>
      </c>
      <c r="G34" s="555"/>
      <c r="H34" s="131" t="s">
        <v>919</v>
      </c>
      <c r="I34" s="127"/>
    </row>
    <row r="35" spans="1:11">
      <c r="A35" s="542"/>
      <c r="B35" s="120"/>
      <c r="C35" s="120"/>
      <c r="D35" s="131" t="s">
        <v>710</v>
      </c>
      <c r="E35" s="120"/>
      <c r="F35" s="555">
        <v>1456001</v>
      </c>
      <c r="G35" s="555"/>
      <c r="H35" s="131" t="s">
        <v>920</v>
      </c>
      <c r="I35" s="127"/>
    </row>
    <row r="36" spans="1:11">
      <c r="A36" s="542"/>
      <c r="B36" s="120"/>
      <c r="C36" s="120"/>
      <c r="E36" s="131" t="s">
        <v>800</v>
      </c>
      <c r="F36" s="555"/>
      <c r="G36" s="555">
        <f>SUM(F34:F35)</f>
        <v>4061002</v>
      </c>
      <c r="H36" s="131" t="s">
        <v>921</v>
      </c>
      <c r="I36" s="127"/>
    </row>
    <row r="37" spans="1:11">
      <c r="A37" s="542"/>
      <c r="B37" s="120"/>
      <c r="C37" s="120"/>
      <c r="F37" s="561"/>
      <c r="G37" s="555"/>
      <c r="I37" s="127"/>
    </row>
    <row r="38" spans="1:11">
      <c r="A38" s="542" t="s">
        <v>922</v>
      </c>
      <c r="B38" s="120" t="s">
        <v>924</v>
      </c>
      <c r="C38" s="120"/>
      <c r="D38" s="123" t="s">
        <v>772</v>
      </c>
      <c r="F38" s="555">
        <v>53277154</v>
      </c>
      <c r="G38" s="556"/>
      <c r="H38" s="131" t="s">
        <v>802</v>
      </c>
      <c r="I38" s="127"/>
      <c r="J38" s="456"/>
    </row>
    <row r="39" spans="1:11">
      <c r="A39" s="541"/>
      <c r="B39" s="125"/>
      <c r="C39" s="120"/>
      <c r="D39" s="123" t="s">
        <v>826</v>
      </c>
      <c r="F39" s="555">
        <v>480000</v>
      </c>
      <c r="G39" s="556"/>
      <c r="H39" s="131" t="s">
        <v>929</v>
      </c>
      <c r="I39" s="127"/>
      <c r="J39" s="456"/>
      <c r="K39" s="456"/>
    </row>
    <row r="40" spans="1:11">
      <c r="A40" s="541"/>
      <c r="B40" s="125"/>
      <c r="C40" s="120"/>
      <c r="D40" s="123" t="s">
        <v>772</v>
      </c>
      <c r="F40" s="555">
        <v>180295</v>
      </c>
      <c r="G40" s="556"/>
      <c r="H40" s="131" t="s">
        <v>803</v>
      </c>
      <c r="I40" s="127"/>
      <c r="K40" s="456"/>
    </row>
    <row r="41" spans="1:11">
      <c r="A41" s="541"/>
      <c r="B41" s="125"/>
      <c r="C41" s="120"/>
      <c r="D41" s="123" t="s">
        <v>801</v>
      </c>
      <c r="F41" s="555">
        <v>23205876</v>
      </c>
      <c r="G41" s="556"/>
      <c r="H41" s="131" t="s">
        <v>925</v>
      </c>
      <c r="I41" s="127"/>
    </row>
    <row r="42" spans="1:11">
      <c r="A42" s="541"/>
      <c r="B42" s="125"/>
      <c r="C42" s="120"/>
      <c r="D42" s="123" t="s">
        <v>641</v>
      </c>
      <c r="F42" s="555">
        <v>75</v>
      </c>
      <c r="G42" s="556"/>
      <c r="H42" s="131" t="s">
        <v>641</v>
      </c>
      <c r="I42" s="127"/>
      <c r="K42" s="456"/>
    </row>
    <row r="43" spans="1:11">
      <c r="A43" s="541"/>
      <c r="B43" s="125"/>
      <c r="C43" s="120"/>
      <c r="D43" s="123"/>
      <c r="E43" s="131" t="s">
        <v>800</v>
      </c>
      <c r="F43" s="555"/>
      <c r="G43" s="556">
        <f>SUM(F38:F42)</f>
        <v>77143400</v>
      </c>
      <c r="H43" s="131" t="s">
        <v>926</v>
      </c>
      <c r="I43" s="127"/>
      <c r="K43" s="456"/>
    </row>
    <row r="44" spans="1:11">
      <c r="A44" s="541"/>
      <c r="B44" s="125"/>
      <c r="C44" s="120"/>
      <c r="D44" s="123"/>
      <c r="F44" s="555"/>
      <c r="G44" s="556"/>
      <c r="I44" s="127"/>
      <c r="K44" s="456"/>
    </row>
    <row r="45" spans="1:11">
      <c r="A45" s="542" t="s">
        <v>922</v>
      </c>
      <c r="B45" s="120" t="s">
        <v>927</v>
      </c>
      <c r="C45" s="120"/>
      <c r="D45" s="123" t="s">
        <v>346</v>
      </c>
      <c r="F45" s="555">
        <v>208000</v>
      </c>
      <c r="G45" s="556"/>
      <c r="H45" s="131" t="s">
        <v>930</v>
      </c>
      <c r="I45" s="127"/>
      <c r="K45" s="456"/>
    </row>
    <row r="46" spans="1:11">
      <c r="A46" s="541"/>
      <c r="B46" s="125"/>
      <c r="C46" s="120"/>
      <c r="D46" s="123"/>
      <c r="E46" s="131" t="s">
        <v>824</v>
      </c>
      <c r="F46" s="555"/>
      <c r="G46" s="556">
        <f>F45</f>
        <v>208000</v>
      </c>
      <c r="H46" s="131" t="s">
        <v>930</v>
      </c>
      <c r="I46" s="127"/>
      <c r="K46" s="456"/>
    </row>
    <row r="47" spans="1:11" s="591" customFormat="1">
      <c r="A47" s="613"/>
      <c r="B47" s="614"/>
      <c r="C47" s="590"/>
      <c r="F47" s="592"/>
      <c r="G47" s="595"/>
      <c r="I47" s="593"/>
      <c r="K47" s="621"/>
    </row>
    <row r="48" spans="1:11">
      <c r="A48" s="542" t="s">
        <v>882</v>
      </c>
      <c r="B48" s="120" t="s">
        <v>928</v>
      </c>
      <c r="C48" s="120"/>
      <c r="D48" s="131" t="s">
        <v>686</v>
      </c>
      <c r="E48" s="120"/>
      <c r="F48" s="527">
        <v>4278950</v>
      </c>
      <c r="G48" s="126"/>
      <c r="H48" s="131" t="s">
        <v>686</v>
      </c>
      <c r="I48" s="127"/>
      <c r="K48" s="456"/>
    </row>
    <row r="49" spans="1:11">
      <c r="A49" s="541"/>
      <c r="B49" s="125"/>
      <c r="C49" s="120"/>
      <c r="D49" s="120"/>
      <c r="E49" s="120" t="s">
        <v>683</v>
      </c>
      <c r="G49" s="126">
        <f>F48</f>
        <v>4278950</v>
      </c>
      <c r="H49" s="131" t="s">
        <v>686</v>
      </c>
      <c r="I49" s="127"/>
      <c r="K49" s="456"/>
    </row>
    <row r="50" spans="1:11">
      <c r="A50" s="541"/>
      <c r="B50" s="125"/>
      <c r="C50" s="120"/>
      <c r="D50" s="123"/>
      <c r="F50" s="555"/>
      <c r="G50" s="556"/>
      <c r="I50" s="127"/>
      <c r="K50" s="456"/>
    </row>
    <row r="51" spans="1:11">
      <c r="A51" s="542" t="s">
        <v>882</v>
      </c>
      <c r="B51" s="120" t="s">
        <v>966</v>
      </c>
      <c r="C51" s="120"/>
      <c r="D51" s="123" t="s">
        <v>824</v>
      </c>
      <c r="F51" s="555">
        <v>82500</v>
      </c>
      <c r="G51" s="556"/>
      <c r="H51" s="131" t="s">
        <v>931</v>
      </c>
      <c r="I51" s="127"/>
      <c r="J51" s="456">
        <f>F51+F69</f>
        <v>182500</v>
      </c>
      <c r="K51" s="456"/>
    </row>
    <row r="52" spans="1:11">
      <c r="A52" s="541"/>
      <c r="B52" s="125"/>
      <c r="C52" s="120"/>
      <c r="D52" s="123" t="s">
        <v>702</v>
      </c>
      <c r="F52" s="555">
        <v>142956</v>
      </c>
      <c r="G52" s="556"/>
      <c r="H52" s="131" t="s">
        <v>932</v>
      </c>
      <c r="I52" s="127"/>
      <c r="J52" s="456">
        <f>F52+F77+F79+F82</f>
        <v>1305956</v>
      </c>
      <c r="K52" s="456"/>
    </row>
    <row r="53" spans="1:11">
      <c r="A53" s="541"/>
      <c r="B53" s="125"/>
      <c r="C53" s="120"/>
      <c r="D53" s="123" t="s">
        <v>813</v>
      </c>
      <c r="F53" s="555">
        <v>28500</v>
      </c>
      <c r="G53" s="556"/>
      <c r="H53" s="131" t="s">
        <v>932</v>
      </c>
      <c r="I53" s="127"/>
      <c r="J53" s="456">
        <f>F53+F55+F57+F78+F80+F83</f>
        <v>436500</v>
      </c>
      <c r="K53" s="456"/>
    </row>
    <row r="54" spans="1:11">
      <c r="A54" s="541"/>
      <c r="B54" s="125"/>
      <c r="C54" s="120"/>
      <c r="D54" s="123" t="s">
        <v>825</v>
      </c>
      <c r="F54" s="555">
        <v>98300</v>
      </c>
      <c r="G54" s="556"/>
      <c r="H54" s="131" t="s">
        <v>933</v>
      </c>
      <c r="I54" s="127"/>
      <c r="J54" s="456">
        <f>F54+F56</f>
        <v>163550</v>
      </c>
      <c r="K54" s="456"/>
    </row>
    <row r="55" spans="1:11">
      <c r="A55" s="541"/>
      <c r="B55" s="125"/>
      <c r="C55" s="120"/>
      <c r="D55" s="123" t="s">
        <v>813</v>
      </c>
      <c r="F55" s="555">
        <v>14000</v>
      </c>
      <c r="G55" s="556"/>
      <c r="H55" s="131" t="s">
        <v>934</v>
      </c>
      <c r="I55" s="127"/>
      <c r="J55" s="456"/>
      <c r="K55" s="456"/>
    </row>
    <row r="56" spans="1:11">
      <c r="A56" s="541"/>
      <c r="B56" s="125"/>
      <c r="C56" s="120"/>
      <c r="D56" s="123" t="s">
        <v>825</v>
      </c>
      <c r="F56" s="555">
        <v>65250</v>
      </c>
      <c r="G56" s="556"/>
      <c r="H56" s="131" t="s">
        <v>935</v>
      </c>
      <c r="I56" s="127"/>
      <c r="J56" s="456"/>
      <c r="K56" s="456"/>
    </row>
    <row r="57" spans="1:11">
      <c r="A57" s="541"/>
      <c r="B57" s="125"/>
      <c r="C57" s="120"/>
      <c r="D57" s="123" t="s">
        <v>813</v>
      </c>
      <c r="F57" s="555">
        <v>38000</v>
      </c>
      <c r="G57" s="556"/>
      <c r="H57" s="131" t="s">
        <v>936</v>
      </c>
      <c r="I57" s="127"/>
      <c r="K57" s="456"/>
    </row>
    <row r="58" spans="1:11">
      <c r="A58" s="541"/>
      <c r="B58" s="125"/>
      <c r="C58" s="120"/>
      <c r="D58" s="123" t="s">
        <v>806</v>
      </c>
      <c r="F58" s="555">
        <v>122600</v>
      </c>
      <c r="G58" s="556"/>
      <c r="H58" s="131" t="s">
        <v>937</v>
      </c>
      <c r="I58" s="127"/>
      <c r="J58" s="456">
        <f>F58+F60+F61+F62+F64+F65+F81+F84</f>
        <v>823060</v>
      </c>
      <c r="K58" s="456"/>
    </row>
    <row r="59" spans="1:11">
      <c r="A59" s="541"/>
      <c r="B59" s="125"/>
      <c r="C59" s="120"/>
      <c r="D59" s="123" t="s">
        <v>850</v>
      </c>
      <c r="F59" s="555">
        <v>452760</v>
      </c>
      <c r="G59" s="556"/>
      <c r="H59" s="131" t="s">
        <v>938</v>
      </c>
      <c r="I59" s="127"/>
      <c r="J59" s="456">
        <f>F59</f>
        <v>452760</v>
      </c>
      <c r="K59" s="456"/>
    </row>
    <row r="60" spans="1:11">
      <c r="A60" s="541"/>
      <c r="B60" s="125"/>
      <c r="C60" s="120"/>
      <c r="D60" s="123" t="s">
        <v>806</v>
      </c>
      <c r="F60" s="555">
        <v>62000</v>
      </c>
      <c r="G60" s="556"/>
      <c r="H60" s="131" t="s">
        <v>937</v>
      </c>
      <c r="I60" s="127"/>
      <c r="J60" s="456"/>
      <c r="K60" s="456"/>
    </row>
    <row r="61" spans="1:11">
      <c r="A61" s="541"/>
      <c r="B61" s="125"/>
      <c r="C61" s="120"/>
      <c r="D61" s="123" t="s">
        <v>806</v>
      </c>
      <c r="F61" s="555">
        <v>70500</v>
      </c>
      <c r="G61" s="556"/>
      <c r="H61" s="131" t="s">
        <v>937</v>
      </c>
      <c r="I61" s="127"/>
      <c r="J61" s="456"/>
      <c r="K61" s="456"/>
    </row>
    <row r="62" spans="1:11">
      <c r="A62" s="541"/>
      <c r="B62" s="125"/>
      <c r="C62" s="120"/>
      <c r="D62" s="123" t="s">
        <v>806</v>
      </c>
      <c r="F62" s="555">
        <v>152000</v>
      </c>
      <c r="G62" s="556"/>
      <c r="H62" s="131" t="s">
        <v>939</v>
      </c>
      <c r="I62" s="127"/>
      <c r="J62" s="456"/>
      <c r="K62" s="456"/>
    </row>
    <row r="63" spans="1:11">
      <c r="A63" s="541"/>
      <c r="B63" s="125"/>
      <c r="C63" s="120"/>
      <c r="D63" s="123" t="s">
        <v>14</v>
      </c>
      <c r="F63" s="555">
        <v>100000</v>
      </c>
      <c r="G63" s="556"/>
      <c r="H63" s="131" t="s">
        <v>940</v>
      </c>
      <c r="I63" s="127"/>
      <c r="J63" s="456">
        <f>F63+F87</f>
        <v>850000</v>
      </c>
      <c r="K63" s="456"/>
    </row>
    <row r="64" spans="1:11">
      <c r="A64" s="541"/>
      <c r="B64" s="125"/>
      <c r="C64" s="120"/>
      <c r="D64" s="123" t="s">
        <v>806</v>
      </c>
      <c r="F64" s="555">
        <v>61000</v>
      </c>
      <c r="G64" s="556"/>
      <c r="H64" s="131" t="s">
        <v>941</v>
      </c>
      <c r="I64" s="127"/>
      <c r="J64" s="456"/>
      <c r="K64" s="456"/>
    </row>
    <row r="65" spans="1:11">
      <c r="A65" s="541"/>
      <c r="B65" s="125"/>
      <c r="C65" s="120"/>
      <c r="D65" s="123" t="s">
        <v>806</v>
      </c>
      <c r="F65" s="555">
        <v>254960</v>
      </c>
      <c r="G65" s="556"/>
      <c r="H65" s="131" t="s">
        <v>942</v>
      </c>
      <c r="I65" s="127"/>
      <c r="J65" s="456"/>
      <c r="K65" s="456"/>
    </row>
    <row r="66" spans="1:11">
      <c r="A66" s="541"/>
      <c r="B66" s="125"/>
      <c r="C66" s="120"/>
      <c r="D66" s="123" t="s">
        <v>684</v>
      </c>
      <c r="F66" s="555">
        <v>210000</v>
      </c>
      <c r="G66" s="556"/>
      <c r="H66" s="131" t="s">
        <v>943</v>
      </c>
      <c r="I66" s="127"/>
      <c r="J66" s="456">
        <f>F66+F67+F85+F86</f>
        <v>1365000</v>
      </c>
      <c r="K66" s="456"/>
    </row>
    <row r="67" spans="1:11">
      <c r="A67" s="541"/>
      <c r="B67" s="125"/>
      <c r="C67" s="120"/>
      <c r="D67" s="123" t="s">
        <v>684</v>
      </c>
      <c r="F67" s="555">
        <v>525000</v>
      </c>
      <c r="G67" s="556"/>
      <c r="H67" s="131" t="s">
        <v>944</v>
      </c>
      <c r="I67" s="127"/>
      <c r="K67" s="456"/>
    </row>
    <row r="68" spans="1:11">
      <c r="A68" s="541"/>
      <c r="B68" s="125"/>
      <c r="C68" s="120"/>
      <c r="D68" s="123" t="s">
        <v>738</v>
      </c>
      <c r="F68" s="555">
        <v>1167650</v>
      </c>
      <c r="G68" s="556"/>
      <c r="H68" s="131" t="s">
        <v>968</v>
      </c>
      <c r="I68" s="127"/>
      <c r="J68" s="456">
        <f>F68</f>
        <v>1167650</v>
      </c>
      <c r="K68" s="456"/>
    </row>
    <row r="69" spans="1:11">
      <c r="A69" s="541"/>
      <c r="B69" s="125"/>
      <c r="C69" s="120"/>
      <c r="D69" s="123" t="s">
        <v>824</v>
      </c>
      <c r="F69" s="555">
        <v>100000</v>
      </c>
      <c r="G69" s="556"/>
      <c r="H69" s="131" t="s">
        <v>945</v>
      </c>
      <c r="I69" s="127"/>
      <c r="K69" s="456"/>
    </row>
    <row r="70" spans="1:11">
      <c r="A70" s="541"/>
      <c r="B70" s="125"/>
      <c r="C70" s="120"/>
      <c r="D70" s="123" t="s">
        <v>946</v>
      </c>
      <c r="F70" s="555">
        <v>1511770</v>
      </c>
      <c r="G70" s="556"/>
      <c r="H70" s="131" t="s">
        <v>946</v>
      </c>
      <c r="I70" s="127"/>
      <c r="J70" s="456">
        <f>F70</f>
        <v>1511770</v>
      </c>
      <c r="K70" s="456"/>
    </row>
    <row r="71" spans="1:11">
      <c r="A71" s="541"/>
      <c r="B71" s="125"/>
      <c r="C71" s="120"/>
      <c r="D71" s="123" t="s">
        <v>815</v>
      </c>
      <c r="F71" s="555">
        <v>600000</v>
      </c>
      <c r="G71" s="556"/>
      <c r="H71" s="131" t="s">
        <v>947</v>
      </c>
      <c r="I71" s="127"/>
      <c r="J71" s="456">
        <f>F71</f>
        <v>600000</v>
      </c>
      <c r="K71" s="456"/>
    </row>
    <row r="72" spans="1:11">
      <c r="A72" s="541"/>
      <c r="B72" s="125"/>
      <c r="C72" s="120"/>
      <c r="D72" s="123" t="s">
        <v>703</v>
      </c>
      <c r="F72" s="555">
        <v>62150</v>
      </c>
      <c r="G72" s="556"/>
      <c r="H72" s="131" t="s">
        <v>948</v>
      </c>
      <c r="I72" s="127"/>
      <c r="J72" s="456">
        <f>F72</f>
        <v>62150</v>
      </c>
      <c r="K72" s="456"/>
    </row>
    <row r="73" spans="1:11">
      <c r="A73" s="541"/>
      <c r="B73" s="125"/>
      <c r="C73" s="120"/>
      <c r="D73" s="123" t="s">
        <v>823</v>
      </c>
      <c r="F73" s="555">
        <v>14100</v>
      </c>
      <c r="G73" s="556"/>
      <c r="H73" s="131" t="s">
        <v>949</v>
      </c>
      <c r="I73" s="127"/>
      <c r="J73" s="456">
        <f>F73</f>
        <v>14100</v>
      </c>
      <c r="K73" s="456"/>
    </row>
    <row r="74" spans="1:11">
      <c r="A74" s="541"/>
      <c r="B74" s="125"/>
      <c r="C74" s="120"/>
      <c r="D74" s="123" t="s">
        <v>714</v>
      </c>
      <c r="F74" s="555">
        <v>66000</v>
      </c>
      <c r="G74" s="556"/>
      <c r="H74" s="131" t="s">
        <v>950</v>
      </c>
      <c r="I74" s="127"/>
      <c r="J74" s="456">
        <f>F74+F76+F88</f>
        <v>690562</v>
      </c>
      <c r="K74" s="456"/>
    </row>
    <row r="75" spans="1:11">
      <c r="A75" s="541"/>
      <c r="B75" s="125"/>
      <c r="C75" s="120"/>
      <c r="D75" s="123" t="s">
        <v>969</v>
      </c>
      <c r="F75" s="555">
        <v>250000</v>
      </c>
      <c r="G75" s="556"/>
      <c r="H75" s="131" t="s">
        <v>951</v>
      </c>
      <c r="I75" s="127"/>
      <c r="J75" s="456">
        <f>F75</f>
        <v>250000</v>
      </c>
      <c r="K75" s="456"/>
    </row>
    <row r="76" spans="1:11">
      <c r="A76" s="541"/>
      <c r="B76" s="125"/>
      <c r="C76" s="120"/>
      <c r="D76" s="123" t="s">
        <v>714</v>
      </c>
      <c r="F76" s="555">
        <v>594562</v>
      </c>
      <c r="G76" s="556"/>
      <c r="H76" s="131" t="s">
        <v>952</v>
      </c>
      <c r="I76" s="127"/>
      <c r="J76" s="456"/>
      <c r="K76" s="456"/>
    </row>
    <row r="77" spans="1:11">
      <c r="A77" s="541"/>
      <c r="B77" s="125"/>
      <c r="C77" s="120"/>
      <c r="D77" s="123" t="s">
        <v>702</v>
      </c>
      <c r="F77" s="555">
        <v>63000</v>
      </c>
      <c r="G77" s="556"/>
      <c r="H77" s="131" t="s">
        <v>953</v>
      </c>
      <c r="I77" s="127"/>
      <c r="J77" s="456"/>
      <c r="K77" s="456"/>
    </row>
    <row r="78" spans="1:11">
      <c r="A78" s="541"/>
      <c r="B78" s="125"/>
      <c r="C78" s="120"/>
      <c r="D78" s="123" t="s">
        <v>813</v>
      </c>
      <c r="F78" s="555">
        <v>2000</v>
      </c>
      <c r="G78" s="556"/>
      <c r="H78" s="131" t="s">
        <v>953</v>
      </c>
      <c r="I78" s="127"/>
      <c r="J78" s="456"/>
      <c r="K78" s="456"/>
    </row>
    <row r="79" spans="1:11">
      <c r="A79" s="541"/>
      <c r="B79" s="125"/>
      <c r="C79" s="120"/>
      <c r="D79" s="123" t="s">
        <v>702</v>
      </c>
      <c r="F79" s="555">
        <v>400000</v>
      </c>
      <c r="G79" s="556"/>
      <c r="H79" s="131" t="s">
        <v>954</v>
      </c>
      <c r="I79" s="127"/>
      <c r="K79" s="456"/>
    </row>
    <row r="80" spans="1:11">
      <c r="A80" s="541"/>
      <c r="B80" s="125"/>
      <c r="C80" s="120"/>
      <c r="D80" s="123" t="s">
        <v>813</v>
      </c>
      <c r="F80" s="555">
        <v>163000</v>
      </c>
      <c r="G80" s="556"/>
      <c r="H80" s="131" t="s">
        <v>954</v>
      </c>
      <c r="I80" s="127"/>
      <c r="K80" s="456"/>
    </row>
    <row r="81" spans="1:11">
      <c r="A81" s="541"/>
      <c r="B81" s="125"/>
      <c r="C81" s="120"/>
      <c r="D81" s="123" t="s">
        <v>806</v>
      </c>
      <c r="F81" s="555">
        <v>0</v>
      </c>
      <c r="G81" s="556"/>
      <c r="H81" s="131" t="s">
        <v>954</v>
      </c>
      <c r="I81" s="127"/>
      <c r="K81" s="456"/>
    </row>
    <row r="82" spans="1:11">
      <c r="A82" s="541"/>
      <c r="B82" s="125"/>
      <c r="C82" s="120"/>
      <c r="D82" s="123" t="s">
        <v>702</v>
      </c>
      <c r="F82" s="555">
        <v>700000</v>
      </c>
      <c r="G82" s="556"/>
      <c r="H82" s="131" t="s">
        <v>955</v>
      </c>
      <c r="I82" s="127"/>
      <c r="K82" s="456"/>
    </row>
    <row r="83" spans="1:11">
      <c r="A83" s="541"/>
      <c r="B83" s="125"/>
      <c r="C83" s="120"/>
      <c r="D83" s="123" t="s">
        <v>813</v>
      </c>
      <c r="F83" s="555">
        <v>191000</v>
      </c>
      <c r="G83" s="556"/>
      <c r="H83" s="131" t="s">
        <v>955</v>
      </c>
      <c r="I83" s="127"/>
      <c r="K83" s="456"/>
    </row>
    <row r="84" spans="1:11">
      <c r="A84" s="541"/>
      <c r="B84" s="125"/>
      <c r="C84" s="120"/>
      <c r="D84" s="123" t="s">
        <v>806</v>
      </c>
      <c r="F84" s="555">
        <v>100000</v>
      </c>
      <c r="G84" s="556"/>
      <c r="H84" s="131" t="s">
        <v>955</v>
      </c>
      <c r="I84" s="127"/>
      <c r="K84" s="456"/>
    </row>
    <row r="85" spans="1:11">
      <c r="A85" s="541"/>
      <c r="B85" s="125"/>
      <c r="C85" s="120"/>
      <c r="D85" s="123" t="s">
        <v>684</v>
      </c>
      <c r="F85" s="555">
        <v>360000</v>
      </c>
      <c r="G85" s="556"/>
      <c r="H85" s="131" t="s">
        <v>956</v>
      </c>
      <c r="I85" s="127"/>
      <c r="J85" s="456"/>
      <c r="K85" s="456"/>
    </row>
    <row r="86" spans="1:11">
      <c r="A86" s="541"/>
      <c r="B86" s="125"/>
      <c r="C86" s="120"/>
      <c r="D86" s="123" t="s">
        <v>684</v>
      </c>
      <c r="F86" s="555">
        <v>270000</v>
      </c>
      <c r="G86" s="556"/>
      <c r="H86" s="131" t="s">
        <v>957</v>
      </c>
      <c r="I86" s="127"/>
      <c r="K86" s="456"/>
    </row>
    <row r="87" spans="1:11">
      <c r="A87" s="541"/>
      <c r="B87" s="125"/>
      <c r="C87" s="120"/>
      <c r="D87" s="123" t="s">
        <v>14</v>
      </c>
      <c r="F87" s="555">
        <v>750000</v>
      </c>
      <c r="G87" s="556"/>
      <c r="H87" s="131" t="s">
        <v>958</v>
      </c>
      <c r="I87" s="127"/>
      <c r="K87" s="456"/>
    </row>
    <row r="88" spans="1:11">
      <c r="A88" s="541"/>
      <c r="B88" s="125"/>
      <c r="C88" s="120"/>
      <c r="D88" s="123" t="s">
        <v>714</v>
      </c>
      <c r="F88" s="555">
        <v>30000</v>
      </c>
      <c r="G88" s="556"/>
      <c r="H88" s="131" t="s">
        <v>959</v>
      </c>
      <c r="I88" s="127"/>
      <c r="K88" s="456"/>
    </row>
    <row r="89" spans="1:11">
      <c r="A89" s="541"/>
      <c r="B89" s="125"/>
      <c r="C89" s="120"/>
      <c r="D89" s="123" t="s">
        <v>770</v>
      </c>
      <c r="F89" s="555">
        <v>10000</v>
      </c>
      <c r="G89" s="556"/>
      <c r="H89" s="131" t="s">
        <v>770</v>
      </c>
      <c r="I89" s="127"/>
      <c r="J89" s="456">
        <f>F89</f>
        <v>10000</v>
      </c>
      <c r="K89" s="456"/>
    </row>
    <row r="90" spans="1:11">
      <c r="A90" s="541"/>
      <c r="B90" s="125"/>
      <c r="C90" s="120"/>
      <c r="D90" s="123"/>
      <c r="E90" s="131" t="s">
        <v>644</v>
      </c>
      <c r="F90" s="555"/>
      <c r="G90" s="556">
        <f>SUM(F51:F89)</f>
        <v>9885558</v>
      </c>
      <c r="H90" s="131" t="s">
        <v>807</v>
      </c>
      <c r="I90" s="127"/>
      <c r="J90" s="456">
        <f>SUM(J51:J89)-G90</f>
        <v>0</v>
      </c>
      <c r="K90" s="456"/>
    </row>
    <row r="91" spans="1:11">
      <c r="A91" s="541"/>
      <c r="B91" s="125"/>
      <c r="C91" s="120"/>
      <c r="D91" s="123"/>
      <c r="F91" s="555"/>
      <c r="G91" s="556"/>
      <c r="I91" s="127"/>
      <c r="J91" s="456"/>
      <c r="K91" s="456"/>
    </row>
    <row r="92" spans="1:11">
      <c r="A92" s="542" t="s">
        <v>882</v>
      </c>
      <c r="B92" s="120" t="s">
        <v>967</v>
      </c>
      <c r="C92" s="120"/>
      <c r="D92" s="123" t="s">
        <v>960</v>
      </c>
      <c r="F92" s="555">
        <v>800000</v>
      </c>
      <c r="G92" s="556"/>
      <c r="H92" s="131" t="s">
        <v>962</v>
      </c>
      <c r="I92" s="127"/>
      <c r="J92" s="456"/>
      <c r="K92" s="456"/>
    </row>
    <row r="93" spans="1:11">
      <c r="A93" s="541"/>
      <c r="B93" s="125"/>
      <c r="C93" s="120"/>
      <c r="D93" s="123" t="s">
        <v>961</v>
      </c>
      <c r="F93" s="555">
        <v>992550</v>
      </c>
      <c r="G93" s="556"/>
      <c r="H93" s="131" t="s">
        <v>963</v>
      </c>
      <c r="I93" s="127"/>
      <c r="J93" s="456"/>
      <c r="K93" s="456"/>
    </row>
    <row r="94" spans="1:11">
      <c r="A94" s="541"/>
      <c r="B94" s="125"/>
      <c r="C94" s="120"/>
      <c r="D94" s="123" t="s">
        <v>692</v>
      </c>
      <c r="F94" s="555">
        <v>1616999</v>
      </c>
      <c r="G94" s="556"/>
      <c r="H94" s="131" t="s">
        <v>692</v>
      </c>
      <c r="I94" s="127"/>
      <c r="J94" s="456"/>
      <c r="K94" s="456"/>
    </row>
    <row r="95" spans="1:11">
      <c r="A95" s="541"/>
      <c r="B95" s="125"/>
      <c r="C95" s="120"/>
      <c r="D95" s="123" t="s">
        <v>61</v>
      </c>
      <c r="F95" s="555">
        <v>1000000</v>
      </c>
      <c r="G95" s="556"/>
      <c r="H95" s="131" t="s">
        <v>964</v>
      </c>
      <c r="I95" s="127"/>
      <c r="J95" s="456"/>
      <c r="K95" s="456"/>
    </row>
    <row r="96" spans="1:11">
      <c r="A96" s="541"/>
      <c r="B96" s="125"/>
      <c r="C96" s="120"/>
      <c r="D96" s="123" t="s">
        <v>738</v>
      </c>
      <c r="F96" s="555">
        <v>613030</v>
      </c>
      <c r="G96" s="556"/>
      <c r="H96" s="131" t="s">
        <v>965</v>
      </c>
      <c r="I96" s="127"/>
    </row>
    <row r="97" spans="1:9">
      <c r="A97" s="542"/>
      <c r="B97" s="120"/>
      <c r="C97" s="120"/>
      <c r="D97" s="131" t="s">
        <v>644</v>
      </c>
      <c r="F97" s="555">
        <f>G90</f>
        <v>9885558</v>
      </c>
      <c r="G97" s="555"/>
      <c r="H97" s="131" t="s">
        <v>644</v>
      </c>
      <c r="I97" s="127"/>
    </row>
    <row r="98" spans="1:9">
      <c r="A98" s="542"/>
      <c r="B98" s="120"/>
      <c r="C98" s="120"/>
      <c r="D98" s="131" t="s">
        <v>641</v>
      </c>
      <c r="E98" s="120"/>
      <c r="F98" s="555">
        <v>63</v>
      </c>
      <c r="G98" s="555"/>
      <c r="H98" s="131" t="s">
        <v>641</v>
      </c>
      <c r="I98" s="127"/>
    </row>
    <row r="99" spans="1:9">
      <c r="A99" s="542"/>
      <c r="B99" s="120"/>
      <c r="C99" s="120"/>
      <c r="E99" s="120" t="s">
        <v>683</v>
      </c>
      <c r="F99" s="555"/>
      <c r="G99" s="555">
        <f>SUM(F92:F98)</f>
        <v>14908200</v>
      </c>
      <c r="H99" s="131" t="s">
        <v>740</v>
      </c>
      <c r="I99" s="127"/>
    </row>
    <row r="100" spans="1:9" s="131" customFormat="1">
      <c r="A100" s="542"/>
      <c r="B100" s="120"/>
      <c r="C100" s="120"/>
      <c r="E100" s="120"/>
      <c r="F100" s="555"/>
      <c r="G100" s="555"/>
      <c r="I100" s="127"/>
    </row>
    <row r="101" spans="1:9">
      <c r="A101" s="542" t="s">
        <v>887</v>
      </c>
      <c r="B101" s="120" t="s">
        <v>970</v>
      </c>
      <c r="C101" s="120"/>
      <c r="D101" s="131" t="s">
        <v>688</v>
      </c>
      <c r="F101" s="555">
        <v>7156000</v>
      </c>
      <c r="G101" s="555"/>
      <c r="H101" s="131" t="s">
        <v>971</v>
      </c>
      <c r="I101" s="127"/>
    </row>
    <row r="102" spans="1:9">
      <c r="A102" s="542"/>
      <c r="B102" s="120"/>
      <c r="C102" s="120"/>
      <c r="D102" s="123"/>
      <c r="E102" s="131" t="s">
        <v>683</v>
      </c>
      <c r="F102" s="555"/>
      <c r="G102" s="556">
        <f>F101</f>
        <v>7156000</v>
      </c>
      <c r="H102" s="131" t="s">
        <v>972</v>
      </c>
      <c r="I102" s="127"/>
    </row>
    <row r="103" spans="1:9">
      <c r="A103" s="542"/>
      <c r="B103" s="120"/>
      <c r="C103" s="120"/>
      <c r="E103" s="120"/>
      <c r="F103" s="561"/>
      <c r="G103" s="555"/>
      <c r="I103" s="127"/>
    </row>
    <row r="104" spans="1:9">
      <c r="A104" s="542" t="s">
        <v>887</v>
      </c>
      <c r="B104" s="120" t="s">
        <v>976</v>
      </c>
      <c r="C104" s="120"/>
      <c r="D104" s="131" t="s">
        <v>61</v>
      </c>
      <c r="E104" s="120"/>
      <c r="F104" s="555">
        <v>1690000</v>
      </c>
      <c r="G104" s="555"/>
      <c r="H104" s="131" t="s">
        <v>812</v>
      </c>
      <c r="I104" s="127"/>
    </row>
    <row r="105" spans="1:9">
      <c r="A105" s="542"/>
      <c r="B105" s="120"/>
      <c r="C105" s="120"/>
      <c r="D105" s="131" t="s">
        <v>974</v>
      </c>
      <c r="F105" s="555">
        <v>395670</v>
      </c>
      <c r="G105" s="555"/>
      <c r="H105" s="131" t="s">
        <v>686</v>
      </c>
      <c r="I105" s="127"/>
    </row>
    <row r="106" spans="1:9">
      <c r="A106" s="542"/>
      <c r="B106" s="120"/>
      <c r="C106" s="120"/>
      <c r="D106" s="120"/>
      <c r="E106" s="120" t="s">
        <v>683</v>
      </c>
      <c r="G106" s="126">
        <f>SUM(F104:F105)</f>
        <v>2085670</v>
      </c>
      <c r="H106" s="131" t="s">
        <v>973</v>
      </c>
      <c r="I106" s="127"/>
    </row>
    <row r="107" spans="1:9">
      <c r="A107" s="542"/>
      <c r="B107" s="120"/>
      <c r="C107" s="120"/>
      <c r="E107" s="120"/>
      <c r="F107" s="561"/>
      <c r="G107" s="555"/>
      <c r="I107" s="127"/>
    </row>
    <row r="108" spans="1:9">
      <c r="A108" s="542" t="s">
        <v>887</v>
      </c>
      <c r="B108" s="120" t="s">
        <v>977</v>
      </c>
      <c r="C108" s="120"/>
      <c r="D108" s="131" t="s">
        <v>738</v>
      </c>
      <c r="E108" s="120"/>
      <c r="F108" s="555">
        <v>2112000</v>
      </c>
      <c r="G108" s="555"/>
      <c r="H108" s="131" t="s">
        <v>975</v>
      </c>
      <c r="I108" s="127"/>
    </row>
    <row r="109" spans="1:9">
      <c r="A109" s="542"/>
      <c r="B109" s="120"/>
      <c r="C109" s="120"/>
      <c r="E109" s="120" t="s">
        <v>683</v>
      </c>
      <c r="F109" s="555"/>
      <c r="G109" s="555">
        <f>F108</f>
        <v>2112000</v>
      </c>
      <c r="H109" s="131" t="s">
        <v>975</v>
      </c>
      <c r="I109" s="127"/>
    </row>
    <row r="110" spans="1:9">
      <c r="A110" s="542"/>
      <c r="B110" s="120"/>
      <c r="C110" s="120"/>
      <c r="E110" s="120"/>
      <c r="F110" s="561"/>
      <c r="G110" s="555"/>
      <c r="I110" s="127"/>
    </row>
    <row r="111" spans="1:9">
      <c r="A111" s="542" t="s">
        <v>887</v>
      </c>
      <c r="B111" s="120" t="s">
        <v>978</v>
      </c>
      <c r="C111" s="120"/>
      <c r="D111" s="131" t="s">
        <v>686</v>
      </c>
      <c r="E111" s="120"/>
      <c r="F111" s="527">
        <v>4753164</v>
      </c>
      <c r="G111" s="126"/>
      <c r="H111" s="131" t="s">
        <v>686</v>
      </c>
      <c r="I111" s="127"/>
    </row>
    <row r="112" spans="1:9">
      <c r="A112" s="542"/>
      <c r="B112" s="120"/>
      <c r="C112" s="120"/>
      <c r="D112" s="120"/>
      <c r="E112" s="120" t="s">
        <v>683</v>
      </c>
      <c r="G112" s="126">
        <f>F111</f>
        <v>4753164</v>
      </c>
      <c r="H112" s="131" t="s">
        <v>686</v>
      </c>
      <c r="I112" s="127"/>
    </row>
    <row r="113" spans="1:9">
      <c r="A113" s="542"/>
      <c r="B113" s="120"/>
      <c r="C113" s="120"/>
      <c r="E113" s="120"/>
      <c r="F113" s="555"/>
      <c r="G113" s="555"/>
      <c r="I113" s="127"/>
    </row>
    <row r="114" spans="1:9">
      <c r="A114" s="542" t="s">
        <v>979</v>
      </c>
      <c r="B114" s="120" t="s">
        <v>980</v>
      </c>
      <c r="C114" s="120"/>
      <c r="D114" s="131" t="s">
        <v>808</v>
      </c>
      <c r="E114" s="120"/>
      <c r="F114" s="555">
        <v>7364391</v>
      </c>
      <c r="G114" s="555"/>
      <c r="H114" s="131" t="s">
        <v>810</v>
      </c>
      <c r="I114" s="127"/>
    </row>
    <row r="115" spans="1:9">
      <c r="A115" s="542"/>
      <c r="B115" s="120"/>
      <c r="C115" s="120"/>
      <c r="D115" s="131" t="s">
        <v>772</v>
      </c>
      <c r="E115" s="120"/>
      <c r="F115" s="555"/>
      <c r="G115" s="555">
        <v>303722</v>
      </c>
      <c r="H115" s="131" t="s">
        <v>814</v>
      </c>
      <c r="I115" s="127"/>
    </row>
    <row r="116" spans="1:9">
      <c r="A116" s="542"/>
      <c r="B116" s="120"/>
      <c r="C116" s="120"/>
      <c r="E116" s="120" t="s">
        <v>683</v>
      </c>
      <c r="F116" s="555"/>
      <c r="G116" s="555">
        <f>SUM(F114:F114)-G115</f>
        <v>7060669</v>
      </c>
      <c r="H116" s="131" t="s">
        <v>822</v>
      </c>
      <c r="I116" s="127"/>
    </row>
    <row r="117" spans="1:9">
      <c r="A117" s="542"/>
      <c r="B117" s="120"/>
      <c r="C117" s="120"/>
      <c r="E117" s="120"/>
      <c r="F117" s="555"/>
      <c r="G117" s="555"/>
      <c r="I117" s="127"/>
    </row>
    <row r="118" spans="1:9">
      <c r="A118" s="542" t="s">
        <v>979</v>
      </c>
      <c r="B118" s="120" t="s">
        <v>984</v>
      </c>
      <c r="C118" s="120"/>
      <c r="D118" s="120" t="s">
        <v>693</v>
      </c>
      <c r="E118" s="120"/>
      <c r="F118" s="527">
        <v>3080000</v>
      </c>
      <c r="G118" s="121"/>
      <c r="H118" s="123" t="s">
        <v>981</v>
      </c>
      <c r="I118" s="127"/>
    </row>
    <row r="119" spans="1:9">
      <c r="A119" s="542"/>
      <c r="B119" s="120"/>
      <c r="C119" s="120"/>
      <c r="D119" s="120"/>
      <c r="E119" s="123"/>
      <c r="F119" s="123"/>
      <c r="G119" s="469">
        <f>F118</f>
        <v>3080000</v>
      </c>
      <c r="H119" s="123" t="s">
        <v>981</v>
      </c>
      <c r="I119" s="127"/>
    </row>
    <row r="120" spans="1:9">
      <c r="A120" s="542"/>
      <c r="B120" s="120"/>
      <c r="C120" s="120"/>
      <c r="E120" s="120"/>
      <c r="F120" s="555"/>
      <c r="G120" s="555"/>
      <c r="I120" s="127"/>
    </row>
    <row r="121" spans="1:9">
      <c r="A121" s="542" t="s">
        <v>979</v>
      </c>
      <c r="B121" s="120" t="s">
        <v>985</v>
      </c>
      <c r="C121" s="120"/>
      <c r="D121" s="131" t="s">
        <v>982</v>
      </c>
      <c r="E121" s="120"/>
      <c r="F121" s="555">
        <v>12250033</v>
      </c>
      <c r="G121" s="555"/>
      <c r="H121" s="131" t="s">
        <v>983</v>
      </c>
      <c r="I121" s="127"/>
    </row>
    <row r="122" spans="1:9">
      <c r="A122" s="542"/>
      <c r="B122" s="120"/>
      <c r="C122" s="120"/>
      <c r="E122" s="120" t="s">
        <v>683</v>
      </c>
      <c r="G122" s="126">
        <f>F121</f>
        <v>12250033</v>
      </c>
      <c r="H122" s="131" t="s">
        <v>983</v>
      </c>
      <c r="I122" s="127"/>
    </row>
    <row r="123" spans="1:9">
      <c r="A123" s="542"/>
      <c r="B123" s="120"/>
      <c r="C123" s="120"/>
      <c r="E123" s="120"/>
      <c r="F123" s="555"/>
      <c r="G123" s="555"/>
      <c r="I123" s="127"/>
    </row>
    <row r="124" spans="1:9">
      <c r="A124" s="542" t="s">
        <v>979</v>
      </c>
      <c r="B124" s="120" t="s">
        <v>986</v>
      </c>
      <c r="C124" s="120"/>
      <c r="D124" s="131" t="s">
        <v>738</v>
      </c>
      <c r="E124" s="120"/>
      <c r="F124" s="555">
        <v>16912500</v>
      </c>
      <c r="G124" s="555"/>
      <c r="H124" s="131" t="s">
        <v>987</v>
      </c>
      <c r="I124" s="127"/>
    </row>
    <row r="125" spans="1:9">
      <c r="A125" s="542"/>
      <c r="B125" s="120"/>
      <c r="C125" s="120"/>
      <c r="E125" s="120" t="s">
        <v>683</v>
      </c>
      <c r="G125" s="126">
        <f>F124</f>
        <v>16912500</v>
      </c>
      <c r="H125" s="131" t="s">
        <v>987</v>
      </c>
      <c r="I125" s="127"/>
    </row>
    <row r="126" spans="1:9" s="591" customFormat="1">
      <c r="A126" s="589"/>
      <c r="B126" s="590"/>
      <c r="C126" s="590"/>
      <c r="E126" s="590"/>
      <c r="F126" s="592"/>
      <c r="G126" s="592"/>
      <c r="I126" s="593"/>
    </row>
    <row r="127" spans="1:9">
      <c r="A127" s="542" t="s">
        <v>988</v>
      </c>
      <c r="B127" s="120" t="s">
        <v>989</v>
      </c>
      <c r="C127" s="120"/>
      <c r="D127" s="131" t="s">
        <v>686</v>
      </c>
      <c r="E127" s="120"/>
      <c r="F127" s="527">
        <v>2856005</v>
      </c>
      <c r="G127" s="126"/>
      <c r="H127" s="131" t="s">
        <v>686</v>
      </c>
      <c r="I127" s="127"/>
    </row>
    <row r="128" spans="1:9">
      <c r="A128" s="542"/>
      <c r="B128" s="120"/>
      <c r="C128" s="120"/>
      <c r="D128" s="131" t="s">
        <v>992</v>
      </c>
      <c r="E128" s="120"/>
      <c r="F128" s="555">
        <v>140120</v>
      </c>
      <c r="G128" s="555"/>
      <c r="H128" s="131" t="s">
        <v>849</v>
      </c>
      <c r="I128" s="127"/>
    </row>
    <row r="129" spans="1:9">
      <c r="A129" s="542"/>
      <c r="B129" s="120"/>
      <c r="C129" s="120"/>
      <c r="D129" s="120"/>
      <c r="E129" s="120" t="s">
        <v>683</v>
      </c>
      <c r="G129" s="126">
        <f>SUM(F127:F128)</f>
        <v>2996125</v>
      </c>
      <c r="H129" s="131" t="s">
        <v>686</v>
      </c>
      <c r="I129" s="127"/>
    </row>
    <row r="130" spans="1:9">
      <c r="A130" s="542"/>
      <c r="B130" s="120"/>
      <c r="C130" s="120"/>
      <c r="E130" s="120"/>
      <c r="F130" s="555"/>
      <c r="G130" s="555"/>
      <c r="I130" s="127"/>
    </row>
    <row r="131" spans="1:9">
      <c r="A131" s="542" t="s">
        <v>988</v>
      </c>
      <c r="B131" s="120" t="s">
        <v>991</v>
      </c>
      <c r="C131" s="120"/>
      <c r="D131" s="131" t="s">
        <v>738</v>
      </c>
      <c r="E131" s="120"/>
      <c r="F131" s="555">
        <v>3200000</v>
      </c>
      <c r="G131" s="555"/>
      <c r="H131" s="131" t="s">
        <v>990</v>
      </c>
      <c r="I131" s="127"/>
    </row>
    <row r="132" spans="1:9">
      <c r="A132" s="542"/>
      <c r="B132" s="120"/>
      <c r="C132" s="120"/>
      <c r="E132" s="120" t="s">
        <v>683</v>
      </c>
      <c r="F132" s="555"/>
      <c r="G132" s="555">
        <f>F131</f>
        <v>3200000</v>
      </c>
      <c r="H132" s="131" t="s">
        <v>990</v>
      </c>
      <c r="I132" s="127"/>
    </row>
    <row r="133" spans="1:9">
      <c r="A133" s="542"/>
      <c r="B133" s="120"/>
      <c r="C133" s="120"/>
      <c r="D133" s="123"/>
      <c r="E133" s="123"/>
      <c r="F133" s="123"/>
      <c r="G133" s="123"/>
      <c r="H133" s="123"/>
      <c r="I133" s="127"/>
    </row>
    <row r="134" spans="1:9">
      <c r="A134" s="542" t="s">
        <v>988</v>
      </c>
      <c r="B134" s="120" t="s">
        <v>993</v>
      </c>
      <c r="C134" s="120"/>
      <c r="D134" s="131" t="s">
        <v>825</v>
      </c>
      <c r="F134" s="555">
        <v>3648000</v>
      </c>
      <c r="G134" s="555"/>
      <c r="H134" s="131" t="s">
        <v>825</v>
      </c>
      <c r="I134" s="127"/>
    </row>
    <row r="135" spans="1:9">
      <c r="A135" s="542"/>
      <c r="B135" s="120"/>
      <c r="C135" s="120"/>
      <c r="D135" s="123"/>
      <c r="E135" s="131" t="s">
        <v>683</v>
      </c>
      <c r="F135" s="555"/>
      <c r="G135" s="556">
        <f>F134</f>
        <v>3648000</v>
      </c>
      <c r="H135" s="131" t="s">
        <v>825</v>
      </c>
      <c r="I135" s="127"/>
    </row>
    <row r="136" spans="1:9">
      <c r="A136" s="542"/>
      <c r="B136" s="120"/>
      <c r="C136" s="120"/>
      <c r="I136" s="127"/>
    </row>
    <row r="137" spans="1:9">
      <c r="A137" s="542" t="s">
        <v>988</v>
      </c>
      <c r="B137" s="120" t="s">
        <v>994</v>
      </c>
      <c r="C137" s="120"/>
      <c r="D137" s="131" t="s">
        <v>686</v>
      </c>
      <c r="E137" s="120"/>
      <c r="F137" s="527">
        <v>2093300</v>
      </c>
      <c r="G137" s="126"/>
      <c r="H137" s="131" t="s">
        <v>686</v>
      </c>
      <c r="I137" s="127"/>
    </row>
    <row r="138" spans="1:9" s="131" customFormat="1">
      <c r="A138" s="542"/>
      <c r="B138" s="120"/>
      <c r="C138" s="120"/>
      <c r="D138" s="131" t="s">
        <v>61</v>
      </c>
      <c r="E138" s="120"/>
      <c r="F138" s="555">
        <v>63000</v>
      </c>
      <c r="G138" s="555"/>
      <c r="H138" s="131" t="s">
        <v>995</v>
      </c>
      <c r="I138" s="127"/>
    </row>
    <row r="139" spans="1:9">
      <c r="A139" s="542"/>
      <c r="B139" s="120"/>
      <c r="C139" s="120"/>
      <c r="D139" s="120"/>
      <c r="E139" s="120" t="s">
        <v>683</v>
      </c>
      <c r="G139" s="126">
        <f>SUM(F137:F138)</f>
        <v>2156300</v>
      </c>
      <c r="H139" s="131" t="s">
        <v>686</v>
      </c>
      <c r="I139" s="127"/>
    </row>
    <row r="140" spans="1:9">
      <c r="A140" s="542"/>
      <c r="B140" s="120"/>
      <c r="C140" s="120"/>
      <c r="E140" s="120"/>
      <c r="F140" s="555"/>
      <c r="G140" s="555"/>
      <c r="I140" s="127"/>
    </row>
    <row r="141" spans="1:9">
      <c r="A141" s="542" t="s">
        <v>996</v>
      </c>
      <c r="B141" s="120" t="s">
        <v>997</v>
      </c>
      <c r="C141" s="120"/>
      <c r="D141" s="131" t="s">
        <v>998</v>
      </c>
      <c r="E141" s="120"/>
      <c r="F141" s="555">
        <v>10648000</v>
      </c>
      <c r="G141" s="555"/>
      <c r="H141" s="131" t="s">
        <v>999</v>
      </c>
      <c r="I141" s="127"/>
    </row>
    <row r="142" spans="1:9">
      <c r="A142" s="542"/>
      <c r="B142" s="120"/>
      <c r="C142" s="120"/>
      <c r="E142" s="120" t="s">
        <v>345</v>
      </c>
      <c r="F142" s="555"/>
      <c r="G142" s="555">
        <f>F141</f>
        <v>10648000</v>
      </c>
      <c r="H142" s="131" t="s">
        <v>999</v>
      </c>
      <c r="I142" s="127"/>
    </row>
    <row r="143" spans="1:9">
      <c r="A143" s="542"/>
      <c r="B143" s="120"/>
      <c r="C143" s="120"/>
      <c r="D143" s="120"/>
      <c r="E143" s="120"/>
      <c r="F143" s="561"/>
      <c r="G143" s="584"/>
      <c r="H143" s="585"/>
      <c r="I143" s="127"/>
    </row>
    <row r="144" spans="1:9">
      <c r="A144" s="542" t="s">
        <v>996</v>
      </c>
      <c r="B144" s="120" t="s">
        <v>1000</v>
      </c>
      <c r="C144" s="120"/>
      <c r="D144" s="131" t="s">
        <v>710</v>
      </c>
      <c r="E144" s="120"/>
      <c r="F144" s="527">
        <v>7800001</v>
      </c>
      <c r="G144" s="126"/>
      <c r="H144" s="131" t="s">
        <v>1002</v>
      </c>
      <c r="I144" s="127"/>
    </row>
    <row r="145" spans="1:10">
      <c r="A145" s="542"/>
      <c r="B145" s="120"/>
      <c r="C145" s="120"/>
      <c r="D145" s="120"/>
      <c r="E145" s="120" t="s">
        <v>683</v>
      </c>
      <c r="G145" s="126">
        <f>F144</f>
        <v>7800001</v>
      </c>
      <c r="H145" s="131" t="s">
        <v>1002</v>
      </c>
      <c r="I145" s="127"/>
    </row>
    <row r="146" spans="1:10">
      <c r="A146" s="542"/>
      <c r="B146" s="120"/>
      <c r="C146" s="120"/>
      <c r="D146" s="120"/>
      <c r="E146" s="120"/>
      <c r="F146" s="561"/>
      <c r="G146" s="584"/>
      <c r="H146" s="585"/>
      <c r="I146" s="127"/>
    </row>
    <row r="147" spans="1:10">
      <c r="A147" s="542" t="s">
        <v>996</v>
      </c>
      <c r="B147" s="120" t="s">
        <v>1001</v>
      </c>
      <c r="C147" s="120"/>
      <c r="D147" s="131" t="s">
        <v>710</v>
      </c>
      <c r="E147" s="120"/>
      <c r="F147" s="527">
        <v>6196000</v>
      </c>
      <c r="G147" s="126"/>
      <c r="H147" s="131" t="s">
        <v>1003</v>
      </c>
      <c r="I147" s="127"/>
    </row>
    <row r="148" spans="1:10">
      <c r="A148" s="542"/>
      <c r="B148" s="120"/>
      <c r="C148" s="120"/>
      <c r="D148" s="131" t="s">
        <v>710</v>
      </c>
      <c r="E148" s="120"/>
      <c r="F148" s="527">
        <v>1040000</v>
      </c>
      <c r="G148" s="126"/>
      <c r="H148" s="131" t="s">
        <v>1004</v>
      </c>
      <c r="I148" s="127"/>
    </row>
    <row r="149" spans="1:10">
      <c r="A149" s="542"/>
      <c r="B149" s="120"/>
      <c r="C149" s="120"/>
      <c r="D149" s="120"/>
      <c r="E149" s="120" t="s">
        <v>683</v>
      </c>
      <c r="G149" s="126">
        <f>SUM(F147:F148)</f>
        <v>7236000</v>
      </c>
      <c r="H149" s="131" t="s">
        <v>1005</v>
      </c>
      <c r="I149" s="127"/>
    </row>
    <row r="150" spans="1:10" s="591" customFormat="1">
      <c r="A150" s="589"/>
      <c r="B150" s="590"/>
      <c r="C150" s="590"/>
      <c r="E150" s="590"/>
      <c r="F150" s="592"/>
      <c r="G150" s="592"/>
      <c r="I150" s="593"/>
    </row>
    <row r="151" spans="1:10">
      <c r="A151" s="542" t="s">
        <v>1048</v>
      </c>
      <c r="B151" s="120" t="s">
        <v>1052</v>
      </c>
      <c r="C151" s="120"/>
      <c r="D151" s="131" t="s">
        <v>710</v>
      </c>
      <c r="E151" s="120"/>
      <c r="F151" s="555">
        <v>150000</v>
      </c>
      <c r="G151" s="555"/>
      <c r="H151" s="131" t="s">
        <v>1006</v>
      </c>
      <c r="I151" s="127"/>
      <c r="J151" s="456">
        <f>F151+F157+F199</f>
        <v>829134</v>
      </c>
    </row>
    <row r="152" spans="1:10">
      <c r="A152" s="542"/>
      <c r="B152" s="120"/>
      <c r="C152" s="120"/>
      <c r="D152" s="131" t="s">
        <v>850</v>
      </c>
      <c r="E152" s="120"/>
      <c r="F152" s="555">
        <v>411950</v>
      </c>
      <c r="G152" s="555"/>
      <c r="H152" s="131" t="s">
        <v>1007</v>
      </c>
      <c r="I152" s="127"/>
      <c r="J152" s="456">
        <f>F152+F163+F200</f>
        <v>1081950</v>
      </c>
    </row>
    <row r="153" spans="1:10">
      <c r="A153" s="542"/>
      <c r="B153" s="120"/>
      <c r="C153" s="120"/>
      <c r="D153" s="131" t="s">
        <v>806</v>
      </c>
      <c r="E153" s="120"/>
      <c r="F153" s="555">
        <v>200650</v>
      </c>
      <c r="G153" s="555"/>
      <c r="H153" s="131" t="s">
        <v>1008</v>
      </c>
      <c r="I153" s="127"/>
      <c r="J153" s="456">
        <f>F153+F173+F174+F175+F176+F178+F188+F189+F193+F196+F202+F203+F204+F160</f>
        <v>1052070</v>
      </c>
    </row>
    <row r="154" spans="1:10">
      <c r="A154" s="542"/>
      <c r="B154" s="120"/>
      <c r="C154" s="120"/>
      <c r="D154" s="131" t="s">
        <v>813</v>
      </c>
      <c r="E154" s="120"/>
      <c r="F154" s="555">
        <v>19000</v>
      </c>
      <c r="G154" s="555"/>
      <c r="H154" s="131" t="s">
        <v>1009</v>
      </c>
      <c r="I154" s="127"/>
      <c r="J154" s="456">
        <f>F154+F162+F166+F168+F172+F187+F192+F195</f>
        <v>623000</v>
      </c>
    </row>
    <row r="155" spans="1:10">
      <c r="A155" s="542"/>
      <c r="B155" s="120"/>
      <c r="C155" s="120"/>
      <c r="D155" s="131" t="s">
        <v>14</v>
      </c>
      <c r="E155" s="120"/>
      <c r="F155" s="555">
        <v>150000</v>
      </c>
      <c r="G155" s="555"/>
      <c r="H155" s="131" t="s">
        <v>1010</v>
      </c>
      <c r="I155" s="127"/>
      <c r="J155" s="456">
        <f>F155+F156+F177+F181+F198+F201</f>
        <v>647130</v>
      </c>
    </row>
    <row r="156" spans="1:10">
      <c r="A156" s="542"/>
      <c r="B156" s="120"/>
      <c r="C156" s="120"/>
      <c r="D156" s="131" t="s">
        <v>14</v>
      </c>
      <c r="E156" s="120"/>
      <c r="F156" s="555">
        <v>55000</v>
      </c>
      <c r="G156" s="555"/>
      <c r="H156" s="131" t="s">
        <v>1011</v>
      </c>
      <c r="I156" s="127"/>
    </row>
    <row r="157" spans="1:10">
      <c r="A157" s="542"/>
      <c r="B157" s="120"/>
      <c r="C157" s="120"/>
      <c r="D157" s="131" t="s">
        <v>710</v>
      </c>
      <c r="E157" s="120"/>
      <c r="F157" s="555">
        <v>119134</v>
      </c>
      <c r="G157" s="555"/>
      <c r="H157" s="131" t="s">
        <v>1012</v>
      </c>
      <c r="I157" s="127"/>
    </row>
    <row r="158" spans="1:10">
      <c r="A158" s="542"/>
      <c r="B158" s="120"/>
      <c r="C158" s="120"/>
      <c r="D158" s="131" t="s">
        <v>1055</v>
      </c>
      <c r="E158" s="120"/>
      <c r="F158" s="555">
        <v>50000</v>
      </c>
      <c r="G158" s="555"/>
      <c r="H158" s="131" t="s">
        <v>692</v>
      </c>
      <c r="I158" s="127"/>
      <c r="J158" s="456">
        <f>F158</f>
        <v>50000</v>
      </c>
    </row>
    <row r="159" spans="1:10">
      <c r="A159" s="542"/>
      <c r="B159" s="120"/>
      <c r="C159" s="120"/>
      <c r="D159" s="131" t="s">
        <v>1056</v>
      </c>
      <c r="E159" s="120"/>
      <c r="F159" s="555">
        <v>103000</v>
      </c>
      <c r="G159" s="555"/>
      <c r="H159" s="131" t="s">
        <v>1013</v>
      </c>
      <c r="I159" s="127"/>
      <c r="J159" s="456">
        <f>F159+F184</f>
        <v>223000</v>
      </c>
    </row>
    <row r="160" spans="1:10">
      <c r="A160" s="542"/>
      <c r="B160" s="120"/>
      <c r="C160" s="120"/>
      <c r="D160" s="131" t="s">
        <v>806</v>
      </c>
      <c r="E160" s="120"/>
      <c r="F160" s="555">
        <v>55400</v>
      </c>
      <c r="G160" s="555"/>
      <c r="H160" s="131" t="s">
        <v>1008</v>
      </c>
      <c r="I160" s="127"/>
    </row>
    <row r="161" spans="1:10">
      <c r="A161" s="542"/>
      <c r="B161" s="120"/>
      <c r="C161" s="120"/>
      <c r="D161" s="131" t="s">
        <v>702</v>
      </c>
      <c r="E161" s="120"/>
      <c r="F161" s="555">
        <v>67869</v>
      </c>
      <c r="G161" s="555"/>
      <c r="H161" s="131" t="s">
        <v>1014</v>
      </c>
      <c r="I161" s="127"/>
      <c r="J161" s="456">
        <f>F161+F171+F191+F194</f>
        <v>1636869</v>
      </c>
    </row>
    <row r="162" spans="1:10">
      <c r="A162" s="542"/>
      <c r="B162" s="120"/>
      <c r="C162" s="120"/>
      <c r="D162" s="131" t="s">
        <v>813</v>
      </c>
      <c r="E162" s="120"/>
      <c r="F162" s="555">
        <v>14000</v>
      </c>
      <c r="G162" s="555"/>
      <c r="H162" s="131" t="s">
        <v>1014</v>
      </c>
      <c r="I162" s="127"/>
    </row>
    <row r="163" spans="1:10">
      <c r="A163" s="542"/>
      <c r="B163" s="120"/>
      <c r="C163" s="120"/>
      <c r="D163" s="131" t="s">
        <v>850</v>
      </c>
      <c r="E163" s="120"/>
      <c r="F163" s="555">
        <v>570000</v>
      </c>
      <c r="G163" s="555"/>
      <c r="H163" s="131" t="s">
        <v>1015</v>
      </c>
      <c r="I163" s="127"/>
    </row>
    <row r="164" spans="1:10">
      <c r="A164" s="542"/>
      <c r="B164" s="120"/>
      <c r="C164" s="120"/>
      <c r="D164" s="131" t="s">
        <v>684</v>
      </c>
      <c r="E164" s="120"/>
      <c r="F164" s="555">
        <v>300000</v>
      </c>
      <c r="G164" s="555"/>
      <c r="H164" s="131" t="s">
        <v>1016</v>
      </c>
      <c r="I164" s="127"/>
      <c r="J164" s="456">
        <f>F164+F165+F185+F186</f>
        <v>1425000</v>
      </c>
    </row>
    <row r="165" spans="1:10">
      <c r="A165" s="542"/>
      <c r="B165" s="120"/>
      <c r="C165" s="120"/>
      <c r="D165" s="131" t="s">
        <v>684</v>
      </c>
      <c r="E165" s="120"/>
      <c r="F165" s="555">
        <v>405000</v>
      </c>
      <c r="G165" s="555"/>
      <c r="H165" s="131" t="s">
        <v>1017</v>
      </c>
      <c r="I165" s="127"/>
    </row>
    <row r="166" spans="1:10">
      <c r="A166" s="542"/>
      <c r="B166" s="120"/>
      <c r="C166" s="120"/>
      <c r="D166" s="131" t="s">
        <v>813</v>
      </c>
      <c r="E166" s="120"/>
      <c r="F166" s="555">
        <v>150000</v>
      </c>
      <c r="G166" s="555"/>
      <c r="H166" s="131" t="s">
        <v>1018</v>
      </c>
      <c r="I166" s="127"/>
    </row>
    <row r="167" spans="1:10">
      <c r="A167" s="542"/>
      <c r="B167" s="120"/>
      <c r="C167" s="120"/>
      <c r="D167" s="131" t="s">
        <v>714</v>
      </c>
      <c r="E167" s="120"/>
      <c r="F167" s="555">
        <v>132000</v>
      </c>
      <c r="G167" s="555"/>
      <c r="H167" s="131" t="s">
        <v>1019</v>
      </c>
      <c r="I167" s="127"/>
      <c r="J167" s="456">
        <f>F167+F169</f>
        <v>154000</v>
      </c>
    </row>
    <row r="168" spans="1:10">
      <c r="A168" s="542"/>
      <c r="B168" s="120"/>
      <c r="C168" s="120"/>
      <c r="D168" s="131" t="s">
        <v>813</v>
      </c>
      <c r="E168" s="120"/>
      <c r="F168" s="555">
        <v>60000</v>
      </c>
      <c r="G168" s="555"/>
      <c r="H168" s="131" t="s">
        <v>1019</v>
      </c>
      <c r="I168" s="127"/>
    </row>
    <row r="169" spans="1:10">
      <c r="A169" s="542"/>
      <c r="B169" s="120"/>
      <c r="C169" s="120"/>
      <c r="D169" s="131" t="s">
        <v>714</v>
      </c>
      <c r="E169" s="120"/>
      <c r="F169" s="555">
        <v>22000</v>
      </c>
      <c r="G169" s="555"/>
      <c r="H169" s="131" t="s">
        <v>1020</v>
      </c>
      <c r="I169" s="127"/>
    </row>
    <row r="170" spans="1:10">
      <c r="A170" s="542"/>
      <c r="B170" s="120"/>
      <c r="C170" s="120"/>
      <c r="D170" s="131" t="s">
        <v>1057</v>
      </c>
      <c r="E170" s="120"/>
      <c r="F170" s="555">
        <v>15000</v>
      </c>
      <c r="G170" s="555"/>
      <c r="H170" s="131" t="s">
        <v>1021</v>
      </c>
      <c r="I170" s="127"/>
      <c r="J170" s="456">
        <f>F170</f>
        <v>15000</v>
      </c>
    </row>
    <row r="171" spans="1:10">
      <c r="A171" s="542"/>
      <c r="B171" s="120"/>
      <c r="C171" s="120"/>
      <c r="D171" s="131" t="s">
        <v>702</v>
      </c>
      <c r="E171" s="120"/>
      <c r="F171" s="555">
        <v>69000</v>
      </c>
      <c r="G171" s="555"/>
      <c r="H171" s="131" t="s">
        <v>1022</v>
      </c>
      <c r="I171" s="127"/>
    </row>
    <row r="172" spans="1:10">
      <c r="A172" s="542"/>
      <c r="B172" s="120"/>
      <c r="C172" s="120"/>
      <c r="D172" s="131" t="s">
        <v>813</v>
      </c>
      <c r="E172" s="120"/>
      <c r="F172" s="555">
        <v>7000</v>
      </c>
      <c r="G172" s="555"/>
      <c r="H172" s="131" t="s">
        <v>1022</v>
      </c>
      <c r="I172" s="127"/>
    </row>
    <row r="173" spans="1:10">
      <c r="A173" s="542"/>
      <c r="B173" s="120"/>
      <c r="C173" s="120"/>
      <c r="D173" s="131" t="s">
        <v>806</v>
      </c>
      <c r="E173" s="120"/>
      <c r="F173" s="555">
        <v>78000</v>
      </c>
      <c r="G173" s="555"/>
      <c r="H173" s="131" t="s">
        <v>1023</v>
      </c>
      <c r="I173" s="127"/>
    </row>
    <row r="174" spans="1:10">
      <c r="A174" s="542"/>
      <c r="B174" s="120"/>
      <c r="C174" s="120"/>
      <c r="D174" s="131" t="s">
        <v>806</v>
      </c>
      <c r="E174" s="120"/>
      <c r="F174" s="555">
        <v>126000</v>
      </c>
      <c r="G174" s="555"/>
      <c r="H174" s="131" t="s">
        <v>1024</v>
      </c>
      <c r="I174" s="127"/>
    </row>
    <row r="175" spans="1:10">
      <c r="A175" s="542"/>
      <c r="B175" s="120"/>
      <c r="C175" s="120"/>
      <c r="D175" s="131" t="s">
        <v>806</v>
      </c>
      <c r="E175" s="120"/>
      <c r="F175" s="555">
        <v>53000</v>
      </c>
      <c r="G175" s="555"/>
      <c r="H175" s="131" t="s">
        <v>1025</v>
      </c>
      <c r="I175" s="127"/>
    </row>
    <row r="176" spans="1:10">
      <c r="A176" s="542"/>
      <c r="B176" s="120"/>
      <c r="C176" s="120"/>
      <c r="D176" s="131" t="s">
        <v>806</v>
      </c>
      <c r="E176" s="120"/>
      <c r="F176" s="555">
        <v>154110</v>
      </c>
      <c r="G176" s="555"/>
      <c r="H176" s="131" t="s">
        <v>1026</v>
      </c>
      <c r="I176" s="127"/>
    </row>
    <row r="177" spans="1:10">
      <c r="A177" s="542"/>
      <c r="B177" s="120"/>
      <c r="C177" s="120"/>
      <c r="D177" s="131" t="s">
        <v>14</v>
      </c>
      <c r="E177" s="120"/>
      <c r="F177" s="555">
        <v>200000</v>
      </c>
      <c r="G177" s="555"/>
      <c r="H177" s="131" t="s">
        <v>1027</v>
      </c>
      <c r="I177" s="127"/>
    </row>
    <row r="178" spans="1:10">
      <c r="A178" s="542"/>
      <c r="B178" s="120"/>
      <c r="C178" s="120"/>
      <c r="D178" s="131" t="s">
        <v>806</v>
      </c>
      <c r="E178" s="120"/>
      <c r="F178" s="555">
        <v>60000</v>
      </c>
      <c r="G178" s="555"/>
      <c r="H178" s="131" t="s">
        <v>1026</v>
      </c>
      <c r="I178" s="127"/>
    </row>
    <row r="179" spans="1:10">
      <c r="A179" s="542"/>
      <c r="B179" s="120"/>
      <c r="C179" s="120"/>
      <c r="D179" s="131" t="s">
        <v>703</v>
      </c>
      <c r="E179" s="120"/>
      <c r="F179" s="555">
        <v>675000</v>
      </c>
      <c r="G179" s="555"/>
      <c r="H179" s="131" t="s">
        <v>1028</v>
      </c>
      <c r="I179" s="127"/>
      <c r="J179" s="456">
        <f>F179+F182+F197</f>
        <v>1043000</v>
      </c>
    </row>
    <row r="180" spans="1:10">
      <c r="A180" s="542"/>
      <c r="B180" s="120"/>
      <c r="C180" s="120"/>
      <c r="D180" s="131" t="s">
        <v>1058</v>
      </c>
      <c r="E180" s="120"/>
      <c r="F180" s="555">
        <v>570000</v>
      </c>
      <c r="G180" s="555"/>
      <c r="H180" s="131" t="s">
        <v>1029</v>
      </c>
      <c r="I180" s="127"/>
      <c r="J180" s="456">
        <f>F180</f>
        <v>570000</v>
      </c>
    </row>
    <row r="181" spans="1:10">
      <c r="A181" s="542"/>
      <c r="B181" s="120"/>
      <c r="C181" s="120"/>
      <c r="D181" s="131" t="s">
        <v>14</v>
      </c>
      <c r="E181" s="120"/>
      <c r="F181" s="555">
        <v>93130</v>
      </c>
      <c r="G181" s="555"/>
      <c r="H181" s="131" t="s">
        <v>1030</v>
      </c>
      <c r="I181" s="127"/>
    </row>
    <row r="182" spans="1:10">
      <c r="A182" s="542"/>
      <c r="B182" s="120"/>
      <c r="C182" s="120"/>
      <c r="D182" s="131" t="s">
        <v>703</v>
      </c>
      <c r="E182" s="120"/>
      <c r="F182" s="555">
        <v>124000</v>
      </c>
      <c r="G182" s="555"/>
      <c r="H182" s="131" t="s">
        <v>998</v>
      </c>
      <c r="I182" s="127"/>
    </row>
    <row r="183" spans="1:10">
      <c r="A183" s="542"/>
      <c r="B183" s="120"/>
      <c r="C183" s="120"/>
      <c r="D183" s="131" t="s">
        <v>1059</v>
      </c>
      <c r="E183" s="120"/>
      <c r="F183" s="555">
        <v>387720</v>
      </c>
      <c r="G183" s="555"/>
      <c r="H183" s="131" t="s">
        <v>1031</v>
      </c>
      <c r="I183" s="127"/>
      <c r="J183" s="456">
        <f>F183</f>
        <v>387720</v>
      </c>
    </row>
    <row r="184" spans="1:10">
      <c r="A184" s="542"/>
      <c r="B184" s="120"/>
      <c r="C184" s="120"/>
      <c r="D184" s="131" t="s">
        <v>1056</v>
      </c>
      <c r="E184" s="120"/>
      <c r="F184" s="555">
        <v>120000</v>
      </c>
      <c r="G184" s="555"/>
      <c r="H184" s="131" t="s">
        <v>1032</v>
      </c>
      <c r="I184" s="127"/>
    </row>
    <row r="185" spans="1:10">
      <c r="A185" s="542"/>
      <c r="B185" s="120"/>
      <c r="C185" s="120"/>
      <c r="D185" s="131" t="s">
        <v>684</v>
      </c>
      <c r="E185" s="120"/>
      <c r="F185" s="555">
        <v>405000</v>
      </c>
      <c r="G185" s="555"/>
      <c r="H185" s="131" t="s">
        <v>1033</v>
      </c>
      <c r="I185" s="127"/>
    </row>
    <row r="186" spans="1:10">
      <c r="A186" s="542"/>
      <c r="B186" s="120"/>
      <c r="C186" s="120"/>
      <c r="D186" s="131" t="s">
        <v>684</v>
      </c>
      <c r="E186" s="120"/>
      <c r="F186" s="555">
        <v>315000</v>
      </c>
      <c r="G186" s="555"/>
      <c r="H186" s="131" t="s">
        <v>1034</v>
      </c>
      <c r="I186" s="127"/>
    </row>
    <row r="187" spans="1:10">
      <c r="A187" s="542"/>
      <c r="B187" s="120"/>
      <c r="C187" s="120"/>
      <c r="D187" s="131" t="s">
        <v>813</v>
      </c>
      <c r="E187" s="120"/>
      <c r="F187" s="555">
        <v>21000</v>
      </c>
      <c r="G187" s="555"/>
      <c r="H187" s="131" t="s">
        <v>1035</v>
      </c>
      <c r="I187" s="127"/>
    </row>
    <row r="188" spans="1:10">
      <c r="A188" s="542"/>
      <c r="B188" s="120"/>
      <c r="C188" s="120"/>
      <c r="D188" s="131" t="s">
        <v>806</v>
      </c>
      <c r="E188" s="120"/>
      <c r="F188" s="555">
        <v>61610</v>
      </c>
      <c r="G188" s="555"/>
      <c r="H188" s="131" t="s">
        <v>1036</v>
      </c>
      <c r="I188" s="127"/>
    </row>
    <row r="189" spans="1:10">
      <c r="A189" s="542"/>
      <c r="B189" s="120"/>
      <c r="C189" s="120"/>
      <c r="D189" s="131" t="s">
        <v>806</v>
      </c>
      <c r="E189" s="120"/>
      <c r="F189" s="555">
        <v>65000</v>
      </c>
      <c r="G189" s="555"/>
      <c r="H189" s="131" t="s">
        <v>1037</v>
      </c>
      <c r="I189" s="127"/>
    </row>
    <row r="190" spans="1:10">
      <c r="A190" s="542"/>
      <c r="B190" s="120"/>
      <c r="C190" s="120"/>
      <c r="D190" s="131" t="s">
        <v>738</v>
      </c>
      <c r="E190" s="120"/>
      <c r="F190" s="555">
        <v>62000</v>
      </c>
      <c r="G190" s="555"/>
      <c r="H190" s="131" t="s">
        <v>1038</v>
      </c>
      <c r="I190" s="127"/>
      <c r="J190" s="456">
        <f>F190</f>
        <v>62000</v>
      </c>
    </row>
    <row r="191" spans="1:10">
      <c r="A191" s="542"/>
      <c r="B191" s="120"/>
      <c r="C191" s="120"/>
      <c r="D191" s="131" t="s">
        <v>702</v>
      </c>
      <c r="E191" s="120"/>
      <c r="F191" s="555">
        <v>600000</v>
      </c>
      <c r="G191" s="555"/>
      <c r="H191" s="131" t="s">
        <v>1039</v>
      </c>
      <c r="I191" s="127"/>
    </row>
    <row r="192" spans="1:10">
      <c r="A192" s="542"/>
      <c r="B192" s="120"/>
      <c r="C192" s="120"/>
      <c r="D192" s="131" t="s">
        <v>813</v>
      </c>
      <c r="E192" s="120"/>
      <c r="F192" s="555">
        <v>262000</v>
      </c>
      <c r="G192" s="555"/>
      <c r="H192" s="131" t="s">
        <v>1039</v>
      </c>
      <c r="I192" s="127"/>
    </row>
    <row r="193" spans="1:10">
      <c r="A193" s="542"/>
      <c r="B193" s="120"/>
      <c r="C193" s="120"/>
      <c r="D193" s="131" t="s">
        <v>806</v>
      </c>
      <c r="E193" s="120"/>
      <c r="F193" s="555">
        <v>0</v>
      </c>
      <c r="G193" s="555"/>
      <c r="H193" s="131" t="s">
        <v>1039</v>
      </c>
      <c r="I193" s="127"/>
    </row>
    <row r="194" spans="1:10">
      <c r="A194" s="542"/>
      <c r="B194" s="120"/>
      <c r="C194" s="120"/>
      <c r="D194" s="131" t="s">
        <v>702</v>
      </c>
      <c r="E194" s="120"/>
      <c r="F194" s="555">
        <v>900000</v>
      </c>
      <c r="G194" s="555"/>
      <c r="H194" s="131" t="s">
        <v>1040</v>
      </c>
      <c r="I194" s="127"/>
    </row>
    <row r="195" spans="1:10">
      <c r="A195" s="542"/>
      <c r="B195" s="120"/>
      <c r="C195" s="120"/>
      <c r="D195" s="131" t="s">
        <v>813</v>
      </c>
      <c r="E195" s="120"/>
      <c r="F195" s="555">
        <v>90000</v>
      </c>
      <c r="G195" s="555"/>
      <c r="H195" s="131" t="s">
        <v>1040</v>
      </c>
      <c r="I195" s="127"/>
    </row>
    <row r="196" spans="1:10">
      <c r="A196" s="542"/>
      <c r="B196" s="120"/>
      <c r="C196" s="120"/>
      <c r="D196" s="131" t="s">
        <v>806</v>
      </c>
      <c r="E196" s="120"/>
      <c r="F196" s="555">
        <v>0</v>
      </c>
      <c r="G196" s="555"/>
      <c r="H196" s="131" t="s">
        <v>1040</v>
      </c>
      <c r="I196" s="127"/>
    </row>
    <row r="197" spans="1:10">
      <c r="A197" s="542"/>
      <c r="B197" s="120"/>
      <c r="C197" s="120"/>
      <c r="D197" s="131" t="s">
        <v>703</v>
      </c>
      <c r="E197" s="120"/>
      <c r="F197" s="555">
        <v>244000</v>
      </c>
      <c r="G197" s="555"/>
      <c r="H197" s="131" t="s">
        <v>1041</v>
      </c>
      <c r="I197" s="127"/>
    </row>
    <row r="198" spans="1:10">
      <c r="A198" s="542"/>
      <c r="B198" s="120"/>
      <c r="C198" s="120"/>
      <c r="D198" s="131" t="s">
        <v>14</v>
      </c>
      <c r="E198" s="120"/>
      <c r="F198" s="555">
        <v>99000</v>
      </c>
      <c r="G198" s="555"/>
      <c r="H198" s="131" t="s">
        <v>1042</v>
      </c>
      <c r="I198" s="127"/>
    </row>
    <row r="199" spans="1:10">
      <c r="A199" s="542"/>
      <c r="B199" s="120"/>
      <c r="C199" s="120"/>
      <c r="D199" s="131" t="s">
        <v>710</v>
      </c>
      <c r="E199" s="120"/>
      <c r="F199" s="555">
        <v>560000</v>
      </c>
      <c r="G199" s="555"/>
      <c r="H199" s="131" t="s">
        <v>1043</v>
      </c>
      <c r="I199" s="127"/>
    </row>
    <row r="200" spans="1:10">
      <c r="A200" s="542"/>
      <c r="B200" s="120"/>
      <c r="C200" s="120"/>
      <c r="D200" s="131" t="s">
        <v>850</v>
      </c>
      <c r="E200" s="120"/>
      <c r="F200" s="555">
        <v>100000</v>
      </c>
      <c r="G200" s="555"/>
      <c r="H200" s="131" t="s">
        <v>1044</v>
      </c>
      <c r="I200" s="127"/>
    </row>
    <row r="201" spans="1:10">
      <c r="A201" s="542"/>
      <c r="B201" s="120"/>
      <c r="C201" s="120"/>
      <c r="D201" s="131" t="s">
        <v>14</v>
      </c>
      <c r="E201" s="120"/>
      <c r="F201" s="555">
        <v>50000</v>
      </c>
      <c r="G201" s="555"/>
      <c r="H201" s="131" t="s">
        <v>1045</v>
      </c>
      <c r="I201" s="127"/>
    </row>
    <row r="202" spans="1:10">
      <c r="A202" s="542"/>
      <c r="B202" s="120"/>
      <c r="C202" s="120"/>
      <c r="D202" s="131" t="s">
        <v>806</v>
      </c>
      <c r="E202" s="120"/>
      <c r="F202" s="555">
        <v>70000</v>
      </c>
      <c r="G202" s="555"/>
      <c r="H202" s="131" t="s">
        <v>1046</v>
      </c>
      <c r="I202" s="127"/>
    </row>
    <row r="203" spans="1:10">
      <c r="A203" s="542"/>
      <c r="B203" s="120"/>
      <c r="C203" s="120"/>
      <c r="D203" s="131" t="s">
        <v>806</v>
      </c>
      <c r="E203" s="120"/>
      <c r="F203" s="555">
        <v>56680</v>
      </c>
      <c r="G203" s="555"/>
      <c r="H203" s="131" t="s">
        <v>1047</v>
      </c>
      <c r="I203" s="127"/>
    </row>
    <row r="204" spans="1:10">
      <c r="A204" s="542"/>
      <c r="B204" s="120"/>
      <c r="C204" s="120"/>
      <c r="D204" s="131" t="s">
        <v>806</v>
      </c>
      <c r="E204" s="120"/>
      <c r="F204" s="555">
        <v>71620</v>
      </c>
      <c r="G204" s="555"/>
      <c r="H204" s="131" t="s">
        <v>1047</v>
      </c>
      <c r="I204" s="127"/>
    </row>
    <row r="205" spans="1:10">
      <c r="A205" s="542"/>
      <c r="B205" s="120"/>
      <c r="C205" s="120"/>
      <c r="E205" s="131" t="s">
        <v>644</v>
      </c>
      <c r="F205" s="555"/>
      <c r="G205" s="555">
        <f>SUM(F151:F204)</f>
        <v>9799873</v>
      </c>
      <c r="H205" s="131" t="s">
        <v>644</v>
      </c>
      <c r="I205" s="127"/>
      <c r="J205" s="456">
        <f>SUM(J151:J204)-G205</f>
        <v>0</v>
      </c>
    </row>
    <row r="206" spans="1:10">
      <c r="A206" s="542"/>
      <c r="B206" s="120"/>
      <c r="C206" s="120"/>
      <c r="E206" s="120"/>
      <c r="F206" s="555"/>
      <c r="G206" s="555"/>
      <c r="I206" s="127"/>
    </row>
    <row r="207" spans="1:10">
      <c r="A207" s="542" t="s">
        <v>1048</v>
      </c>
      <c r="B207" s="120" t="s">
        <v>1053</v>
      </c>
      <c r="C207" s="120"/>
      <c r="D207" s="123" t="s">
        <v>644</v>
      </c>
      <c r="F207" s="555">
        <f>G205</f>
        <v>9799873</v>
      </c>
      <c r="G207" s="556"/>
      <c r="H207" s="131" t="s">
        <v>644</v>
      </c>
      <c r="I207" s="127"/>
    </row>
    <row r="208" spans="1:10">
      <c r="A208" s="542"/>
      <c r="B208" s="120"/>
      <c r="C208" s="120"/>
      <c r="D208" s="123" t="s">
        <v>710</v>
      </c>
      <c r="F208" s="555">
        <v>300000</v>
      </c>
      <c r="G208" s="556"/>
      <c r="H208" s="131" t="s">
        <v>1060</v>
      </c>
      <c r="I208" s="127"/>
    </row>
    <row r="209" spans="1:9">
      <c r="A209" s="542"/>
      <c r="B209" s="120"/>
      <c r="C209" s="120"/>
      <c r="D209" s="123" t="s">
        <v>992</v>
      </c>
      <c r="F209" s="555">
        <f>203940+123070+46000+96000</f>
        <v>469010</v>
      </c>
      <c r="G209" s="556"/>
      <c r="H209" s="131" t="s">
        <v>1060</v>
      </c>
      <c r="I209" s="127"/>
    </row>
    <row r="210" spans="1:9">
      <c r="A210" s="542"/>
      <c r="B210" s="120"/>
      <c r="C210" s="120"/>
      <c r="D210" s="123" t="s">
        <v>686</v>
      </c>
      <c r="F210" s="555">
        <v>1371754</v>
      </c>
      <c r="G210" s="556"/>
      <c r="H210" s="131" t="s">
        <v>686</v>
      </c>
      <c r="I210" s="127"/>
    </row>
    <row r="211" spans="1:9">
      <c r="A211" s="542"/>
      <c r="B211" s="120"/>
      <c r="C211" s="120"/>
      <c r="D211" s="123" t="s">
        <v>14</v>
      </c>
      <c r="F211" s="555">
        <v>1321665</v>
      </c>
      <c r="G211" s="556"/>
      <c r="H211" s="131" t="s">
        <v>1061</v>
      </c>
      <c r="I211" s="127"/>
    </row>
    <row r="212" spans="1:9">
      <c r="A212" s="542"/>
      <c r="B212" s="120"/>
      <c r="C212" s="120"/>
      <c r="D212" s="131" t="s">
        <v>1049</v>
      </c>
      <c r="F212" s="555">
        <v>750000</v>
      </c>
      <c r="G212" s="555"/>
      <c r="H212" s="131" t="s">
        <v>1062</v>
      </c>
      <c r="I212" s="127"/>
    </row>
    <row r="213" spans="1:9">
      <c r="A213" s="542"/>
      <c r="B213" s="120"/>
      <c r="C213" s="120"/>
      <c r="D213" s="131" t="s">
        <v>641</v>
      </c>
      <c r="E213" s="120"/>
      <c r="F213" s="555">
        <v>98</v>
      </c>
      <c r="G213" s="555"/>
      <c r="H213" s="131" t="s">
        <v>641</v>
      </c>
      <c r="I213" s="127"/>
    </row>
    <row r="214" spans="1:9">
      <c r="A214" s="542"/>
      <c r="B214" s="120"/>
      <c r="C214" s="120"/>
      <c r="E214" s="120" t="s">
        <v>683</v>
      </c>
      <c r="F214" s="555"/>
      <c r="G214" s="555">
        <f>SUM(F207:F213)</f>
        <v>14012400</v>
      </c>
      <c r="H214" s="131" t="s">
        <v>740</v>
      </c>
      <c r="I214" s="127"/>
    </row>
    <row r="215" spans="1:9">
      <c r="A215" s="542"/>
      <c r="B215" s="120"/>
      <c r="C215" s="120"/>
      <c r="E215" s="120"/>
      <c r="F215" s="555"/>
      <c r="G215" s="555"/>
      <c r="I215" s="127"/>
    </row>
    <row r="216" spans="1:9">
      <c r="A216" s="542" t="s">
        <v>1048</v>
      </c>
      <c r="B216" s="120" t="s">
        <v>1054</v>
      </c>
      <c r="C216" s="120"/>
      <c r="D216" s="131" t="s">
        <v>1050</v>
      </c>
      <c r="E216" s="120"/>
      <c r="F216" s="555">
        <v>3750000</v>
      </c>
      <c r="G216" s="555"/>
      <c r="H216" s="131" t="s">
        <v>1051</v>
      </c>
      <c r="I216" s="127"/>
    </row>
    <row r="217" spans="1:9">
      <c r="A217" s="542"/>
      <c r="B217" s="120"/>
      <c r="C217" s="120"/>
      <c r="E217" s="120" t="s">
        <v>683</v>
      </c>
      <c r="F217" s="555"/>
      <c r="G217" s="555">
        <f>F216</f>
        <v>3750000</v>
      </c>
      <c r="H217" s="131" t="s">
        <v>1051</v>
      </c>
      <c r="I217" s="127"/>
    </row>
    <row r="218" spans="1:9">
      <c r="A218" s="542"/>
      <c r="B218" s="120"/>
      <c r="C218" s="120"/>
      <c r="E218" s="120"/>
      <c r="F218" s="555"/>
      <c r="G218" s="555"/>
      <c r="I218" s="127"/>
    </row>
    <row r="219" spans="1:9">
      <c r="A219" s="542" t="s">
        <v>1048</v>
      </c>
      <c r="B219" s="120" t="s">
        <v>1063</v>
      </c>
      <c r="C219" s="120"/>
      <c r="D219" s="120" t="s">
        <v>770</v>
      </c>
      <c r="E219" s="120"/>
      <c r="F219" s="527">
        <v>100000</v>
      </c>
      <c r="G219" s="126"/>
      <c r="H219" s="131" t="s">
        <v>892</v>
      </c>
      <c r="I219" s="127"/>
    </row>
    <row r="220" spans="1:9">
      <c r="A220" s="542"/>
      <c r="B220" s="120"/>
      <c r="C220" s="120"/>
      <c r="D220" s="120"/>
      <c r="E220" s="131" t="s">
        <v>800</v>
      </c>
      <c r="G220" s="126">
        <f>F219</f>
        <v>100000</v>
      </c>
      <c r="H220" s="131" t="s">
        <v>892</v>
      </c>
      <c r="I220" s="127"/>
    </row>
    <row r="221" spans="1:9" s="591" customFormat="1">
      <c r="A221" s="589"/>
      <c r="B221" s="590"/>
      <c r="C221" s="590"/>
      <c r="E221" s="590"/>
      <c r="F221" s="592"/>
      <c r="G221" s="592"/>
      <c r="I221" s="593"/>
    </row>
    <row r="222" spans="1:9">
      <c r="A222" s="542" t="s">
        <v>1064</v>
      </c>
      <c r="B222" s="120" t="s">
        <v>1078</v>
      </c>
      <c r="C222" s="120"/>
      <c r="D222" s="131" t="s">
        <v>718</v>
      </c>
      <c r="F222" s="527">
        <v>546977272.72727275</v>
      </c>
      <c r="G222" s="555"/>
      <c r="H222" s="131" t="s">
        <v>1073</v>
      </c>
      <c r="I222" s="127"/>
    </row>
    <row r="223" spans="1:9">
      <c r="A223" s="542"/>
      <c r="B223" s="120"/>
      <c r="C223" s="120"/>
      <c r="D223" s="123" t="s">
        <v>719</v>
      </c>
      <c r="E223" s="123"/>
      <c r="F223" s="560">
        <v>20476860</v>
      </c>
      <c r="G223" s="560"/>
      <c r="H223" s="123" t="s">
        <v>720</v>
      </c>
      <c r="I223" s="127"/>
    </row>
    <row r="224" spans="1:9">
      <c r="A224" s="542"/>
      <c r="B224" s="120"/>
      <c r="C224" s="120"/>
      <c r="D224" s="123"/>
      <c r="E224" s="123" t="s">
        <v>719</v>
      </c>
      <c r="F224" s="560"/>
      <c r="G224" s="560">
        <v>6608340</v>
      </c>
      <c r="H224" s="123" t="s">
        <v>721</v>
      </c>
      <c r="I224" s="127"/>
    </row>
    <row r="225" spans="1:9">
      <c r="A225" s="542"/>
      <c r="B225" s="120"/>
      <c r="C225" s="120"/>
      <c r="D225" s="123"/>
      <c r="E225" s="123" t="s">
        <v>722</v>
      </c>
      <c r="F225" s="560"/>
      <c r="G225" s="560">
        <f>F223</f>
        <v>20476860</v>
      </c>
      <c r="H225" s="123" t="s">
        <v>723</v>
      </c>
      <c r="I225" s="127"/>
    </row>
    <row r="226" spans="1:9">
      <c r="A226" s="542"/>
      <c r="B226" s="120"/>
      <c r="C226" s="120"/>
      <c r="D226" s="123"/>
      <c r="E226" s="123" t="s">
        <v>790</v>
      </c>
      <c r="F226" s="560"/>
      <c r="G226" s="560">
        <v>500000</v>
      </c>
      <c r="H226" s="123" t="s">
        <v>809</v>
      </c>
      <c r="I226" s="127"/>
    </row>
    <row r="227" spans="1:9">
      <c r="A227" s="542"/>
      <c r="B227" s="120"/>
      <c r="C227" s="120"/>
      <c r="D227" s="123"/>
      <c r="E227" s="123" t="s">
        <v>345</v>
      </c>
      <c r="F227" s="560"/>
      <c r="G227" s="560">
        <v>490641660</v>
      </c>
      <c r="H227" s="123" t="s">
        <v>1074</v>
      </c>
      <c r="I227" s="127"/>
    </row>
    <row r="228" spans="1:9">
      <c r="A228" s="542"/>
      <c r="B228" s="120"/>
      <c r="C228" s="120"/>
      <c r="E228" s="123" t="s">
        <v>345</v>
      </c>
      <c r="F228" s="555"/>
      <c r="G228" s="555">
        <f>F222+F223-G224-G225-G226-G227</f>
        <v>49227272.727272749</v>
      </c>
      <c r="H228" s="123" t="s">
        <v>1074</v>
      </c>
      <c r="I228" s="127"/>
    </row>
    <row r="229" spans="1:9">
      <c r="A229" s="542"/>
      <c r="B229" s="120"/>
      <c r="C229" s="120"/>
      <c r="E229" s="120"/>
      <c r="F229" s="555"/>
      <c r="G229" s="555"/>
      <c r="I229" s="127"/>
    </row>
    <row r="230" spans="1:9">
      <c r="A230" s="542" t="s">
        <v>1064</v>
      </c>
      <c r="B230" s="120" t="s">
        <v>1079</v>
      </c>
      <c r="C230" s="120"/>
      <c r="D230" s="131" t="s">
        <v>1075</v>
      </c>
      <c r="E230" s="120"/>
      <c r="F230" s="555">
        <v>18000000</v>
      </c>
      <c r="G230" s="555"/>
      <c r="H230" s="131" t="s">
        <v>1076</v>
      </c>
      <c r="I230" s="127"/>
    </row>
    <row r="231" spans="1:9">
      <c r="A231" s="542"/>
      <c r="B231" s="120"/>
      <c r="C231" s="120"/>
      <c r="D231" s="131" t="s">
        <v>1075</v>
      </c>
      <c r="E231" s="120"/>
      <c r="F231" s="555">
        <v>1800000</v>
      </c>
      <c r="G231" s="555"/>
      <c r="H231" s="131" t="s">
        <v>1077</v>
      </c>
      <c r="I231" s="127"/>
    </row>
    <row r="232" spans="1:9">
      <c r="A232" s="542"/>
      <c r="B232" s="120"/>
      <c r="C232" s="120"/>
      <c r="E232" s="123" t="s">
        <v>345</v>
      </c>
      <c r="F232" s="555"/>
      <c r="G232" s="555">
        <f>F230+F231</f>
        <v>19800000</v>
      </c>
      <c r="H232" s="131" t="s">
        <v>1076</v>
      </c>
      <c r="I232" s="127"/>
    </row>
    <row r="233" spans="1:9" s="591" customFormat="1">
      <c r="A233" s="589"/>
      <c r="B233" s="590"/>
      <c r="C233" s="590"/>
      <c r="E233" s="590"/>
      <c r="F233" s="592"/>
      <c r="G233" s="592"/>
      <c r="I233" s="593"/>
    </row>
    <row r="234" spans="1:9" s="131" customFormat="1">
      <c r="A234" s="542" t="s">
        <v>860</v>
      </c>
      <c r="B234" s="120" t="s">
        <v>1092</v>
      </c>
      <c r="C234" s="120"/>
      <c r="D234" s="122" t="s">
        <v>348</v>
      </c>
      <c r="E234" s="122"/>
      <c r="F234" s="121">
        <v>30000</v>
      </c>
      <c r="G234" s="121"/>
      <c r="H234" s="128" t="s">
        <v>349</v>
      </c>
      <c r="I234" s="127"/>
    </row>
    <row r="235" spans="1:9" s="131" customFormat="1">
      <c r="A235" s="542"/>
      <c r="B235" s="120"/>
      <c r="C235" s="120"/>
      <c r="D235" s="122"/>
      <c r="E235" s="122" t="s">
        <v>345</v>
      </c>
      <c r="F235" s="121"/>
      <c r="G235" s="121">
        <f>F234</f>
        <v>30000</v>
      </c>
      <c r="H235" s="128" t="s">
        <v>349</v>
      </c>
      <c r="I235" s="127"/>
    </row>
    <row r="236" spans="1:9" s="131" customFormat="1">
      <c r="A236" s="542"/>
      <c r="B236" s="120"/>
      <c r="C236" s="120"/>
      <c r="D236" s="131" t="s">
        <v>346</v>
      </c>
      <c r="F236" s="132">
        <f>24531.46-4906.29</f>
        <v>19625.169999999998</v>
      </c>
      <c r="G236" s="132"/>
      <c r="H236" s="131" t="s">
        <v>1091</v>
      </c>
      <c r="I236" s="127"/>
    </row>
    <row r="237" spans="1:9" s="131" customFormat="1">
      <c r="A237" s="542"/>
      <c r="B237" s="120"/>
      <c r="C237" s="120"/>
      <c r="E237" s="131" t="s">
        <v>290</v>
      </c>
      <c r="F237" s="132"/>
      <c r="G237" s="132">
        <f>F236</f>
        <v>19625.169999999998</v>
      </c>
      <c r="H237" s="131" t="s">
        <v>1091</v>
      </c>
      <c r="I237" s="127"/>
    </row>
    <row r="238" spans="1:9" s="591" customFormat="1">
      <c r="A238" s="613"/>
      <c r="B238" s="614"/>
      <c r="C238" s="590"/>
      <c r="E238" s="590"/>
      <c r="F238" s="615"/>
      <c r="G238" s="592"/>
      <c r="I238" s="593"/>
    </row>
    <row r="239" spans="1:9" s="131" customFormat="1">
      <c r="A239" s="542"/>
      <c r="B239" s="120"/>
      <c r="C239" s="120"/>
      <c r="D239" s="120"/>
      <c r="F239" s="527"/>
      <c r="G239" s="126"/>
      <c r="H239" s="547"/>
      <c r="I239" s="127"/>
    </row>
    <row r="240" spans="1:9" s="131" customFormat="1">
      <c r="A240" s="541"/>
      <c r="B240" s="125"/>
      <c r="C240" s="120"/>
      <c r="D240" s="120"/>
      <c r="E240" s="123"/>
      <c r="F240" s="527"/>
      <c r="G240" s="126"/>
      <c r="H240" s="547"/>
      <c r="I240" s="127"/>
    </row>
    <row r="241" spans="1:9" s="131" customFormat="1">
      <c r="A241" s="542"/>
      <c r="B241" s="120"/>
      <c r="C241" s="120"/>
      <c r="D241" s="120"/>
      <c r="E241" s="120"/>
      <c r="F241" s="527"/>
      <c r="G241" s="126"/>
      <c r="H241" s="547"/>
      <c r="I241" s="127"/>
    </row>
    <row r="242" spans="1:9" s="131" customFormat="1">
      <c r="A242" s="541"/>
      <c r="B242" s="125"/>
      <c r="C242" s="120"/>
      <c r="D242" s="120"/>
      <c r="E242" s="120"/>
      <c r="F242" s="527"/>
      <c r="G242" s="126"/>
      <c r="H242" s="547"/>
      <c r="I242" s="127"/>
    </row>
    <row r="243" spans="1:9" s="131" customFormat="1">
      <c r="A243" s="541"/>
      <c r="B243" s="125"/>
      <c r="C243" s="120"/>
      <c r="E243" s="120"/>
      <c r="F243" s="561"/>
      <c r="G243" s="555"/>
      <c r="I243" s="127"/>
    </row>
  </sheetData>
  <pageMargins left="0.7" right="0.7" top="0.75" bottom="0.75" header="0.3" footer="0.3"/>
  <pageSetup paperSize="9" scale="1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15</vt:i4>
      </vt:variant>
    </vt:vector>
  </HeadingPairs>
  <TitlesOfParts>
    <vt:vector size="27" baseType="lpstr">
      <vt:lpstr>Worksheet</vt:lpstr>
      <vt:lpstr>Neraca</vt:lpstr>
      <vt:lpstr>Laba</vt:lpstr>
      <vt:lpstr>Ekuitas</vt:lpstr>
      <vt:lpstr>Laporan Arus Kas</vt:lpstr>
      <vt:lpstr>Arus Kas</vt:lpstr>
      <vt:lpstr>Journal IDR 474</vt:lpstr>
      <vt:lpstr>Journal IDR 399</vt:lpstr>
      <vt:lpstr>BCA IDR</vt:lpstr>
      <vt:lpstr>Journal USD</vt:lpstr>
      <vt:lpstr>LIst Asset</vt:lpstr>
      <vt:lpstr>Sheet1</vt:lpstr>
      <vt:lpstr>'Arus Kas'!Print_Area</vt:lpstr>
      <vt:lpstr>Ekuitas!Print_Area</vt:lpstr>
      <vt:lpstr>'Journal IDR 399'!Print_Area</vt:lpstr>
      <vt:lpstr>'Journal IDR 474'!Print_Area</vt:lpstr>
      <vt:lpstr>'Journal USD'!Print_Area</vt:lpstr>
      <vt:lpstr>Laba!Print_Area</vt:lpstr>
      <vt:lpstr>'Laporan Arus Kas'!Print_Area</vt:lpstr>
      <vt:lpstr>'LIst Asset'!Print_Area</vt:lpstr>
      <vt:lpstr>Neraca!Print_Area</vt:lpstr>
      <vt:lpstr>Sheet1!Print_Area</vt:lpstr>
      <vt:lpstr>Worksheet!Print_Area</vt:lpstr>
      <vt:lpstr>'Arus Kas'!Print_Area_MI</vt:lpstr>
      <vt:lpstr>Laba!Print_Area_MI</vt:lpstr>
      <vt:lpstr>Neraca!Print_Area_MI</vt:lpstr>
      <vt:lpstr>Worksheet!Print_Titles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</dc:creator>
  <cp:lastModifiedBy>cahyo</cp:lastModifiedBy>
  <cp:lastPrinted>2018-11-05T07:08:51Z</cp:lastPrinted>
  <dcterms:created xsi:type="dcterms:W3CDTF">2007-09-11T08:00:58Z</dcterms:created>
  <dcterms:modified xsi:type="dcterms:W3CDTF">2018-11-14T06:06:48Z</dcterms:modified>
</cp:coreProperties>
</file>