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DESCRIPCION" sheetId="2" r:id="rId5"/>
    <sheet state="visible" name="OBJETIVOS" sheetId="3" r:id="rId6"/>
    <sheet state="visible" name="ORGANIZACION" sheetId="4" r:id="rId7"/>
    <sheet state="visible" name="PREMISAS" sheetId="5" r:id="rId8"/>
    <sheet state="visible" name="CIFRAS HISTORICAS" sheetId="6" r:id="rId9"/>
    <sheet state="visible" name="INGRESOS" sheetId="7" r:id="rId10"/>
    <sheet state="visible" name="COSTOS" sheetId="8" r:id="rId11"/>
    <sheet state="visible" name="GASTOS" sheetId="9" r:id="rId12"/>
    <sheet state="visible" name="FINANCIEROS" sheetId="10" r:id="rId13"/>
    <sheet state="visible" name="TABLAS AMORTIZACION" sheetId="11" r:id="rId14"/>
    <sheet state="visible" name="IMPUESTOS" sheetId="12" r:id="rId15"/>
    <sheet state="visible" name="IND RENTABILIDAD" sheetId="13" r:id="rId16"/>
    <sheet state="visible" name="BALANCE GENERAL" sheetId="14" r:id="rId17"/>
    <sheet state="visible" name="IND BALANCE" sheetId="15" r:id="rId18"/>
    <sheet state="visible" name="FDC" sheetId="16" r:id="rId19"/>
    <sheet state="visible" name="ANALISIS RESUMEN" sheetId="17" r:id="rId20"/>
    <sheet state="visible" name="CMI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7">
      <text>
        <t xml:space="preserve">Mide el grado de eficiencia de los activos totales de una empresa.
Mide la capacidad de los activos que tiene una empresa para generar renta por ellos mismos.</t>
      </text>
    </comment>
    <comment authorId="0" ref="U37">
      <text>
        <t xml:space="preserve">Mide el grado de eficiencia de los activos totales de una empresa.
Mide la capacidad de los activos que tiene una empresa para generar renta por ellos mismos.</t>
      </text>
    </comment>
    <comment authorId="0" ref="B38">
      <text>
        <t xml:space="preserve">Determina la capacidad que una empresa tiene de generar valor para sus accionistas.
- Si ROE &gt; ROA → mayor rentabilidad financiera.
- Si ROE = ROA → la empresa no tiene deudas.
- Si ROE &lt; ROA → el coste medio de la deuda es superior a la rentabilidad.</t>
      </text>
    </comment>
    <comment authorId="0" ref="U38">
      <text>
        <t xml:space="preserve">Determina la capacidad que una empresa tiene de generar valor para sus accionistas.
- Si ROE &gt; ROA → mayor rentabilidad financiera.
- Si ROE = ROA → la empresa no tiene deudas.
- Si ROE &lt; ROA → el coste medio de la deuda es superior a la rentabilidad.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7">
      <text>
        <t xml:space="preserve">Mide el grado de eficiencia de los activos totales de una empresa.
Mide la capacidad de los activos que tiene una empresa para generar renta por ellos mismos.</t>
      </text>
    </comment>
    <comment authorId="0" ref="U37">
      <text>
        <t xml:space="preserve">Mide el grado de eficiencia de los activos totales de una empresa.
Mide la capacidad de los activos que tiene una empresa para generar renta por ellos mismos.</t>
      </text>
    </comment>
    <comment authorId="0" ref="B38">
      <text>
        <t xml:space="preserve">Determina la capacidad que una empresa tiene de generar valor para sus accionistas.
- Si ROE &gt; ROA → mayor rentabilidad financiera.
- Si ROE = ROA → la empresa no tiene deudas.
- Si ROE &lt; ROA → el coste medio de la deuda es superior a la rentabilidad.</t>
      </text>
    </comment>
    <comment authorId="0" ref="U38">
      <text>
        <t xml:space="preserve">Determina la capacidad que una empresa tiene de generar valor para sus accionistas.
- Si ROE &gt; ROA → mayor rentabilidad financiera.
- Si ROE = ROA → la empresa no tiene deudas.
- Si ROE &lt; ROA → el coste medio de la deuda es superior a la rentabilidad.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7">
      <text>
        <t xml:space="preserve">Mide el grado de eficiencia de los activos totales de una empresa.
Mide la capacidad de los activos que tiene una empresa para generar renta por ellos mismos.</t>
      </text>
    </comment>
    <comment authorId="0" ref="U37">
      <text>
        <t xml:space="preserve">Mide el grado de eficiencia de los activos totales de una empresa.
Mide la capacidad de los activos que tiene una empresa para generar renta por ellos mismos.</t>
      </text>
    </comment>
    <comment authorId="0" ref="B38">
      <text>
        <t xml:space="preserve">Determina la capacidad que una empresa tiene de generar valor para sus accionistas.
- Si ROE &gt; ROA → mayor rentabilidad financiera.
- Si ROE = ROA → la empresa no tiene deudas.
- Si ROE &lt; ROA → el coste medio de la deuda es superior a la rentabilidad.</t>
      </text>
    </comment>
    <comment authorId="0" ref="U38">
      <text>
        <t xml:space="preserve">Determina la capacidad que una empresa tiene de generar valor para sus accionistas.
- Si ROE &gt; ROA → mayor rentabilidad financiera.
- Si ROE = ROA → la empresa no tiene deudas.
- Si ROE &lt; ROA → el coste medio de la deuda es superior a la rentabilidad.</t>
      </text>
    </comment>
    <comment authorId="0" ref="B78">
      <text>
        <t xml:space="preserve">Indica la cantidad con la que cuenta la empresa para realizar sus operaciones normales, después de haber cubierto sus obligaciones a corto plazo.</t>
      </text>
    </comment>
    <comment authorId="0" ref="U78">
      <text>
        <t xml:space="preserve">Indica la cantidad con la que cuenta la empresa para realizar sus operaciones normales, después de haber cubierto sus obligaciones a corto plazo.</t>
      </text>
    </comment>
    <comment authorId="0" ref="B81">
      <text>
        <t xml:space="preserve">Número de veces que el activo corriente de una empresa puede cubrir su pasivo corriente.</t>
      </text>
    </comment>
    <comment authorId="0" ref="U81">
      <text>
        <t xml:space="preserve">Número de veces que el activo corriente de una empresa puede cubrir su pasivo corriente.</t>
      </text>
    </comment>
    <comment authorId="0" ref="B82">
      <text>
        <t xml:space="preserve">Capacidad de la empresa para generar flujos de efectivo en el corto plazo, excluyendo los inventarios</t>
      </text>
    </comment>
    <comment authorId="0" ref="U82">
      <text>
        <t xml:space="preserve">Capacidad de la empresa para generar flujos de efectivo en el corto plazo, excluyendo los inventarios</t>
      </text>
    </comment>
    <comment authorId="0" ref="B85">
      <text>
        <t xml:space="preserve">Proporción de los activos que están
siendo financiados con deuda de terceros.</t>
      </text>
    </comment>
    <comment authorId="0" ref="U85">
      <text>
        <t xml:space="preserve">Proporción de los activos que están
siendo financiados con deuda de terceros.</t>
      </text>
    </comment>
    <comment authorId="0" ref="B86">
      <text>
        <t xml:space="preserve">Mide el grado de compromiso del patrimonio de los accionistas con respecto al de los acreedores.
Capacidad de cobertura de obligaciones con terceros.</t>
      </text>
    </comment>
    <comment authorId="0" ref="U86">
      <text>
        <t xml:space="preserve">Mide el grado de compromiso del patrimonio de los accionistas con respecto al de los acreedores.
Capacidad de cobertura de obligaciones con terceros.</t>
      </text>
    </comment>
    <comment authorId="0" ref="B87">
      <text>
        <t xml:space="preserve">Mide el grado de compromiso del patrimonio de los accionistas con respecto a la deuda financiera.</t>
      </text>
    </comment>
    <comment authorId="0" ref="U87">
      <text>
        <t xml:space="preserve">Mide el grado de compromiso del patrimonio de los accionistas con respecto a la deuda financiera.</t>
      </text>
    </comment>
  </commentList>
</comments>
</file>

<file path=xl/sharedStrings.xml><?xml version="1.0" encoding="utf-8"?>
<sst xmlns="http://schemas.openxmlformats.org/spreadsheetml/2006/main" count="942" uniqueCount="247">
  <si>
    <t>Confort.com</t>
  </si>
  <si>
    <t>PLANIFICACION Y PRESUPUESTO</t>
  </si>
  <si>
    <t>El presente archivo es un Modelo de proyecciones financieras, es el utilizado a lo largo del curso, puedes editarlo y ajustar, si es necesario, para practicar.</t>
  </si>
  <si>
    <t>Descripción del proyecto</t>
  </si>
  <si>
    <t>Objetivos</t>
  </si>
  <si>
    <t>Organización</t>
  </si>
  <si>
    <t>Premisas</t>
  </si>
  <si>
    <t>Cifras históricas</t>
  </si>
  <si>
    <t>Proyeccion de Ingresos</t>
  </si>
  <si>
    <t>Proyección de costos directos</t>
  </si>
  <si>
    <t>Proyección de gastos generales</t>
  </si>
  <si>
    <t>Proyección de gastos financieros</t>
  </si>
  <si>
    <t>Tabla de amortización de deudas</t>
  </si>
  <si>
    <t>Proyección de impuestos sobre los beneficios estimados</t>
  </si>
  <si>
    <t>Cálculo de indicadores de rentabilidad</t>
  </si>
  <si>
    <t>Proyección de balance general</t>
  </si>
  <si>
    <t>Cálculo de indicadores de balance</t>
  </si>
  <si>
    <t>Proyección de Flujo de Caja</t>
  </si>
  <si>
    <t>Análisis de la planificación financiera consolidada</t>
  </si>
  <si>
    <t>Medición del cumplimiento de la planificación y proyecciones financieras</t>
  </si>
  <si>
    <t>DESCRIPCIÓN</t>
  </si>
  <si>
    <t>Misión:</t>
  </si>
  <si>
    <r>
      <rPr>
        <rFont val="Arial"/>
        <b/>
        <color theme="1"/>
        <sz val="10.0"/>
      </rPr>
      <t xml:space="preserve">Confort.com </t>
    </r>
    <r>
      <rPr>
        <rFont val="Arial"/>
        <color theme="1"/>
        <sz val="10.0"/>
      </rPr>
      <t>es la empresa que produce confort a traves de calzados de calidad a sus clientes.</t>
    </r>
  </si>
  <si>
    <t>Visión:</t>
  </si>
  <si>
    <t>Ser la empresa de calzados más reconocida en el país.</t>
  </si>
  <si>
    <t>Valores:</t>
  </si>
  <si>
    <t>Confianza
Responsabilidad
Pasión
Enfoque en el Cliente</t>
  </si>
  <si>
    <t>OBJETIVOS ESTRATÉGICOS</t>
  </si>
  <si>
    <t>OBJETIVO ESTRATEGICO</t>
  </si>
  <si>
    <t>INDICADOR</t>
  </si>
  <si>
    <t>META</t>
  </si>
  <si>
    <t>"Generar beneficio a los accionistas, Ser Rentable"</t>
  </si>
  <si>
    <t>Volumen de ingresos para el 1er año</t>
  </si>
  <si>
    <t>&gt;=900.000 USD</t>
  </si>
  <si>
    <t>Margen neto del 1er año</t>
  </si>
  <si>
    <t>&gt;= 20%</t>
  </si>
  <si>
    <t>Nuevo financiamiento</t>
  </si>
  <si>
    <t>&gt;= 250.000 USD</t>
  </si>
  <si>
    <t>"Ser reconocidos a escala nacional por la satisfacción de nuestros clientes"</t>
  </si>
  <si>
    <t>Nivel de satisfacción de clientes</t>
  </si>
  <si>
    <t>&gt;= 4.5</t>
  </si>
  <si>
    <t>No. de clientes nuevos</t>
  </si>
  <si>
    <t>&gt;= 300</t>
  </si>
  <si>
    <t>No. de visitas en sitio web</t>
  </si>
  <si>
    <t>&gt;= 2.000</t>
  </si>
  <si>
    <t>“Cumplir con la producción de calzados de calidad"</t>
  </si>
  <si>
    <t>Unidades producidas</t>
  </si>
  <si>
    <t>&gt;= 4.200 pares</t>
  </si>
  <si>
    <t>Tiempo de empaquetado final</t>
  </si>
  <si>
    <t>&lt;=15 minutos</t>
  </si>
  <si>
    <t>"Impulsar la productividad y bienestar”</t>
  </si>
  <si>
    <t>Ejecución del plan de mantenimiento anual</t>
  </si>
  <si>
    <t>Capacitación del personal</t>
  </si>
  <si>
    <t>ORGANIZACIÓN</t>
  </si>
  <si>
    <t>Cargo</t>
  </si>
  <si>
    <t>Costo Anual USD</t>
  </si>
  <si>
    <t>Direccción General</t>
  </si>
  <si>
    <t>Gerente de Operaciones</t>
  </si>
  <si>
    <t>Gerente de Mercadeo</t>
  </si>
  <si>
    <t>Gerente de Tecnología</t>
  </si>
  <si>
    <t>Gerente de Admón y RRHH</t>
  </si>
  <si>
    <t>Personal obrero producción</t>
  </si>
  <si>
    <t>Personal obrero embalaje</t>
  </si>
  <si>
    <t>Personal de Calidad</t>
  </si>
  <si>
    <t>Analista Marketing</t>
  </si>
  <si>
    <t>Atención al cliente</t>
  </si>
  <si>
    <t>Soporte técnico</t>
  </si>
  <si>
    <t>Administrador de sitio web</t>
  </si>
  <si>
    <t>Analista de Admon</t>
  </si>
  <si>
    <t>Analista de RRHH</t>
  </si>
  <si>
    <t>Total USD</t>
  </si>
  <si>
    <t>Produccion</t>
  </si>
  <si>
    <t>Administración</t>
  </si>
  <si>
    <t>PREMISAS DE PROYECCIÓN</t>
  </si>
  <si>
    <t>Premisas para proyección</t>
  </si>
  <si>
    <t>Ritmo de crecimiento anual</t>
  </si>
  <si>
    <t>% de Costo mercancias s/ventas</t>
  </si>
  <si>
    <t>% de Crecimiento Gastos de personal s/ventas</t>
  </si>
  <si>
    <t>% de Servicios generales s/ventas</t>
  </si>
  <si>
    <t>% de Depreciación para amortizaciones s/ventas</t>
  </si>
  <si>
    <t>Tasa de interes (Deuda actual y Prestamo nuevo 250.000 USD)</t>
  </si>
  <si>
    <t>Impuesto sobre beneficios</t>
  </si>
  <si>
    <t>Las condiciones de pago a proveedores de mercancia es a 30 días</t>
  </si>
  <si>
    <t>Las condiciones de cobro es de contado</t>
  </si>
  <si>
    <t>Promedio de precio por par de calzado 215 USD</t>
  </si>
  <si>
    <t>CIFRAS HISTORICAS</t>
  </si>
  <si>
    <t>Estados Financieros históricos</t>
  </si>
  <si>
    <t>Estado de resultados</t>
  </si>
  <si>
    <t>HISTÓRICOS</t>
  </si>
  <si>
    <t>Análisis Vertical</t>
  </si>
  <si>
    <t>Análisis Horizontal</t>
  </si>
  <si>
    <t>Ventas</t>
  </si>
  <si>
    <t>Compras de materia prima</t>
  </si>
  <si>
    <t>Gastos de personal obrero</t>
  </si>
  <si>
    <t>Utilidad bruta</t>
  </si>
  <si>
    <t>Gastos de personal administrativo</t>
  </si>
  <si>
    <t>Gastos de Servicios generales</t>
  </si>
  <si>
    <t>Gasto de depreciación Mobiliario y enseres</t>
  </si>
  <si>
    <t>Gasto de depreciación Maquinarias planta</t>
  </si>
  <si>
    <t>EBITDA</t>
  </si>
  <si>
    <t>Costos financieros</t>
  </si>
  <si>
    <t>Utilidad antes de impuestos</t>
  </si>
  <si>
    <t>Impuestos sobre beneficios</t>
  </si>
  <si>
    <t>Utilidad neta</t>
  </si>
  <si>
    <t>Estado de Situación o Balance General</t>
  </si>
  <si>
    <t>Mobiliarios y enseres</t>
  </si>
  <si>
    <t>Depreciación acumulada mobiliarios y enseres</t>
  </si>
  <si>
    <t>Maquinarias de planta</t>
  </si>
  <si>
    <t>Depreciación acumulada maquinarias planta</t>
  </si>
  <si>
    <t>Activo Fijo</t>
  </si>
  <si>
    <t xml:space="preserve">Cuentas por cobrar </t>
  </si>
  <si>
    <t>Inventario</t>
  </si>
  <si>
    <t>Caja y Bancos</t>
  </si>
  <si>
    <t>Activo Corriente</t>
  </si>
  <si>
    <t>Total Activo</t>
  </si>
  <si>
    <t>Deuda a corto plazo</t>
  </si>
  <si>
    <t>Cuentas por pagar proveedores materia prima</t>
  </si>
  <si>
    <t>Cuentas por pagar proveedores servicios</t>
  </si>
  <si>
    <t>Obligaciones laborales por pagar</t>
  </si>
  <si>
    <t>Pasivo Circulante</t>
  </si>
  <si>
    <t>Deuda a largo plazo</t>
  </si>
  <si>
    <t>Total Pasivo</t>
  </si>
  <si>
    <t>Capital Social</t>
  </si>
  <si>
    <t>Reserva legal</t>
  </si>
  <si>
    <t>Utilidades no distribuidas</t>
  </si>
  <si>
    <t>Resultado del Ejercicio (Pérdidas)</t>
  </si>
  <si>
    <t>Patrimonio neto</t>
  </si>
  <si>
    <t>Pasivo y Patrimonio</t>
  </si>
  <si>
    <t>PROYECCION DE INGRESOS</t>
  </si>
  <si>
    <t>Ingresos</t>
  </si>
  <si>
    <t>Precio promedio</t>
  </si>
  <si>
    <t>Unidades vendidas</t>
  </si>
  <si>
    <t>PROYECCION DE COSTOS</t>
  </si>
  <si>
    <r>
      <rPr>
        <rFont val="Arial"/>
        <b/>
        <color theme="1"/>
        <sz val="10.0"/>
      </rPr>
      <t>Costos directos</t>
    </r>
    <r>
      <rPr>
        <rFont val="Arial"/>
        <color theme="1"/>
        <sz val="10.0"/>
      </rPr>
      <t>: corresponden a todos los costos incurridos directamente en la producción del producto o servicio.</t>
    </r>
  </si>
  <si>
    <t>Estados Financieros proyectados</t>
  </si>
  <si>
    <t>PROYECCIONES</t>
  </si>
  <si>
    <t>PROYECCION DE GASTOS GENERALES</t>
  </si>
  <si>
    <r>
      <rPr>
        <rFont val="Arial"/>
        <b/>
        <color theme="1"/>
        <sz val="10.0"/>
      </rPr>
      <t>Gastos generales:</t>
    </r>
    <r>
      <rPr>
        <rFont val="Arial"/>
        <color theme="1"/>
        <sz val="10.0"/>
      </rPr>
      <t xml:space="preserve"> son todos aquellos gastos que son necesarios para el funcionamiento de la empresa, pero que no son considerados como costos directos de producción.</t>
    </r>
  </si>
  <si>
    <t>PROYECCION DE GASTOS FINANCIEROS</t>
  </si>
  <si>
    <r>
      <rPr>
        <rFont val="Arial"/>
        <b/>
        <color theme="1"/>
        <sz val="10.0"/>
      </rPr>
      <t>Gastos financieros:</t>
    </r>
    <r>
      <rPr>
        <rFont val="Arial"/>
        <color theme="1"/>
        <sz val="10.0"/>
      </rPr>
      <t xml:space="preserve"> son los que se derivan de la obtención de financiamiento, es decir, es el costo de un préstamo o crédito adquirido.</t>
    </r>
  </si>
  <si>
    <r>
      <rPr>
        <rFont val="Arial"/>
        <b/>
        <color theme="1"/>
        <sz val="10.0"/>
      </rPr>
      <t>Tabla de amortización:</t>
    </r>
    <r>
      <rPr>
        <rFont val="Arial"/>
        <color theme="1"/>
        <sz val="10.0"/>
      </rPr>
      <t xml:space="preserve"> es un registro donde se lleva el control de los pagos a realizar por concepto de capital e intereses de una deuda determinada.</t>
    </r>
  </si>
  <si>
    <t>TABLAS DE AMORTIZACION</t>
  </si>
  <si>
    <t>Auxiliar deudas</t>
  </si>
  <si>
    <t>Deuda Linea de crédito - Nueva</t>
  </si>
  <si>
    <t>Total</t>
  </si>
  <si>
    <t>Capital</t>
  </si>
  <si>
    <t>Tasa</t>
  </si>
  <si>
    <t>Adquisición</t>
  </si>
  <si>
    <t>Plazo</t>
  </si>
  <si>
    <t>Amortización</t>
  </si>
  <si>
    <t>Intereses</t>
  </si>
  <si>
    <t>Período</t>
  </si>
  <si>
    <t>Saldo Inicial</t>
  </si>
  <si>
    <t>Cuota</t>
  </si>
  <si>
    <t>Interés</t>
  </si>
  <si>
    <t>Saldo Deudor</t>
  </si>
  <si>
    <t>Saldo deuda</t>
  </si>
  <si>
    <t>Deuda corto plazo - Actual</t>
  </si>
  <si>
    <t>Deuda largo plazo - Actual</t>
  </si>
  <si>
    <t>Total Adquisición</t>
  </si>
  <si>
    <t>Total Amortización</t>
  </si>
  <si>
    <t>Total Intereses</t>
  </si>
  <si>
    <t>PROYECCION DE IMPUESTOS SOBRE LOS BENEFICIOS</t>
  </si>
  <si>
    <r>
      <rPr>
        <rFont val="Arial"/>
        <b/>
        <color theme="1"/>
        <sz val="10.0"/>
      </rPr>
      <t xml:space="preserve">Impuestos sobre beneficios: </t>
    </r>
    <r>
      <rPr>
        <rFont val="Arial"/>
        <color theme="1"/>
        <sz val="10.0"/>
      </rPr>
      <t>es un impuesto que grava​ los beneficios económicos de una empresa en un periodo determinado.</t>
    </r>
  </si>
  <si>
    <t>CALCULO DE INDICADORES DE RENTABILIDAD</t>
  </si>
  <si>
    <r>
      <rPr>
        <rFont val="Arial"/>
        <b/>
        <color theme="1"/>
        <sz val="10.0"/>
      </rPr>
      <t xml:space="preserve">Indicadores de rentabilidad: </t>
    </r>
    <r>
      <rPr>
        <rFont val="Arial"/>
        <color theme="1"/>
        <sz val="10.0"/>
      </rPr>
      <t>son relaciones matemáticas que permiten medir la efectividad de la administración de la empresa para controlar sus costos y gastos y, así convertir sus ventas en utilidades para el negocio.</t>
    </r>
  </si>
  <si>
    <t>Indicadores financieros</t>
  </si>
  <si>
    <t>Utilidad Bruta</t>
  </si>
  <si>
    <t>Utilidad Neta</t>
  </si>
  <si>
    <t>RENTABILIDAD</t>
  </si>
  <si>
    <t>ROA (EBITDA / Activos)</t>
  </si>
  <si>
    <t>ROE (Margen neto / Patrimonio)</t>
  </si>
  <si>
    <t>PROYECCIÓN DEL BALANCE GENERAL</t>
  </si>
  <si>
    <r>
      <rPr>
        <rFont val="Arial"/>
        <b/>
        <color theme="1"/>
        <sz val="10.0"/>
      </rPr>
      <t xml:space="preserve">Balance General o Estado de Situación: </t>
    </r>
    <r>
      <rPr>
        <rFont val="Arial"/>
        <color theme="1"/>
        <sz val="10.0"/>
      </rPr>
      <t>es el estado financiero en el cual se describe la posición financiera de la empresa en un momento dado (muestra lo que posee y lo que debe).</t>
    </r>
  </si>
  <si>
    <t>CALCULO DE INDICADORES DE BALANCE</t>
  </si>
  <si>
    <r>
      <rPr>
        <rFont val="Arial"/>
        <b/>
        <color theme="1"/>
        <sz val="10.0"/>
      </rPr>
      <t xml:space="preserve">Indicadores de balance: </t>
    </r>
    <r>
      <rPr>
        <rFont val="Arial"/>
        <color theme="1"/>
        <sz val="10.0"/>
      </rPr>
      <t>son relaciones matemáticas que nos permiten identificar como esta compuesto el patrimonio, evaluar la capacidad que tiene la empresa para saldar las obligaciones a corto plazo y medir en qué grado y de qué forma participan los acreedores dentro del financiamiento de la empresa.</t>
    </r>
  </si>
  <si>
    <t>Capital Trabajo Neto (Activo circulante - Pasivo Circulante)</t>
  </si>
  <si>
    <t>LIQUIDEZ</t>
  </si>
  <si>
    <t>Razón Circulante (Activo corriente / Pasivo corriente)</t>
  </si>
  <si>
    <t>Prueba Acida (Activo corriente - Invent./ Pasivo corriente)</t>
  </si>
  <si>
    <t>APALANCAMIENTO</t>
  </si>
  <si>
    <t>Pasivo / Activo</t>
  </si>
  <si>
    <t>Apalancamiento (Pasivo / Patrimonio)</t>
  </si>
  <si>
    <t>Deuda Financiera / Patrimonio</t>
  </si>
  <si>
    <r>
      <rPr>
        <rFont val="Arial"/>
        <color theme="1"/>
        <sz val="10.0"/>
      </rPr>
      <t>El</t>
    </r>
    <r>
      <rPr>
        <rFont val="Arial"/>
        <b/>
        <color theme="1"/>
        <sz val="10.0"/>
      </rPr>
      <t xml:space="preserve"> flujo de caja</t>
    </r>
    <r>
      <rPr>
        <rFont val="Arial"/>
        <color theme="1"/>
        <sz val="10.0"/>
      </rPr>
      <t xml:space="preserve"> hace referencia a las salidas y entradas netas de dinero que tiene una empresa o proyecto en un período determinado.</t>
    </r>
  </si>
  <si>
    <t>PROYECCION DE FLUJO DE CAJA</t>
  </si>
  <si>
    <t>Acum.</t>
  </si>
  <si>
    <t>SALDO INICIAL</t>
  </si>
  <si>
    <t>INGRESOS</t>
  </si>
  <si>
    <t>Cuentas por cobrar 2021</t>
  </si>
  <si>
    <t>Ingresos del periodo</t>
  </si>
  <si>
    <t>Menos: Cuentas por cobrar al cierre</t>
  </si>
  <si>
    <t>EGRESOS OPERATIVOS</t>
  </si>
  <si>
    <t>Materia prima</t>
  </si>
  <si>
    <t>Cuentas por pagar 2021</t>
  </si>
  <si>
    <t>Compras del periodo</t>
  </si>
  <si>
    <t>Menos: Cuentas por pagar al cierre</t>
  </si>
  <si>
    <t>Nómina producción</t>
  </si>
  <si>
    <t>Nómina administrativa</t>
  </si>
  <si>
    <t>Servicios generales</t>
  </si>
  <si>
    <t>Impuestos</t>
  </si>
  <si>
    <t>Otros egresos</t>
  </si>
  <si>
    <t>SALDO OPERATIVO</t>
  </si>
  <si>
    <t>INVERSIONES</t>
  </si>
  <si>
    <t>Saldo a/financiamiento</t>
  </si>
  <si>
    <t>DEUDA NETA</t>
  </si>
  <si>
    <t>(Adquisisión de deuda)</t>
  </si>
  <si>
    <t>Amortización de deuda</t>
  </si>
  <si>
    <t>Intereses sobre deuda</t>
  </si>
  <si>
    <t>Deuda neta</t>
  </si>
  <si>
    <t>SOCIOS</t>
  </si>
  <si>
    <t>(Aportes)</t>
  </si>
  <si>
    <r>
      <rPr>
        <rFont val="Arial"/>
        <color theme="1"/>
        <sz val="12.0"/>
      </rPr>
      <t xml:space="preserve">Dividendos </t>
    </r>
    <r>
      <rPr>
        <rFont val="Arial"/>
        <color theme="1"/>
        <sz val="8.0"/>
      </rPr>
      <t>(80% del margen)</t>
    </r>
  </si>
  <si>
    <t>SALDO DEL PERIODO</t>
  </si>
  <si>
    <t>SALDO FINAL</t>
  </si>
  <si>
    <t>ANALISIS DE LA PLANIFICACION FINANCIERA</t>
  </si>
  <si>
    <t>Flujo de Caja</t>
  </si>
  <si>
    <t>Dividendos (80% del margen)</t>
  </si>
  <si>
    <t>CUADRO DE MANDO INTEGRAL</t>
  </si>
  <si>
    <t>INDICADORES</t>
  </si>
  <si>
    <t>FRECUENCIA DE MEDICION</t>
  </si>
  <si>
    <t>METAS</t>
  </si>
  <si>
    <t>Expresión</t>
  </si>
  <si>
    <t>REAL</t>
  </si>
  <si>
    <t>% DE CUMPLIMIENTO</t>
  </si>
  <si>
    <t>Volumen de ventas en USD</t>
  </si>
  <si>
    <t>Anual</t>
  </si>
  <si>
    <t>&gt;=</t>
  </si>
  <si>
    <t>USD anuales</t>
  </si>
  <si>
    <t>% de Margen Neto</t>
  </si>
  <si>
    <t>% s/las ventas</t>
  </si>
  <si>
    <t>Nivel de Satisfacción de Clientes</t>
  </si>
  <si>
    <t>Mensual</t>
  </si>
  <si>
    <t>Puntos</t>
  </si>
  <si>
    <t>Número de clientes nuevos</t>
  </si>
  <si>
    <t>Clientes</t>
  </si>
  <si>
    <t>Número de visitas en sitio web</t>
  </si>
  <si>
    <t>Visitas</t>
  </si>
  <si>
    <t>&lt;=</t>
  </si>
  <si>
    <t>Pares</t>
  </si>
  <si>
    <t>Cumplimiento de tiempo de empaquetado</t>
  </si>
  <si>
    <t>Minutos</t>
  </si>
  <si>
    <t>Plan de Mantenimiento de anual</t>
  </si>
  <si>
    <t>=</t>
  </si>
  <si>
    <t>% de ejecución</t>
  </si>
  <si>
    <t>Efectividad de capacitación al personal en el momento de su ingreso</t>
  </si>
  <si>
    <t>Cumplimiento Plan Estrategico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</si>
</sst>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 * #,##0_ ;_ * \-#,##0_ ;_ * &quot;-&quot;??_ ;_ @_ "/>
    <numFmt numFmtId="165" formatCode="#,##0%"/>
    <numFmt numFmtId="166" formatCode="_ * #,##0.00_ ;_ * \-#,##0.00_ ;_ * &quot;-&quot;??_ ;_ @_ "/>
    <numFmt numFmtId="167" formatCode="0.0%"/>
  </numFmts>
  <fonts count="39">
    <font>
      <sz val="12.0"/>
      <color theme="1"/>
      <name val="Arial"/>
      <scheme val="minor"/>
    </font>
    <font>
      <b/>
      <sz val="20.0"/>
      <color rgb="FFCC0000"/>
      <name val="Arial"/>
    </font>
    <font>
      <b/>
      <sz val="16.0"/>
      <color theme="1"/>
      <name val="Arial"/>
    </font>
    <font>
      <i/>
      <sz val="8.0"/>
      <color theme="1"/>
      <name val="Arial"/>
    </font>
    <font>
      <b/>
      <sz val="12.0"/>
      <color rgb="FFCC0000"/>
      <name val="Arial"/>
    </font>
    <font>
      <u/>
      <sz val="12.0"/>
      <color theme="10"/>
      <name val="Arial"/>
    </font>
    <font>
      <sz val="12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/>
    <font>
      <b/>
      <sz val="11.0"/>
      <color rgb="FFFFFFFF"/>
      <name val="Arial"/>
    </font>
    <font>
      <b/>
      <i/>
      <sz val="11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0.0"/>
      <color rgb="FFFF0000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  <font>
      <b/>
      <sz val="18.0"/>
      <color theme="1"/>
      <name val="Arial"/>
    </font>
    <font>
      <b/>
      <sz val="14.0"/>
      <color rgb="FF002060"/>
      <name val="Arial"/>
    </font>
    <font>
      <b/>
      <u/>
      <sz val="14.0"/>
      <color rgb="FFFF0000"/>
      <name val="Arial"/>
    </font>
    <font>
      <b/>
      <sz val="10.0"/>
      <color rgb="FFFFFFFF"/>
      <name val="Arial"/>
    </font>
    <font>
      <b/>
      <sz val="10.0"/>
      <color theme="4"/>
      <name val="Arial"/>
    </font>
    <font>
      <sz val="9.0"/>
      <color rgb="FFFF0000"/>
      <name val="Arial"/>
    </font>
    <font>
      <b/>
      <sz val="9.0"/>
      <color rgb="FFFF0000"/>
      <name val="Arial"/>
    </font>
    <font>
      <sz val="8.0"/>
      <color theme="1"/>
      <name val="Arial"/>
    </font>
    <font>
      <sz val="8.0"/>
      <color rgb="FFFF0000"/>
      <name val="Arial"/>
    </font>
    <font>
      <sz val="9.0"/>
      <color theme="1"/>
      <name val="Arial"/>
    </font>
    <font>
      <b/>
      <i/>
      <sz val="12.0"/>
      <color rgb="FFFF0000"/>
      <name val="Arial"/>
    </font>
    <font>
      <b/>
      <i/>
      <sz val="11.0"/>
      <color rgb="FFFF0000"/>
      <name val="Arial"/>
    </font>
    <font>
      <i/>
      <sz val="14.0"/>
      <color theme="1"/>
      <name val="Arial"/>
    </font>
    <font>
      <b/>
      <i/>
      <sz val="14.0"/>
      <color theme="1"/>
      <name val="Arial"/>
    </font>
    <font>
      <b/>
      <sz val="14.0"/>
      <color rgb="FF7F7F7F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i/>
      <sz val="11.0"/>
      <color theme="1"/>
      <name val="Arial"/>
    </font>
    <font>
      <b/>
      <sz val="18.0"/>
      <color rgb="FFC00000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CC66"/>
        <bgColor rgb="FFFFCC66"/>
      </patternFill>
    </fill>
    <fill>
      <patternFill patternType="solid">
        <fgColor rgb="FFFF33CC"/>
        <bgColor rgb="FFFF33CC"/>
      </patternFill>
    </fill>
    <fill>
      <patternFill patternType="solid">
        <fgColor rgb="FF99CCFF"/>
        <bgColor rgb="FF99CCFF"/>
      </patternFill>
    </fill>
    <fill>
      <patternFill patternType="solid">
        <fgColor rgb="FF99FF99"/>
        <bgColor rgb="FF99FF99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</fills>
  <borders count="4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vertical="center"/>
    </xf>
    <xf borderId="1" fillId="0" fontId="8" numFmtId="0" xfId="0" applyAlignment="1" applyBorder="1" applyFont="1">
      <alignment horizontal="left" shrinkToFit="0" vertical="center" wrapText="1"/>
    </xf>
    <xf borderId="2" fillId="0" fontId="9" numFmtId="0" xfId="0" applyBorder="1" applyFont="1"/>
    <xf borderId="3" fillId="0" fontId="9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2" fontId="10" numFmtId="0" xfId="0" applyAlignment="1" applyBorder="1" applyFill="1" applyFont="1">
      <alignment horizontal="center" shrinkToFit="0" vertical="center" wrapText="1"/>
    </xf>
    <xf borderId="10" fillId="2" fontId="10" numFmtId="0" xfId="0" applyAlignment="1" applyBorder="1" applyFont="1">
      <alignment horizontal="center" shrinkToFit="0" vertical="center" wrapText="1"/>
    </xf>
    <xf borderId="11" fillId="3" fontId="11" numFmtId="0" xfId="0" applyAlignment="1" applyBorder="1" applyFill="1" applyFont="1">
      <alignment horizontal="center" shrinkToFit="0" vertical="center" wrapText="1"/>
    </xf>
    <xf borderId="12" fillId="0" fontId="8" numFmtId="0" xfId="0" applyAlignment="1" applyBorder="1" applyFont="1">
      <alignment shrinkToFit="0" wrapText="1"/>
    </xf>
    <xf borderId="12" fillId="0" fontId="7" numFmtId="0" xfId="0" applyAlignment="1" applyBorder="1" applyFont="1">
      <alignment horizontal="center"/>
    </xf>
    <xf borderId="13" fillId="0" fontId="9" numFmtId="0" xfId="0" applyBorder="1" applyFont="1"/>
    <xf borderId="14" fillId="0" fontId="9" numFmtId="0" xfId="0" applyBorder="1" applyFont="1"/>
    <xf borderId="11" fillId="4" fontId="11" numFmtId="0" xfId="0" applyAlignment="1" applyBorder="1" applyFill="1" applyFont="1">
      <alignment horizontal="center" shrinkToFit="0" vertical="center" wrapText="1"/>
    </xf>
    <xf borderId="15" fillId="0" fontId="9" numFmtId="0" xfId="0" applyBorder="1" applyFont="1"/>
    <xf borderId="11" fillId="5" fontId="11" numFmtId="0" xfId="0" applyAlignment="1" applyBorder="1" applyFill="1" applyFont="1">
      <alignment horizontal="center" shrinkToFit="0" vertical="center" wrapText="1"/>
    </xf>
    <xf borderId="12" fillId="0" fontId="8" numFmtId="0" xfId="0" applyAlignment="1" applyBorder="1" applyFont="1">
      <alignment horizontal="left" shrinkToFit="0" wrapText="1"/>
    </xf>
    <xf borderId="11" fillId="6" fontId="11" numFmtId="0" xfId="0" applyAlignment="1" applyBorder="1" applyFill="1" applyFont="1">
      <alignment horizontal="center" shrinkToFit="0" vertical="center" wrapText="1"/>
    </xf>
    <xf borderId="12" fillId="0" fontId="7" numFmtId="9" xfId="0" applyAlignment="1" applyBorder="1" applyFont="1" applyNumberFormat="1">
      <alignment horizontal="center"/>
    </xf>
    <xf borderId="0" fillId="0" fontId="12" numFmtId="0" xfId="0" applyAlignment="1" applyFont="1">
      <alignment shrinkToFit="0" wrapText="1"/>
    </xf>
    <xf borderId="16" fillId="0" fontId="13" numFmtId="0" xfId="0" applyAlignment="1" applyBorder="1" applyFont="1">
      <alignment vertical="center"/>
    </xf>
    <xf borderId="17" fillId="0" fontId="13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vertical="center"/>
    </xf>
    <xf borderId="8" fillId="0" fontId="6" numFmtId="164" xfId="0" applyAlignment="1" applyBorder="1" applyFont="1" applyNumberFormat="1">
      <alignment vertical="center"/>
    </xf>
    <xf borderId="16" fillId="0" fontId="7" numFmtId="0" xfId="0" applyAlignment="1" applyBorder="1" applyFont="1">
      <alignment vertical="center"/>
    </xf>
    <xf borderId="17" fillId="0" fontId="7" numFmtId="164" xfId="0" applyAlignment="1" applyBorder="1" applyFont="1" applyNumberFormat="1">
      <alignment vertical="center"/>
    </xf>
    <xf borderId="0" fillId="0" fontId="6" numFmtId="164" xfId="0" applyAlignment="1" applyFont="1" applyNumberFormat="1">
      <alignment vertical="center"/>
    </xf>
    <xf borderId="0" fillId="0" fontId="6" numFmtId="0" xfId="0" applyFont="1"/>
    <xf borderId="16" fillId="0" fontId="15" numFmtId="3" xfId="0" applyAlignment="1" applyBorder="1" applyFont="1" applyNumberFormat="1">
      <alignment horizontal="left" vertical="center"/>
    </xf>
    <xf borderId="18" fillId="0" fontId="16" numFmtId="3" xfId="0" applyAlignment="1" applyBorder="1" applyFont="1" applyNumberFormat="1">
      <alignment horizontal="center" vertical="center"/>
    </xf>
    <xf borderId="17" fillId="0" fontId="16" numFmtId="3" xfId="0" applyAlignment="1" applyBorder="1" applyFont="1" applyNumberFormat="1">
      <alignment horizontal="center" vertical="center"/>
    </xf>
    <xf borderId="7" fillId="0" fontId="8" numFmtId="3" xfId="0" applyAlignment="1" applyBorder="1" applyFont="1" applyNumberFormat="1">
      <alignment horizontal="left" vertical="center"/>
    </xf>
    <xf borderId="0" fillId="0" fontId="14" numFmtId="165" xfId="0" applyAlignment="1" applyFont="1" applyNumberFormat="1">
      <alignment vertical="center"/>
    </xf>
    <xf borderId="8" fillId="0" fontId="14" numFmtId="165" xfId="0" applyAlignment="1" applyBorder="1" applyFont="1" applyNumberFormat="1">
      <alignment vertical="center"/>
    </xf>
    <xf borderId="4" fillId="0" fontId="8" numFmtId="3" xfId="0" applyAlignment="1" applyBorder="1" applyFont="1" applyNumberFormat="1">
      <alignment horizontal="left" vertical="center"/>
    </xf>
    <xf borderId="5" fillId="0" fontId="14" numFmtId="165" xfId="0" applyAlignment="1" applyBorder="1" applyFont="1" applyNumberFormat="1">
      <alignment vertical="center"/>
    </xf>
    <xf borderId="6" fillId="0" fontId="14" numFmtId="165" xfId="0" applyAlignment="1" applyBorder="1" applyFont="1" applyNumberFormat="1">
      <alignment vertical="center"/>
    </xf>
    <xf borderId="0" fillId="0" fontId="17" numFmtId="3" xfId="0" applyAlignment="1" applyFont="1" applyNumberFormat="1">
      <alignment horizontal="left" vertical="center"/>
    </xf>
    <xf borderId="0" fillId="0" fontId="6" numFmtId="3" xfId="0" applyAlignment="1" applyFont="1" applyNumberFormat="1">
      <alignment vertical="center"/>
    </xf>
    <xf borderId="0" fillId="0" fontId="8" numFmtId="3" xfId="0" applyAlignment="1" applyFont="1" applyNumberFormat="1">
      <alignment vertical="center"/>
    </xf>
    <xf borderId="0" fillId="0" fontId="18" numFmtId="3" xfId="0" applyAlignment="1" applyFont="1" applyNumberFormat="1">
      <alignment horizontal="left" vertical="center"/>
    </xf>
    <xf borderId="0" fillId="0" fontId="19" numFmtId="3" xfId="0" applyAlignment="1" applyFont="1" applyNumberFormat="1">
      <alignment horizontal="left"/>
    </xf>
    <xf borderId="0" fillId="0" fontId="20" numFmtId="3" xfId="0" applyAlignment="1" applyFont="1" applyNumberFormat="1">
      <alignment horizontal="left"/>
    </xf>
    <xf borderId="16" fillId="7" fontId="21" numFmtId="3" xfId="0" applyAlignment="1" applyBorder="1" applyFill="1" applyFont="1" applyNumberFormat="1">
      <alignment horizontal="center" vertical="center"/>
    </xf>
    <xf borderId="18" fillId="0" fontId="9" numFmtId="0" xfId="0" applyBorder="1" applyFont="1"/>
    <xf borderId="17" fillId="0" fontId="9" numFmtId="0" xfId="0" applyBorder="1" applyFont="1"/>
    <xf borderId="16" fillId="0" fontId="22" numFmtId="3" xfId="0" applyAlignment="1" applyBorder="1" applyFont="1" applyNumberFormat="1">
      <alignment horizontal="center" vertical="center"/>
    </xf>
    <xf borderId="0" fillId="0" fontId="16" numFmtId="3" xfId="0" applyAlignment="1" applyFont="1" applyNumberFormat="1">
      <alignment horizontal="center" vertical="center"/>
    </xf>
    <xf borderId="5" fillId="0" fontId="16" numFmtId="3" xfId="0" applyAlignment="1" applyBorder="1" applyFont="1" applyNumberFormat="1">
      <alignment horizontal="center" vertical="center"/>
    </xf>
    <xf borderId="0" fillId="0" fontId="23" numFmtId="165" xfId="0" applyAlignment="1" applyFont="1" applyNumberFormat="1">
      <alignment vertical="center"/>
    </xf>
    <xf borderId="0" fillId="0" fontId="23" numFmtId="3" xfId="0" applyAlignment="1" applyFont="1" applyNumberFormat="1">
      <alignment vertical="center"/>
    </xf>
    <xf borderId="5" fillId="0" fontId="8" numFmtId="3" xfId="0" applyAlignment="1" applyBorder="1" applyFont="1" applyNumberFormat="1">
      <alignment vertical="center"/>
    </xf>
    <xf borderId="0" fillId="0" fontId="16" numFmtId="3" xfId="0" applyAlignment="1" applyFont="1" applyNumberFormat="1">
      <alignment horizontal="right" vertical="center"/>
    </xf>
    <xf borderId="0" fillId="0" fontId="16" numFmtId="3" xfId="0" applyAlignment="1" applyFont="1" applyNumberFormat="1">
      <alignment vertical="center"/>
    </xf>
    <xf borderId="16" fillId="0" fontId="24" numFmtId="165" xfId="0" applyAlignment="1" applyBorder="1" applyFont="1" applyNumberFormat="1">
      <alignment vertical="center"/>
    </xf>
    <xf borderId="18" fillId="0" fontId="24" numFmtId="165" xfId="0" applyAlignment="1" applyBorder="1" applyFont="1" applyNumberFormat="1">
      <alignment vertical="center"/>
    </xf>
    <xf borderId="17" fillId="0" fontId="24" numFmtId="165" xfId="0" applyAlignment="1" applyBorder="1" applyFont="1" applyNumberFormat="1">
      <alignment vertical="center"/>
    </xf>
    <xf borderId="16" fillId="0" fontId="24" numFmtId="3" xfId="0" applyAlignment="1" applyBorder="1" applyFont="1" applyNumberFormat="1">
      <alignment vertical="center"/>
    </xf>
    <xf borderId="18" fillId="0" fontId="24" numFmtId="3" xfId="0" applyAlignment="1" applyBorder="1" applyFont="1" applyNumberFormat="1">
      <alignment vertical="center"/>
    </xf>
    <xf borderId="17" fillId="0" fontId="24" numFmtId="3" xfId="0" applyAlignment="1" applyBorder="1" applyFont="1" applyNumberFormat="1">
      <alignment vertical="center"/>
    </xf>
    <xf borderId="0" fillId="0" fontId="24" numFmtId="3" xfId="0" applyAlignment="1" applyFont="1" applyNumberFormat="1">
      <alignment vertical="center"/>
    </xf>
    <xf borderId="19" fillId="0" fontId="16" numFmtId="3" xfId="0" applyAlignment="1" applyBorder="1" applyFont="1" applyNumberFormat="1">
      <alignment vertical="center"/>
    </xf>
    <xf borderId="0" fillId="0" fontId="8" numFmtId="166" xfId="0" applyAlignment="1" applyFont="1" applyNumberFormat="1">
      <alignment vertical="center"/>
    </xf>
    <xf borderId="5" fillId="0" fontId="16" numFmtId="3" xfId="0" applyAlignment="1" applyBorder="1" applyFont="1" applyNumberFormat="1">
      <alignment vertical="center"/>
    </xf>
    <xf borderId="0" fillId="0" fontId="24" numFmtId="165" xfId="0" applyAlignment="1" applyFont="1" applyNumberFormat="1">
      <alignment vertical="center"/>
    </xf>
    <xf borderId="18" fillId="0" fontId="16" numFmtId="3" xfId="0" applyAlignment="1" applyBorder="1" applyFont="1" applyNumberFormat="1">
      <alignment vertical="center"/>
    </xf>
    <xf borderId="0" fillId="0" fontId="25" numFmtId="164" xfId="0" applyAlignment="1" applyFont="1" applyNumberFormat="1">
      <alignment vertical="center"/>
    </xf>
    <xf borderId="1" fillId="0" fontId="6" numFmtId="0" xfId="0" applyBorder="1" applyFont="1"/>
    <xf borderId="2" fillId="0" fontId="14" numFmtId="165" xfId="0" applyAlignment="1" applyBorder="1" applyFont="1" applyNumberFormat="1">
      <alignment vertical="center"/>
    </xf>
    <xf borderId="3" fillId="0" fontId="14" numFmtId="165" xfId="0" applyAlignment="1" applyBorder="1" applyFont="1" applyNumberFormat="1">
      <alignment vertical="center"/>
    </xf>
    <xf borderId="7" fillId="0" fontId="6" numFmtId="0" xfId="0" applyBorder="1" applyFont="1"/>
    <xf borderId="0" fillId="0" fontId="6" numFmtId="3" xfId="0" applyFont="1" applyNumberFormat="1"/>
    <xf borderId="8" fillId="0" fontId="6" numFmtId="3" xfId="0" applyBorder="1" applyFont="1" applyNumberFormat="1"/>
    <xf borderId="8" fillId="0" fontId="6" numFmtId="0" xfId="0" applyBorder="1" applyFont="1"/>
    <xf borderId="4" fillId="0" fontId="6" numFmtId="0" xfId="0" applyBorder="1" applyFont="1"/>
    <xf borderId="5" fillId="0" fontId="6" numFmtId="164" xfId="0" applyBorder="1" applyFont="1" applyNumberFormat="1"/>
    <xf borderId="6" fillId="0" fontId="6" numFmtId="164" xfId="0" applyBorder="1" applyFont="1" applyNumberFormat="1"/>
    <xf borderId="20" fillId="6" fontId="14" numFmtId="165" xfId="0" applyAlignment="1" applyBorder="1" applyFont="1" applyNumberFormat="1">
      <alignment vertical="center"/>
    </xf>
    <xf borderId="21" fillId="6" fontId="14" numFmtId="165" xfId="0" applyAlignment="1" applyBorder="1" applyFont="1" applyNumberFormat="1">
      <alignment vertical="center"/>
    </xf>
    <xf borderId="22" fillId="6" fontId="14" numFmtId="165" xfId="0" applyAlignment="1" applyBorder="1" applyFont="1" applyNumberFormat="1">
      <alignment vertical="center"/>
    </xf>
    <xf borderId="23" fillId="6" fontId="14" numFmtId="165" xfId="0" applyAlignment="1" applyBorder="1" applyFont="1" applyNumberFormat="1">
      <alignment vertical="center"/>
    </xf>
    <xf borderId="0" fillId="0" fontId="25" numFmtId="3" xfId="0" applyAlignment="1" applyFont="1" applyNumberFormat="1">
      <alignment horizontal="right" vertical="center"/>
    </xf>
    <xf borderId="0" fillId="0" fontId="26" numFmtId="164" xfId="0" applyAlignment="1" applyFont="1" applyNumberFormat="1">
      <alignment vertical="center"/>
    </xf>
    <xf borderId="0" fillId="0" fontId="26" numFmtId="165" xfId="0" applyAlignment="1" applyFont="1" applyNumberFormat="1">
      <alignment vertical="center"/>
    </xf>
    <xf borderId="0" fillId="0" fontId="27" numFmtId="3" xfId="0" applyAlignment="1" applyFont="1" applyNumberFormat="1">
      <alignment horizontal="right" vertical="center"/>
    </xf>
    <xf borderId="5" fillId="0" fontId="23" numFmtId="165" xfId="0" applyAlignment="1" applyBorder="1" applyFont="1" applyNumberFormat="1">
      <alignment vertical="center"/>
    </xf>
    <xf borderId="5" fillId="0" fontId="23" numFmtId="3" xfId="0" applyAlignment="1" applyBorder="1" applyFont="1" applyNumberFormat="1">
      <alignment vertical="center"/>
    </xf>
    <xf borderId="20" fillId="8" fontId="8" numFmtId="3" xfId="0" applyAlignment="1" applyBorder="1" applyFill="1" applyFont="1" applyNumberFormat="1">
      <alignment vertical="center"/>
    </xf>
    <xf borderId="0" fillId="0" fontId="8" numFmtId="0" xfId="0" applyAlignment="1" applyFont="1">
      <alignment vertical="center"/>
    </xf>
    <xf borderId="0" fillId="0" fontId="28" numFmtId="0" xfId="0" applyAlignment="1" applyFont="1">
      <alignment vertical="center"/>
    </xf>
    <xf borderId="0" fillId="0" fontId="25" numFmtId="0" xfId="0" applyAlignment="1" applyFont="1">
      <alignment horizontal="right" vertical="center"/>
    </xf>
    <xf borderId="5" fillId="0" fontId="8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0" fillId="0" fontId="29" numFmtId="0" xfId="0" applyAlignment="1" applyFont="1">
      <alignment vertical="center"/>
    </xf>
    <xf borderId="0" fillId="0" fontId="25" numFmtId="0" xfId="0" applyAlignment="1" applyFont="1">
      <alignment vertical="center"/>
    </xf>
    <xf borderId="0" fillId="0" fontId="8" numFmtId="9" xfId="0" applyAlignment="1" applyFont="1" applyNumberFormat="1">
      <alignment vertical="center"/>
    </xf>
    <xf borderId="0" fillId="0" fontId="25" numFmtId="3" xfId="0" applyAlignment="1" applyFont="1" applyNumberFormat="1">
      <alignment vertical="center"/>
    </xf>
    <xf borderId="20" fillId="2" fontId="21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0" fillId="0" fontId="15" numFmtId="3" xfId="0" applyAlignment="1" applyFont="1" applyNumberFormat="1">
      <alignment vertical="center"/>
    </xf>
    <xf borderId="1" fillId="0" fontId="8" numFmtId="0" xfId="0" applyAlignment="1" applyBorder="1" applyFont="1">
      <alignment vertical="center"/>
    </xf>
    <xf borderId="2" fillId="0" fontId="8" numFmtId="3" xfId="0" applyAlignment="1" applyBorder="1" applyFont="1" applyNumberFormat="1">
      <alignment vertical="center"/>
    </xf>
    <xf borderId="3" fillId="0" fontId="8" numFmtId="3" xfId="0" applyAlignment="1" applyBorder="1" applyFont="1" applyNumberFormat="1">
      <alignment vertical="center"/>
    </xf>
    <xf borderId="7" fillId="0" fontId="8" numFmtId="0" xfId="0" applyAlignment="1" applyBorder="1" applyFont="1">
      <alignment vertical="center"/>
    </xf>
    <xf borderId="8" fillId="0" fontId="8" numFmtId="3" xfId="0" applyAlignment="1" applyBorder="1" applyFont="1" applyNumberFormat="1">
      <alignment vertical="center"/>
    </xf>
    <xf borderId="16" fillId="0" fontId="15" numFmtId="0" xfId="0" applyAlignment="1" applyBorder="1" applyFont="1">
      <alignment vertical="center"/>
    </xf>
    <xf borderId="18" fillId="0" fontId="15" numFmtId="3" xfId="0" applyAlignment="1" applyBorder="1" applyFont="1" applyNumberFormat="1">
      <alignment vertical="center"/>
    </xf>
    <xf borderId="20" fillId="9" fontId="8" numFmtId="3" xfId="0" applyAlignment="1" applyBorder="1" applyFill="1" applyFont="1" applyNumberFormat="1">
      <alignment vertical="center"/>
    </xf>
    <xf borderId="20" fillId="10" fontId="8" numFmtId="3" xfId="0" applyAlignment="1" applyBorder="1" applyFill="1" applyFont="1" applyNumberFormat="1">
      <alignment vertical="center"/>
    </xf>
    <xf borderId="24" fillId="0" fontId="30" numFmtId="0" xfId="0" applyAlignment="1" applyBorder="1" applyFont="1">
      <alignment horizontal="left"/>
    </xf>
    <xf borderId="25" fillId="0" fontId="30" numFmtId="167" xfId="0" applyAlignment="1" applyBorder="1" applyFont="1" applyNumberFormat="1">
      <alignment vertical="center"/>
    </xf>
    <xf borderId="26" fillId="0" fontId="30" numFmtId="167" xfId="0" applyAlignment="1" applyBorder="1" applyFont="1" applyNumberFormat="1">
      <alignment vertical="center"/>
    </xf>
    <xf borderId="27" fillId="0" fontId="30" numFmtId="0" xfId="0" applyAlignment="1" applyBorder="1" applyFont="1">
      <alignment horizontal="left"/>
    </xf>
    <xf borderId="0" fillId="0" fontId="30" numFmtId="167" xfId="0" applyAlignment="1" applyFont="1" applyNumberFormat="1">
      <alignment vertical="center"/>
    </xf>
    <xf borderId="28" fillId="0" fontId="30" numFmtId="167" xfId="0" applyAlignment="1" applyBorder="1" applyFont="1" applyNumberFormat="1">
      <alignment vertical="center"/>
    </xf>
    <xf borderId="29" fillId="0" fontId="30" numFmtId="0" xfId="0" applyAlignment="1" applyBorder="1" applyFont="1">
      <alignment horizontal="left"/>
    </xf>
    <xf borderId="30" fillId="0" fontId="30" numFmtId="167" xfId="0" applyAlignment="1" applyBorder="1" applyFont="1" applyNumberFormat="1">
      <alignment vertical="center"/>
    </xf>
    <xf borderId="31" fillId="0" fontId="30" numFmtId="167" xfId="0" applyAlignment="1" applyBorder="1" applyFont="1" applyNumberFormat="1">
      <alignment vertical="center"/>
    </xf>
    <xf borderId="32" fillId="0" fontId="31" numFmtId="0" xfId="0" applyAlignment="1" applyBorder="1" applyFont="1">
      <alignment horizontal="center"/>
    </xf>
    <xf borderId="33" fillId="0" fontId="9" numFmtId="0" xfId="0" applyBorder="1" applyFont="1"/>
    <xf borderId="34" fillId="0" fontId="9" numFmtId="0" xfId="0" applyBorder="1" applyFont="1"/>
    <xf borderId="0" fillId="0" fontId="6" numFmtId="9" xfId="0" applyFont="1" applyNumberFormat="1"/>
    <xf borderId="0" fillId="0" fontId="26" numFmtId="3" xfId="0" applyAlignment="1" applyFont="1" applyNumberFormat="1">
      <alignment vertical="center"/>
    </xf>
    <xf borderId="1" fillId="0" fontId="8" numFmtId="3" xfId="0" applyAlignment="1" applyBorder="1" applyFont="1" applyNumberFormat="1">
      <alignment horizontal="left" shrinkToFit="0" vertical="center" wrapText="1"/>
    </xf>
    <xf borderId="32" fillId="0" fontId="11" numFmtId="0" xfId="0" applyBorder="1" applyFont="1"/>
    <xf borderId="33" fillId="0" fontId="30" numFmtId="3" xfId="0" applyBorder="1" applyFont="1" applyNumberFormat="1"/>
    <xf borderId="0" fillId="0" fontId="6" numFmtId="4" xfId="0" applyFont="1" applyNumberFormat="1"/>
    <xf borderId="0" fillId="0" fontId="3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6" numFmtId="166" xfId="0" applyAlignment="1" applyFont="1" applyNumberFormat="1">
      <alignment vertical="center"/>
    </xf>
    <xf borderId="5" fillId="0" fontId="7" numFmtId="0" xfId="0" applyAlignment="1" applyBorder="1" applyFont="1">
      <alignment horizontal="center" vertical="center"/>
    </xf>
    <xf borderId="22" fillId="11" fontId="7" numFmtId="0" xfId="0" applyAlignment="1" applyBorder="1" applyFill="1" applyFont="1">
      <alignment horizontal="center" vertical="center"/>
    </xf>
    <xf borderId="20" fillId="11" fontId="6" numFmtId="0" xfId="0" applyAlignment="1" applyBorder="1" applyFont="1">
      <alignment vertical="center"/>
    </xf>
    <xf borderId="0" fillId="0" fontId="7" numFmtId="3" xfId="0" applyAlignment="1" applyFont="1" applyNumberFormat="1">
      <alignment vertical="center"/>
    </xf>
    <xf borderId="20" fillId="11" fontId="7" numFmtId="3" xfId="0" applyAlignment="1" applyBorder="1" applyFont="1" applyNumberFormat="1">
      <alignment vertical="center"/>
    </xf>
    <xf borderId="20" fillId="11" fontId="6" numFmtId="3" xfId="0" applyAlignment="1" applyBorder="1" applyFont="1" applyNumberFormat="1">
      <alignment vertical="center"/>
    </xf>
    <xf borderId="0" fillId="0" fontId="8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5" fillId="0" fontId="6" numFmtId="3" xfId="0" applyAlignment="1" applyBorder="1" applyFont="1" applyNumberFormat="1">
      <alignment vertical="center"/>
    </xf>
    <xf borderId="22" fillId="11" fontId="6" numFmtId="3" xfId="0" applyAlignment="1" applyBorder="1" applyFont="1" applyNumberFormat="1">
      <alignment vertical="center"/>
    </xf>
    <xf borderId="0" fillId="0" fontId="33" numFmtId="3" xfId="0" applyAlignment="1" applyFont="1" applyNumberFormat="1">
      <alignment vertical="center"/>
    </xf>
    <xf borderId="0" fillId="0" fontId="34" numFmtId="3" xfId="0" applyAlignment="1" applyFont="1" applyNumberFormat="1">
      <alignment vertical="center"/>
    </xf>
    <xf borderId="19" fillId="0" fontId="7" numFmtId="3" xfId="0" applyAlignment="1" applyBorder="1" applyFont="1" applyNumberFormat="1">
      <alignment vertical="center"/>
    </xf>
    <xf borderId="0" fillId="0" fontId="35" numFmtId="3" xfId="0" applyAlignment="1" applyFont="1" applyNumberFormat="1">
      <alignment vertical="center"/>
    </xf>
    <xf borderId="0" fillId="0" fontId="36" numFmtId="3" xfId="0" applyAlignment="1" applyFont="1" applyNumberFormat="1">
      <alignment vertical="center"/>
    </xf>
    <xf borderId="0" fillId="0" fontId="27" numFmtId="166" xfId="0" applyFont="1" applyNumberFormat="1"/>
    <xf borderId="24" fillId="0" fontId="37" numFmtId="0" xfId="0" applyAlignment="1" applyBorder="1" applyFont="1">
      <alignment horizontal="left"/>
    </xf>
    <xf borderId="25" fillId="0" fontId="17" numFmtId="167" xfId="0" applyAlignment="1" applyBorder="1" applyFont="1" applyNumberFormat="1">
      <alignment vertical="center"/>
    </xf>
    <xf borderId="26" fillId="0" fontId="17" numFmtId="167" xfId="0" applyAlignment="1" applyBorder="1" applyFont="1" applyNumberFormat="1">
      <alignment vertical="center"/>
    </xf>
    <xf borderId="27" fillId="0" fontId="37" numFmtId="0" xfId="0" applyAlignment="1" applyBorder="1" applyFont="1">
      <alignment horizontal="left"/>
    </xf>
    <xf borderId="0" fillId="0" fontId="17" numFmtId="167" xfId="0" applyAlignment="1" applyFont="1" applyNumberFormat="1">
      <alignment vertical="center"/>
    </xf>
    <xf borderId="28" fillId="0" fontId="17" numFmtId="167" xfId="0" applyAlignment="1" applyBorder="1" applyFont="1" applyNumberFormat="1">
      <alignment vertical="center"/>
    </xf>
    <xf borderId="29" fillId="0" fontId="37" numFmtId="0" xfId="0" applyAlignment="1" applyBorder="1" applyFont="1">
      <alignment horizontal="left"/>
    </xf>
    <xf borderId="30" fillId="0" fontId="17" numFmtId="167" xfId="0" applyAlignment="1" applyBorder="1" applyFont="1" applyNumberFormat="1">
      <alignment vertical="center"/>
    </xf>
    <xf borderId="31" fillId="0" fontId="17" numFmtId="167" xfId="0" applyAlignment="1" applyBorder="1" applyFont="1" applyNumberFormat="1">
      <alignment vertical="center"/>
    </xf>
    <xf borderId="32" fillId="0" fontId="15" numFmtId="0" xfId="0" applyAlignment="1" applyBorder="1" applyFont="1">
      <alignment shrinkToFit="0" wrapText="1"/>
    </xf>
    <xf borderId="33" fillId="0" fontId="17" numFmtId="3" xfId="0" applyBorder="1" applyFont="1" applyNumberFormat="1"/>
    <xf borderId="34" fillId="0" fontId="17" numFmtId="3" xfId="0" applyBorder="1" applyFont="1" applyNumberFormat="1"/>
    <xf borderId="0" fillId="0" fontId="8" numFmtId="3" xfId="0" applyAlignment="1" applyFont="1" applyNumberFormat="1">
      <alignment shrinkToFit="0" wrapText="1"/>
    </xf>
    <xf borderId="0" fillId="0" fontId="8" numFmtId="4" xfId="0" applyFont="1" applyNumberFormat="1"/>
    <xf borderId="0" fillId="0" fontId="6" numFmtId="0" xfId="0" applyAlignment="1" applyFont="1">
      <alignment horizontal="right"/>
    </xf>
    <xf borderId="12" fillId="2" fontId="10" numFmtId="0" xfId="0" applyAlignment="1" applyBorder="1" applyFont="1">
      <alignment horizontal="center" shrinkToFit="0" vertical="center" wrapText="1"/>
    </xf>
    <xf borderId="35" fillId="2" fontId="10" numFmtId="0" xfId="0" applyAlignment="1" applyBorder="1" applyFont="1">
      <alignment horizontal="center" shrinkToFit="0" vertical="center" wrapText="1"/>
    </xf>
    <xf borderId="36" fillId="2" fontId="10" numFmtId="0" xfId="0" applyAlignment="1" applyBorder="1" applyFont="1">
      <alignment horizontal="center" shrinkToFit="0" vertical="center" wrapText="1"/>
    </xf>
    <xf borderId="37" fillId="0" fontId="9" numFmtId="0" xfId="0" applyBorder="1" applyFont="1"/>
    <xf borderId="38" fillId="3" fontId="11" numFmtId="0" xfId="0" applyAlignment="1" applyBorder="1" applyFont="1">
      <alignment horizontal="center" shrinkToFit="0" vertical="center" wrapText="1"/>
    </xf>
    <xf borderId="39" fillId="0" fontId="12" numFmtId="0" xfId="0" applyAlignment="1" applyBorder="1" applyFont="1">
      <alignment shrinkToFit="0" vertical="center" wrapText="1"/>
    </xf>
    <xf borderId="40" fillId="0" fontId="12" numFmtId="0" xfId="0" applyAlignment="1" applyBorder="1" applyFont="1">
      <alignment horizontal="center" shrinkToFit="0" vertical="center" wrapText="1"/>
    </xf>
    <xf borderId="37" fillId="0" fontId="12" numFmtId="164" xfId="0" applyAlignment="1" applyBorder="1" applyFont="1" applyNumberFormat="1">
      <alignment shrinkToFit="0" vertical="center" wrapText="1"/>
    </xf>
    <xf borderId="12" fillId="0" fontId="12" numFmtId="164" xfId="0" applyAlignment="1" applyBorder="1" applyFont="1" applyNumberFormat="1">
      <alignment horizontal="right" shrinkToFit="0" vertical="center" wrapText="1"/>
    </xf>
    <xf borderId="37" fillId="0" fontId="12" numFmtId="9" xfId="0" applyAlignment="1" applyBorder="1" applyFont="1" applyNumberFormat="1">
      <alignment horizontal="center" shrinkToFit="0" vertical="center" wrapText="1"/>
    </xf>
    <xf borderId="41" fillId="0" fontId="9" numFmtId="0" xfId="0" applyBorder="1" applyFont="1"/>
    <xf borderId="37" fillId="0" fontId="12" numFmtId="9" xfId="0" applyAlignment="1" applyBorder="1" applyFont="1" applyNumberFormat="1">
      <alignment shrinkToFit="0" vertical="center" wrapText="1"/>
    </xf>
    <xf borderId="42" fillId="0" fontId="12" numFmtId="9" xfId="0" applyAlignment="1" applyBorder="1" applyFont="1" applyNumberFormat="1">
      <alignment horizontal="right" shrinkToFit="0" vertical="center" wrapText="1"/>
    </xf>
    <xf borderId="42" fillId="0" fontId="9" numFmtId="0" xfId="0" applyBorder="1" applyFont="1"/>
    <xf borderId="42" fillId="0" fontId="12" numFmtId="164" xfId="0" applyAlignment="1" applyBorder="1" applyFont="1" applyNumberFormat="1">
      <alignment horizontal="right" shrinkToFit="0" vertical="center" wrapText="1"/>
    </xf>
    <xf borderId="38" fillId="4" fontId="11" numFmtId="0" xfId="0" applyAlignment="1" applyBorder="1" applyFont="1">
      <alignment horizontal="center" shrinkToFit="0" vertical="center" wrapText="1"/>
    </xf>
    <xf borderId="37" fillId="0" fontId="12" numFmtId="166" xfId="0" applyAlignment="1" applyBorder="1" applyFont="1" applyNumberFormat="1">
      <alignment shrinkToFit="0" vertical="center" wrapText="1"/>
    </xf>
    <xf borderId="12" fillId="0" fontId="12" numFmtId="166" xfId="0" applyAlignment="1" applyBorder="1" applyFont="1" applyNumberFormat="1">
      <alignment shrinkToFit="0" vertical="center" wrapText="1"/>
    </xf>
    <xf borderId="0" fillId="0" fontId="27" numFmtId="166" xfId="0" applyAlignment="1" applyFont="1" applyNumberFormat="1">
      <alignment shrinkToFit="0" vertical="center" wrapText="1"/>
    </xf>
    <xf borderId="12" fillId="0" fontId="12" numFmtId="164" xfId="0" applyAlignment="1" applyBorder="1" applyFont="1" applyNumberFormat="1">
      <alignment shrinkToFit="0" vertical="center" wrapText="1"/>
    </xf>
    <xf borderId="0" fillId="0" fontId="27" numFmtId="164" xfId="0" applyAlignment="1" applyFont="1" applyNumberFormat="1">
      <alignment shrinkToFit="0" vertical="center" wrapText="1"/>
    </xf>
    <xf borderId="43" fillId="0" fontId="9" numFmtId="0" xfId="0" applyBorder="1" applyFont="1"/>
    <xf borderId="38" fillId="5" fontId="11" numFmtId="0" xfId="0" applyAlignment="1" applyBorder="1" applyFont="1">
      <alignment horizontal="center" shrinkToFit="0" vertical="center" wrapText="1"/>
    </xf>
    <xf borderId="38" fillId="6" fontId="11" numFmtId="0" xfId="0" applyAlignment="1" applyBorder="1" applyFont="1">
      <alignment horizontal="center" shrinkToFit="0" vertical="center" wrapText="1"/>
    </xf>
    <xf borderId="12" fillId="0" fontId="12" numFmtId="9" xfId="0" applyAlignment="1" applyBorder="1" applyFont="1" applyNumberFormat="1">
      <alignment shrinkToFit="0" vertical="center" wrapText="1"/>
    </xf>
    <xf borderId="0" fillId="0" fontId="27" numFmtId="9" xfId="0" applyAlignment="1" applyFont="1" applyNumberFormat="1">
      <alignment shrinkToFit="0" vertical="center" wrapText="1"/>
    </xf>
    <xf borderId="36" fillId="0" fontId="16" numFmtId="0" xfId="0" applyAlignment="1" applyBorder="1" applyFont="1">
      <alignment horizontal="center" shrinkToFit="0" vertical="center" wrapText="1"/>
    </xf>
    <xf borderId="44" fillId="0" fontId="9" numFmtId="0" xfId="0" applyBorder="1" applyFont="1"/>
    <xf borderId="37" fillId="0" fontId="38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Volumen de Ventas USD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'ANALISIS RESUMEN'!$C$8:$G$8</c:f>
            </c:strRef>
          </c:cat>
          <c:val>
            <c:numRef>
              <c:f>'ANALISIS RESUMEN'!$C$9:$G$9</c:f>
              <c:numCache/>
            </c:numRef>
          </c:val>
          <c:smooth val="0"/>
        </c:ser>
        <c:axId val="2091948750"/>
        <c:axId val="944026890"/>
      </c:lineChart>
      <c:catAx>
        <c:axId val="2091948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944026890"/>
      </c:catAx>
      <c:valAx>
        <c:axId val="944026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209194875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Utilidad neta (%)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'ANALISIS RESUMEN'!$C$8:$G$8</c:f>
            </c:strRef>
          </c:cat>
          <c:val>
            <c:numRef>
              <c:f>'ANALISIS RESUMEN'!$C$60:$G$60</c:f>
              <c:numCache/>
            </c:numRef>
          </c:val>
        </c:ser>
        <c:axId val="597762076"/>
        <c:axId val="8869819"/>
      </c:barChart>
      <c:catAx>
        <c:axId val="597762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8869819"/>
      </c:catAx>
      <c:valAx>
        <c:axId val="8869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597762076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Capital de trabajo USD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'ANALISIS RESUMEN'!$C$8:$G$8</c:f>
            </c:strRef>
          </c:cat>
          <c:val>
            <c:numRef>
              <c:f>'ANALISIS RESUMEN'!$C$62:$G$62</c:f>
              <c:numCache/>
            </c:numRef>
          </c:val>
          <c:smooth val="0"/>
        </c:ser>
        <c:axId val="1533961096"/>
        <c:axId val="121151847"/>
      </c:lineChart>
      <c:catAx>
        <c:axId val="1533961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121151847"/>
      </c:catAx>
      <c:valAx>
        <c:axId val="121151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53396109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Saldo disponible USD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'ANALISIS RESUMEN'!$J$8:$N$8</c:f>
            </c:strRef>
          </c:cat>
          <c:val>
            <c:numRef>
              <c:f>'ANALISIS RESUMEN'!$J$39:$N$39</c:f>
              <c:numCache/>
            </c:numRef>
          </c:val>
        </c:ser>
        <c:axId val="1972667915"/>
        <c:axId val="260504983"/>
      </c:barChart>
      <c:catAx>
        <c:axId val="1972667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Calibri"/>
              </a:defRPr>
            </a:pPr>
          </a:p>
        </c:txPr>
        <c:crossAx val="260504983"/>
      </c:catAx>
      <c:valAx>
        <c:axId val="260504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97266791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image" Target="../media/image2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9906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0</xdr:rowOff>
    </xdr:from>
    <xdr:ext cx="1000125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9535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1075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990600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990600" cy="809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238125</xdr:colOff>
      <xdr:row>39</xdr:row>
      <xdr:rowOff>133350</xdr:rowOff>
    </xdr:from>
    <xdr:ext cx="6286500" cy="28003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219075</xdr:colOff>
      <xdr:row>55</xdr:row>
      <xdr:rowOff>19050</xdr:rowOff>
    </xdr:from>
    <xdr:ext cx="6324600" cy="22574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219075</xdr:colOff>
      <xdr:row>67</xdr:row>
      <xdr:rowOff>28575</xdr:rowOff>
    </xdr:from>
    <xdr:ext cx="6334125" cy="27813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228600</xdr:colOff>
      <xdr:row>82</xdr:row>
      <xdr:rowOff>19050</xdr:rowOff>
    </xdr:from>
    <xdr:ext cx="6372225" cy="28194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38100</xdr:colOff>
      <xdr:row>0</xdr:row>
      <xdr:rowOff>0</xdr:rowOff>
    </xdr:from>
    <xdr:ext cx="1009650" cy="71437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28575</xdr:rowOff>
    </xdr:from>
    <xdr:ext cx="885825" cy="7143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3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0.1" defaultRowHeight="15.0"/>
  <cols>
    <col customWidth="1" min="1" max="1" width="9.8"/>
    <col customWidth="1" min="2" max="2" width="4.0"/>
    <col customWidth="1" min="3" max="3" width="27.9"/>
    <col customWidth="1" min="4" max="26" width="10.5"/>
  </cols>
  <sheetData>
    <row r="2">
      <c r="B2" s="1" t="s">
        <v>0</v>
      </c>
    </row>
    <row r="3">
      <c r="B3" s="2" t="s">
        <v>1</v>
      </c>
    </row>
    <row r="4">
      <c r="B4" s="3" t="s">
        <v>2</v>
      </c>
    </row>
    <row r="6">
      <c r="B6" s="4">
        <v>1.0</v>
      </c>
      <c r="C6" s="5" t="s">
        <v>3</v>
      </c>
    </row>
    <row r="7">
      <c r="B7" s="4">
        <v>2.0</v>
      </c>
      <c r="C7" s="5" t="s">
        <v>4</v>
      </c>
    </row>
    <row r="8">
      <c r="B8" s="4">
        <v>3.0</v>
      </c>
      <c r="C8" s="5" t="s">
        <v>5</v>
      </c>
    </row>
    <row r="9">
      <c r="B9" s="4">
        <v>4.0</v>
      </c>
      <c r="C9" s="5" t="s">
        <v>6</v>
      </c>
    </row>
    <row r="10">
      <c r="B10" s="4">
        <v>5.0</v>
      </c>
      <c r="C10" s="5" t="s">
        <v>7</v>
      </c>
    </row>
    <row r="11">
      <c r="B11" s="4">
        <v>6.0</v>
      </c>
      <c r="C11" s="5" t="s">
        <v>8</v>
      </c>
    </row>
    <row r="12">
      <c r="B12" s="4">
        <v>7.0</v>
      </c>
      <c r="C12" s="5" t="s">
        <v>9</v>
      </c>
    </row>
    <row r="13">
      <c r="B13" s="4">
        <v>8.0</v>
      </c>
      <c r="C13" s="5" t="s">
        <v>10</v>
      </c>
    </row>
    <row r="14">
      <c r="B14" s="4">
        <v>9.0</v>
      </c>
      <c r="C14" s="5" t="s">
        <v>11</v>
      </c>
    </row>
    <row r="15">
      <c r="B15" s="4">
        <v>10.0</v>
      </c>
      <c r="C15" s="5" t="s">
        <v>12</v>
      </c>
    </row>
    <row r="16">
      <c r="B16" s="4">
        <v>11.0</v>
      </c>
      <c r="C16" s="5" t="s">
        <v>13</v>
      </c>
    </row>
    <row r="17">
      <c r="B17" s="4">
        <v>12.0</v>
      </c>
      <c r="C17" s="5" t="s">
        <v>14</v>
      </c>
    </row>
    <row r="18">
      <c r="B18" s="4">
        <v>13.0</v>
      </c>
      <c r="C18" s="5" t="s">
        <v>15</v>
      </c>
    </row>
    <row r="19">
      <c r="B19" s="4">
        <v>14.0</v>
      </c>
      <c r="C19" s="5" t="s">
        <v>16</v>
      </c>
    </row>
    <row r="20">
      <c r="B20" s="4">
        <v>15.0</v>
      </c>
      <c r="C20" s="5" t="s">
        <v>17</v>
      </c>
    </row>
    <row r="21" ht="15.75" customHeight="1">
      <c r="B21" s="4">
        <v>16.0</v>
      </c>
      <c r="C21" s="5" t="s">
        <v>18</v>
      </c>
    </row>
    <row r="22" ht="15.75" customHeight="1">
      <c r="B22" s="4">
        <v>17.0</v>
      </c>
      <c r="C22" s="5" t="s">
        <v>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Descripción del proyecto" location="DESCRIPCION!A1" ref="C6"/>
    <hyperlink display="Objetivos" location="OBJETIVOS!A1" ref="C7"/>
    <hyperlink display="Organización" location="ORGANIZACION!A1" ref="C8"/>
    <hyperlink display="Premisas" location="PREMISAS!A1" ref="C9"/>
    <hyperlink display="Cifras históricas" location="'CIFRAS HISTORICAS'!A1" ref="C10"/>
    <hyperlink display="Proyeccion de Ingresos" location="INGRESOS!A1" ref="C11"/>
    <hyperlink display="Proyección de costos directos" location="COSTOS!A1" ref="C12"/>
    <hyperlink display="Proyección de gastos generales" location="GASTOS!A1" ref="C13"/>
    <hyperlink display="Proyección de gastos financieros" location="FINANCIEROS!A1" ref="C14"/>
    <hyperlink display="Tabla de amortización de deudas" location="'TABLAS AMORTIZACION'!A1" ref="C15"/>
    <hyperlink display="Proyección de impuestos sobre los beneficios estimados" location="IMPUESTOS!A1" ref="C16"/>
    <hyperlink display="Cálculo de indicadores de rentabilidad" location="'IND RENTABILIDAD'!A1" ref="C17"/>
    <hyperlink display="Proyección de balance general" location="'BALANCE GENERAL'!A1" ref="C18"/>
    <hyperlink display="Cálculo de indicadores de balance" location="'IND BALANCE'!A1" ref="C19"/>
    <hyperlink display="Proyección de Flujo de Caja" location="FDC!A1" ref="C20"/>
    <hyperlink display="Análisis de la planificación financiera consolidada" location="'ANALISIS RESUMEN'!A1" ref="C21"/>
    <hyperlink display="Medición del cumplimiento de la planificación y proyecciones financieras" location="CMI!A1" ref="C22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10.1"/>
    <col customWidth="1" min="2" max="2" width="11.4"/>
    <col customWidth="1" min="3" max="6" width="19.6"/>
    <col customWidth="1" min="7" max="26" width="10.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1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 t="s">
        <v>20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6"/>
      <c r="B6" s="8" t="s">
        <v>21</v>
      </c>
      <c r="C6" s="9" t="s">
        <v>22</v>
      </c>
      <c r="D6" s="10"/>
      <c r="E6" s="10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75" customHeight="1">
      <c r="A7" s="6"/>
      <c r="B7" s="8"/>
      <c r="C7" s="12"/>
      <c r="D7" s="13"/>
      <c r="E7" s="13"/>
      <c r="F7" s="1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23</v>
      </c>
      <c r="C9" s="9" t="s">
        <v>24</v>
      </c>
      <c r="D9" s="10"/>
      <c r="E9" s="10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/>
      <c r="C10" s="12"/>
      <c r="D10" s="13"/>
      <c r="E10" s="13"/>
      <c r="F10" s="1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6"/>
      <c r="B12" s="8" t="s">
        <v>25</v>
      </c>
      <c r="C12" s="9" t="s">
        <v>26</v>
      </c>
      <c r="D12" s="10"/>
      <c r="E12" s="10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8"/>
      <c r="C13" s="15"/>
      <c r="F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8"/>
      <c r="C14" s="15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8"/>
      <c r="C15" s="12"/>
      <c r="D15" s="13"/>
      <c r="E15" s="13"/>
      <c r="F15" s="1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C6:F7"/>
    <mergeCell ref="C9:F10"/>
    <mergeCell ref="C12:F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10.2"/>
    <col customWidth="1" min="2" max="2" width="23.8"/>
    <col customWidth="1" min="3" max="3" width="40.2"/>
    <col customWidth="1" min="4" max="4" width="17.1"/>
    <col customWidth="1" min="5" max="26" width="10.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1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 t="s">
        <v>27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B5" s="17" t="s">
        <v>28</v>
      </c>
      <c r="C5" s="18" t="s">
        <v>29</v>
      </c>
      <c r="D5" s="18" t="s">
        <v>30</v>
      </c>
    </row>
    <row r="6" ht="18.75" customHeight="1">
      <c r="B6" s="19" t="s">
        <v>31</v>
      </c>
      <c r="C6" s="20" t="s">
        <v>32</v>
      </c>
      <c r="D6" s="21" t="s">
        <v>33</v>
      </c>
    </row>
    <row r="7" ht="18.75" customHeight="1">
      <c r="B7" s="22"/>
      <c r="C7" s="20" t="s">
        <v>34</v>
      </c>
      <c r="D7" s="21" t="s">
        <v>35</v>
      </c>
    </row>
    <row r="8" ht="18.75" customHeight="1">
      <c r="B8" s="23"/>
      <c r="C8" s="20" t="s">
        <v>36</v>
      </c>
      <c r="D8" s="21" t="s">
        <v>37</v>
      </c>
    </row>
    <row r="9" ht="18.75" customHeight="1">
      <c r="B9" s="24" t="s">
        <v>38</v>
      </c>
      <c r="C9" s="20" t="s">
        <v>39</v>
      </c>
      <c r="D9" s="21" t="s">
        <v>40</v>
      </c>
    </row>
    <row r="10" ht="18.75" customHeight="1">
      <c r="B10" s="22"/>
      <c r="C10" s="20" t="s">
        <v>41</v>
      </c>
      <c r="D10" s="21" t="s">
        <v>42</v>
      </c>
    </row>
    <row r="11" ht="18.75" customHeight="1">
      <c r="B11" s="25"/>
      <c r="C11" s="20" t="s">
        <v>43</v>
      </c>
      <c r="D11" s="21" t="s">
        <v>44</v>
      </c>
    </row>
    <row r="12" ht="18.75" customHeight="1">
      <c r="B12" s="26" t="s">
        <v>45</v>
      </c>
      <c r="C12" s="27" t="s">
        <v>46</v>
      </c>
      <c r="D12" s="21" t="s">
        <v>47</v>
      </c>
    </row>
    <row r="13" ht="18.75" customHeight="1">
      <c r="B13" s="25"/>
      <c r="C13" s="27" t="s">
        <v>48</v>
      </c>
      <c r="D13" s="21" t="s">
        <v>49</v>
      </c>
    </row>
    <row r="14" ht="18.75" customHeight="1">
      <c r="B14" s="28" t="s">
        <v>50</v>
      </c>
      <c r="C14" s="20" t="s">
        <v>51</v>
      </c>
      <c r="D14" s="29">
        <v>1.0</v>
      </c>
    </row>
    <row r="15" ht="18.75" customHeight="1">
      <c r="B15" s="23"/>
      <c r="C15" s="20" t="s">
        <v>52</v>
      </c>
      <c r="D15" s="29">
        <v>1.0</v>
      </c>
    </row>
    <row r="16">
      <c r="C16" s="30"/>
    </row>
    <row r="17">
      <c r="C17" s="30"/>
    </row>
    <row r="18">
      <c r="C18" s="30"/>
    </row>
    <row r="19">
      <c r="C19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6:B8"/>
    <mergeCell ref="B9:B11"/>
    <mergeCell ref="B12:B13"/>
    <mergeCell ref="B14:B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10.6"/>
    <col customWidth="1" min="2" max="2" width="25.1"/>
    <col customWidth="1" min="3" max="3" width="12.7"/>
    <col customWidth="1" min="4" max="4" width="13.4"/>
    <col customWidth="1" min="5" max="7" width="11.6"/>
    <col customWidth="1" min="8" max="8" width="25.1"/>
    <col customWidth="1" min="9" max="9" width="11.6"/>
    <col customWidth="1" min="10" max="26" width="10.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1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6"/>
      <c r="B3" s="7" t="s">
        <v>53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31" t="s">
        <v>54</v>
      </c>
      <c r="I5" s="32" t="s">
        <v>55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33" t="s">
        <v>56</v>
      </c>
      <c r="I6" s="34">
        <v>24000.0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33" t="s">
        <v>57</v>
      </c>
      <c r="I7" s="34">
        <v>12000.0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6"/>
      <c r="B8" s="6"/>
      <c r="C8" s="6"/>
      <c r="D8" s="6"/>
      <c r="E8" s="6"/>
      <c r="F8" s="6"/>
      <c r="G8" s="6"/>
      <c r="H8" s="33" t="s">
        <v>58</v>
      </c>
      <c r="I8" s="34">
        <v>12000.0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33" t="s">
        <v>59</v>
      </c>
      <c r="I9" s="34">
        <v>12000.0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33" t="s">
        <v>60</v>
      </c>
      <c r="I10" s="34">
        <v>12000.0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33" t="s">
        <v>61</v>
      </c>
      <c r="I11" s="34">
        <v>16800.0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33" t="s">
        <v>62</v>
      </c>
      <c r="I12" s="34">
        <v>7200.0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33" t="s">
        <v>63</v>
      </c>
      <c r="I13" s="34">
        <v>3600.0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33" t="s">
        <v>64</v>
      </c>
      <c r="I14" s="34">
        <v>8400.0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33" t="s">
        <v>65</v>
      </c>
      <c r="I15" s="34">
        <v>8400.0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33" t="s">
        <v>66</v>
      </c>
      <c r="I16" s="34">
        <v>8400.0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33" t="s">
        <v>67</v>
      </c>
      <c r="I17" s="34">
        <v>8400.0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33" t="s">
        <v>68</v>
      </c>
      <c r="I18" s="34">
        <v>7200.0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33" t="s">
        <v>69</v>
      </c>
      <c r="I19" s="34">
        <v>8400.0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35" t="s">
        <v>70</v>
      </c>
      <c r="I20" s="36">
        <f>SUM(I6:I19)</f>
        <v>148800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 t="s">
        <v>71</v>
      </c>
      <c r="I22" s="37">
        <f>+I7+I11+I12+I13</f>
        <v>39600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 t="s">
        <v>72</v>
      </c>
      <c r="I23" s="37">
        <f>+I20-I22</f>
        <v>109200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3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6"/>
      <c r="B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10.9"/>
    <col customWidth="1" min="2" max="2" width="42.1"/>
    <col customWidth="1" min="3" max="7" width="7.9"/>
    <col customWidth="1" min="8" max="26" width="10.5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1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7" t="s">
        <v>73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8"/>
      <c r="B5" s="39" t="s">
        <v>74</v>
      </c>
      <c r="C5" s="40">
        <v>2022.0</v>
      </c>
      <c r="D5" s="40">
        <v>2023.0</v>
      </c>
      <c r="E5" s="40">
        <v>2024.0</v>
      </c>
      <c r="F5" s="40">
        <v>2025.0</v>
      </c>
      <c r="G5" s="41">
        <v>2026.0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8"/>
      <c r="B6" s="42" t="s">
        <v>75</v>
      </c>
      <c r="C6" s="43">
        <v>0.35</v>
      </c>
      <c r="D6" s="43">
        <v>0.35</v>
      </c>
      <c r="E6" s="43">
        <v>0.35</v>
      </c>
      <c r="F6" s="43">
        <v>0.35</v>
      </c>
      <c r="G6" s="44">
        <v>0.35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8"/>
      <c r="B7" s="42" t="s">
        <v>76</v>
      </c>
      <c r="C7" s="43">
        <v>0.44</v>
      </c>
      <c r="D7" s="43">
        <v>0.44</v>
      </c>
      <c r="E7" s="43">
        <v>0.42</v>
      </c>
      <c r="F7" s="43">
        <v>0.42</v>
      </c>
      <c r="G7" s="44">
        <v>0.42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8"/>
      <c r="B8" s="42" t="s">
        <v>77</v>
      </c>
      <c r="C8" s="43">
        <v>0.1</v>
      </c>
      <c r="D8" s="43">
        <v>0.15</v>
      </c>
      <c r="E8" s="43">
        <v>0.15</v>
      </c>
      <c r="F8" s="43">
        <v>0.2</v>
      </c>
      <c r="G8" s="44">
        <v>0.25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/>
      <c r="B9" s="42" t="s">
        <v>78</v>
      </c>
      <c r="C9" s="43">
        <v>0.1</v>
      </c>
      <c r="D9" s="43">
        <v>0.15</v>
      </c>
      <c r="E9" s="43">
        <v>0.15</v>
      </c>
      <c r="F9" s="43">
        <v>0.2</v>
      </c>
      <c r="G9" s="44">
        <v>0.25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/>
      <c r="B10" s="42" t="s">
        <v>79</v>
      </c>
      <c r="C10" s="43">
        <v>0.01</v>
      </c>
      <c r="D10" s="43">
        <v>0.01</v>
      </c>
      <c r="E10" s="43">
        <v>0.01</v>
      </c>
      <c r="F10" s="43">
        <v>0.01</v>
      </c>
      <c r="G10" s="44">
        <v>0.01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8"/>
      <c r="B11" s="42" t="s">
        <v>80</v>
      </c>
      <c r="C11" s="43">
        <v>0.03</v>
      </c>
      <c r="D11" s="43">
        <v>0.03</v>
      </c>
      <c r="E11" s="43">
        <v>0.03</v>
      </c>
      <c r="F11" s="43">
        <v>0.03</v>
      </c>
      <c r="G11" s="44">
        <v>0.03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45" t="s">
        <v>81</v>
      </c>
      <c r="C12" s="46">
        <v>0.25</v>
      </c>
      <c r="D12" s="46">
        <v>0.25</v>
      </c>
      <c r="E12" s="46">
        <v>0.25</v>
      </c>
      <c r="F12" s="46">
        <v>0.25</v>
      </c>
      <c r="G12" s="47">
        <v>0.25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48" t="s">
        <v>82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48" t="s">
        <v>83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48" t="s">
        <v>84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3"/>
    <col customWidth="1" min="2" max="2" width="45.6"/>
    <col customWidth="1" min="3" max="3" width="9.1"/>
    <col customWidth="1" min="4" max="5" width="9.6"/>
    <col customWidth="1" min="6" max="6" width="9.1"/>
    <col customWidth="1" min="7" max="7" width="9.2"/>
    <col customWidth="1" min="8" max="8" width="3.0"/>
    <col customWidth="1" min="9" max="13" width="5.1"/>
    <col customWidth="1" min="14" max="14" width="2.1"/>
    <col customWidth="1" min="15" max="19" width="4.9"/>
    <col customWidth="1" min="20" max="20" width="3.7"/>
    <col customWidth="1" min="21" max="26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9"/>
      <c r="V2" s="49"/>
      <c r="W2" s="49"/>
      <c r="X2" s="49"/>
      <c r="Y2" s="49"/>
      <c r="Z2" s="49"/>
    </row>
    <row r="3">
      <c r="A3" s="50"/>
      <c r="B3" s="7" t="s">
        <v>85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9"/>
      <c r="V3" s="49"/>
      <c r="W3" s="49"/>
      <c r="X3" s="49"/>
      <c r="Y3" s="49"/>
      <c r="Z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9"/>
      <c r="V4" s="49"/>
      <c r="W4" s="49"/>
      <c r="X4" s="49"/>
      <c r="Y4" s="49"/>
      <c r="Z4" s="49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9"/>
      <c r="V5" s="49"/>
      <c r="W5" s="49"/>
      <c r="X5" s="49"/>
      <c r="Y5" s="49"/>
      <c r="Z5" s="49"/>
    </row>
    <row r="6">
      <c r="A6" s="50"/>
      <c r="B6" s="52" t="s">
        <v>86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49"/>
      <c r="W6" s="49"/>
      <c r="X6" s="49"/>
      <c r="Y6" s="49"/>
      <c r="Z6" s="49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9"/>
      <c r="V7" s="49"/>
      <c r="W7" s="49"/>
      <c r="X7" s="49"/>
      <c r="Y7" s="49"/>
      <c r="Z7" s="49"/>
    </row>
    <row r="8">
      <c r="A8" s="50"/>
      <c r="B8" s="53" t="s">
        <v>87</v>
      </c>
      <c r="C8" s="54" t="s">
        <v>88</v>
      </c>
      <c r="D8" s="55"/>
      <c r="E8" s="55"/>
      <c r="F8" s="55"/>
      <c r="G8" s="56"/>
      <c r="H8" s="50"/>
      <c r="I8" s="57" t="s">
        <v>89</v>
      </c>
      <c r="J8" s="55"/>
      <c r="K8" s="55"/>
      <c r="L8" s="55"/>
      <c r="M8" s="56"/>
      <c r="N8" s="50"/>
      <c r="O8" s="57" t="s">
        <v>90</v>
      </c>
      <c r="P8" s="55"/>
      <c r="Q8" s="55"/>
      <c r="R8" s="55"/>
      <c r="S8" s="56"/>
      <c r="T8" s="58"/>
      <c r="U8" s="49"/>
      <c r="V8" s="49"/>
      <c r="W8" s="49"/>
      <c r="X8" s="49"/>
      <c r="Y8" s="49"/>
      <c r="Z8" s="49"/>
    </row>
    <row r="9">
      <c r="A9" s="50"/>
      <c r="B9" s="50"/>
      <c r="C9" s="59">
        <v>2017.0</v>
      </c>
      <c r="D9" s="59">
        <v>2018.0</v>
      </c>
      <c r="E9" s="59">
        <v>2019.0</v>
      </c>
      <c r="F9" s="59">
        <v>2020.0</v>
      </c>
      <c r="G9" s="59">
        <v>2021.0</v>
      </c>
      <c r="H9" s="50"/>
      <c r="I9" s="59">
        <f t="shared" ref="I9:M9" si="1">+C9</f>
        <v>2017</v>
      </c>
      <c r="J9" s="59">
        <f t="shared" si="1"/>
        <v>2018</v>
      </c>
      <c r="K9" s="59">
        <f t="shared" si="1"/>
        <v>2019</v>
      </c>
      <c r="L9" s="59">
        <f t="shared" si="1"/>
        <v>2020</v>
      </c>
      <c r="M9" s="59">
        <f t="shared" si="1"/>
        <v>2021</v>
      </c>
      <c r="N9" s="50"/>
      <c r="O9" s="59">
        <f t="shared" ref="O9:S9" si="2">+C9</f>
        <v>2017</v>
      </c>
      <c r="P9" s="59">
        <f t="shared" si="2"/>
        <v>2018</v>
      </c>
      <c r="Q9" s="59">
        <f t="shared" si="2"/>
        <v>2019</v>
      </c>
      <c r="R9" s="59">
        <f t="shared" si="2"/>
        <v>2020</v>
      </c>
      <c r="S9" s="59">
        <f t="shared" si="2"/>
        <v>2021</v>
      </c>
      <c r="T9" s="58"/>
      <c r="U9" s="49"/>
      <c r="V9" s="49"/>
      <c r="W9" s="49"/>
      <c r="X9" s="49"/>
      <c r="Y9" s="49"/>
      <c r="Z9" s="49"/>
    </row>
    <row r="10">
      <c r="A10" s="50"/>
      <c r="B10" s="50" t="s">
        <v>91</v>
      </c>
      <c r="C10" s="50">
        <v>150000.0</v>
      </c>
      <c r="D10" s="50">
        <v>190000.0</v>
      </c>
      <c r="E10" s="50">
        <v>315000.0</v>
      </c>
      <c r="F10" s="50">
        <v>380000.0</v>
      </c>
      <c r="G10" s="50">
        <v>680000.0</v>
      </c>
      <c r="H10" s="50"/>
      <c r="I10" s="60">
        <f t="shared" ref="I10:M10" si="3">C10/C$10</f>
        <v>1</v>
      </c>
      <c r="J10" s="60">
        <f t="shared" si="3"/>
        <v>1</v>
      </c>
      <c r="K10" s="60">
        <f t="shared" si="3"/>
        <v>1</v>
      </c>
      <c r="L10" s="60">
        <f t="shared" si="3"/>
        <v>1</v>
      </c>
      <c r="M10" s="60">
        <f t="shared" si="3"/>
        <v>1</v>
      </c>
      <c r="N10" s="50"/>
      <c r="O10" s="61">
        <f t="shared" ref="O10:S10" si="4">C10/$C10</f>
        <v>1</v>
      </c>
      <c r="P10" s="61">
        <f t="shared" si="4"/>
        <v>1.266666667</v>
      </c>
      <c r="Q10" s="61">
        <f t="shared" si="4"/>
        <v>2.1</v>
      </c>
      <c r="R10" s="61">
        <f t="shared" si="4"/>
        <v>2.533333333</v>
      </c>
      <c r="S10" s="61">
        <f t="shared" si="4"/>
        <v>4.533333333</v>
      </c>
      <c r="T10" s="61"/>
      <c r="U10" s="49"/>
      <c r="V10" s="49"/>
      <c r="W10" s="49"/>
      <c r="X10" s="49"/>
      <c r="Y10" s="49"/>
      <c r="Z10" s="49"/>
    </row>
    <row r="11">
      <c r="A11" s="50"/>
      <c r="B11" s="50" t="s">
        <v>92</v>
      </c>
      <c r="C11" s="50">
        <v>-86000.0</v>
      </c>
      <c r="D11" s="50">
        <v>-120000.0</v>
      </c>
      <c r="E11" s="50">
        <v>-135000.0</v>
      </c>
      <c r="F11" s="50">
        <v>-138000.0</v>
      </c>
      <c r="G11" s="50">
        <v>-300000.0</v>
      </c>
      <c r="H11" s="50"/>
      <c r="I11" s="60">
        <f t="shared" ref="I11:M11" si="5">C11/C$10</f>
        <v>-0.5733333333</v>
      </c>
      <c r="J11" s="60">
        <f t="shared" si="5"/>
        <v>-0.6315789474</v>
      </c>
      <c r="K11" s="60">
        <f t="shared" si="5"/>
        <v>-0.4285714286</v>
      </c>
      <c r="L11" s="60">
        <f t="shared" si="5"/>
        <v>-0.3631578947</v>
      </c>
      <c r="M11" s="60">
        <f t="shared" si="5"/>
        <v>-0.4411764706</v>
      </c>
      <c r="N11" s="50"/>
      <c r="O11" s="61">
        <f t="shared" ref="O11:S11" si="6">C11/$C11</f>
        <v>1</v>
      </c>
      <c r="P11" s="61">
        <f t="shared" si="6"/>
        <v>1.395348837</v>
      </c>
      <c r="Q11" s="61">
        <f t="shared" si="6"/>
        <v>1.569767442</v>
      </c>
      <c r="R11" s="61">
        <f t="shared" si="6"/>
        <v>1.604651163</v>
      </c>
      <c r="S11" s="61">
        <f t="shared" si="6"/>
        <v>3.488372093</v>
      </c>
      <c r="T11" s="61"/>
      <c r="U11" s="49"/>
      <c r="V11" s="49"/>
      <c r="W11" s="49"/>
      <c r="X11" s="49"/>
      <c r="Y11" s="49"/>
      <c r="Z11" s="49"/>
    </row>
    <row r="12">
      <c r="A12" s="50"/>
      <c r="B12" s="50" t="s">
        <v>93</v>
      </c>
      <c r="C12" s="62">
        <v>-9000.0</v>
      </c>
      <c r="D12" s="62">
        <v>-12000.0</v>
      </c>
      <c r="E12" s="62">
        <v>-16500.0</v>
      </c>
      <c r="F12" s="62">
        <v>-21500.0</v>
      </c>
      <c r="G12" s="62">
        <v>-38500.0</v>
      </c>
      <c r="H12" s="50"/>
      <c r="I12" s="60">
        <f t="shared" ref="I12:M12" si="7">C12/C$10</f>
        <v>-0.06</v>
      </c>
      <c r="J12" s="60">
        <f t="shared" si="7"/>
        <v>-0.06315789474</v>
      </c>
      <c r="K12" s="60">
        <f t="shared" si="7"/>
        <v>-0.05238095238</v>
      </c>
      <c r="L12" s="60">
        <f t="shared" si="7"/>
        <v>-0.05657894737</v>
      </c>
      <c r="M12" s="60">
        <f t="shared" si="7"/>
        <v>-0.05661764706</v>
      </c>
      <c r="N12" s="50"/>
      <c r="O12" s="61">
        <f t="shared" ref="O12:S12" si="8">C12/$C12</f>
        <v>1</v>
      </c>
      <c r="P12" s="61">
        <f t="shared" si="8"/>
        <v>1.333333333</v>
      </c>
      <c r="Q12" s="61">
        <f t="shared" si="8"/>
        <v>1.833333333</v>
      </c>
      <c r="R12" s="61">
        <f t="shared" si="8"/>
        <v>2.388888889</v>
      </c>
      <c r="S12" s="61">
        <f t="shared" si="8"/>
        <v>4.277777778</v>
      </c>
      <c r="T12" s="61"/>
      <c r="U12" s="49"/>
      <c r="V12" s="49"/>
      <c r="W12" s="49"/>
      <c r="X12" s="49"/>
      <c r="Y12" s="49"/>
      <c r="Z12" s="49"/>
    </row>
    <row r="13">
      <c r="A13" s="50"/>
      <c r="B13" s="63" t="s">
        <v>94</v>
      </c>
      <c r="C13" s="64">
        <f t="shared" ref="C13:G13" si="9">SUM(C10:C12)</f>
        <v>55000</v>
      </c>
      <c r="D13" s="64">
        <f t="shared" si="9"/>
        <v>58000</v>
      </c>
      <c r="E13" s="64">
        <f t="shared" si="9"/>
        <v>163500</v>
      </c>
      <c r="F13" s="64">
        <f t="shared" si="9"/>
        <v>220500</v>
      </c>
      <c r="G13" s="64">
        <f t="shared" si="9"/>
        <v>341500</v>
      </c>
      <c r="H13" s="50"/>
      <c r="I13" s="65">
        <f t="shared" ref="I13:M13" si="10">C13/C$10</f>
        <v>0.3666666667</v>
      </c>
      <c r="J13" s="66">
        <f t="shared" si="10"/>
        <v>0.3052631579</v>
      </c>
      <c r="K13" s="66">
        <f t="shared" si="10"/>
        <v>0.519047619</v>
      </c>
      <c r="L13" s="66">
        <f t="shared" si="10"/>
        <v>0.5802631579</v>
      </c>
      <c r="M13" s="67">
        <f t="shared" si="10"/>
        <v>0.5022058824</v>
      </c>
      <c r="N13" s="50"/>
      <c r="O13" s="68">
        <f t="shared" ref="O13:S13" si="11">C13/$C13</f>
        <v>1</v>
      </c>
      <c r="P13" s="69">
        <f t="shared" si="11"/>
        <v>1.054545455</v>
      </c>
      <c r="Q13" s="69">
        <f t="shared" si="11"/>
        <v>2.972727273</v>
      </c>
      <c r="R13" s="69">
        <f t="shared" si="11"/>
        <v>4.009090909</v>
      </c>
      <c r="S13" s="70">
        <f t="shared" si="11"/>
        <v>6.209090909</v>
      </c>
      <c r="T13" s="61"/>
      <c r="U13" s="49"/>
      <c r="V13" s="49"/>
      <c r="W13" s="49"/>
      <c r="X13" s="49"/>
      <c r="Y13" s="49"/>
      <c r="Z13" s="49"/>
    </row>
    <row r="14">
      <c r="A14" s="50"/>
      <c r="B14" s="50" t="s">
        <v>95</v>
      </c>
      <c r="C14" s="50">
        <v>-24000.0</v>
      </c>
      <c r="D14" s="50">
        <v>-29500.0</v>
      </c>
      <c r="E14" s="50">
        <v>-49800.0</v>
      </c>
      <c r="F14" s="50">
        <v>-60500.0</v>
      </c>
      <c r="G14" s="50">
        <v>-108000.0</v>
      </c>
      <c r="H14" s="50"/>
      <c r="I14" s="60">
        <f t="shared" ref="I14:M14" si="12">C14/C$10</f>
        <v>-0.16</v>
      </c>
      <c r="J14" s="60">
        <f t="shared" si="12"/>
        <v>-0.1552631579</v>
      </c>
      <c r="K14" s="60">
        <f t="shared" si="12"/>
        <v>-0.1580952381</v>
      </c>
      <c r="L14" s="60">
        <f t="shared" si="12"/>
        <v>-0.1592105263</v>
      </c>
      <c r="M14" s="60">
        <f t="shared" si="12"/>
        <v>-0.1588235294</v>
      </c>
      <c r="N14" s="50"/>
      <c r="O14" s="61">
        <f t="shared" ref="O14:S14" si="13">C14/$C14</f>
        <v>1</v>
      </c>
      <c r="P14" s="61">
        <f t="shared" si="13"/>
        <v>1.229166667</v>
      </c>
      <c r="Q14" s="61">
        <f t="shared" si="13"/>
        <v>2.075</v>
      </c>
      <c r="R14" s="61">
        <f t="shared" si="13"/>
        <v>2.520833333</v>
      </c>
      <c r="S14" s="61">
        <f t="shared" si="13"/>
        <v>4.5</v>
      </c>
      <c r="T14" s="61"/>
      <c r="U14" s="49"/>
      <c r="V14" s="49"/>
      <c r="W14" s="49"/>
      <c r="X14" s="49"/>
      <c r="Y14" s="49"/>
      <c r="Z14" s="49"/>
    </row>
    <row r="15">
      <c r="A15" s="50"/>
      <c r="B15" s="50" t="s">
        <v>96</v>
      </c>
      <c r="C15" s="50">
        <v>-12000.0</v>
      </c>
      <c r="D15" s="50">
        <v>-17500.0</v>
      </c>
      <c r="E15" s="50">
        <v>-30500.0</v>
      </c>
      <c r="F15" s="50">
        <v>-36000.0</v>
      </c>
      <c r="G15" s="50">
        <v>-67500.0</v>
      </c>
      <c r="H15" s="50"/>
      <c r="I15" s="60">
        <f t="shared" ref="I15:M15" si="14">C15/C$10</f>
        <v>-0.08</v>
      </c>
      <c r="J15" s="60">
        <f t="shared" si="14"/>
        <v>-0.09210526316</v>
      </c>
      <c r="K15" s="60">
        <f t="shared" si="14"/>
        <v>-0.09682539683</v>
      </c>
      <c r="L15" s="60">
        <f t="shared" si="14"/>
        <v>-0.09473684211</v>
      </c>
      <c r="M15" s="60">
        <f t="shared" si="14"/>
        <v>-0.09926470588</v>
      </c>
      <c r="N15" s="50"/>
      <c r="O15" s="61">
        <f t="shared" ref="O15:S15" si="15">C15/$C15</f>
        <v>1</v>
      </c>
      <c r="P15" s="61">
        <f t="shared" si="15"/>
        <v>1.458333333</v>
      </c>
      <c r="Q15" s="61">
        <f t="shared" si="15"/>
        <v>2.541666667</v>
      </c>
      <c r="R15" s="61">
        <f t="shared" si="15"/>
        <v>3</v>
      </c>
      <c r="S15" s="61">
        <f t="shared" si="15"/>
        <v>5.625</v>
      </c>
      <c r="T15" s="61"/>
      <c r="U15" s="49"/>
      <c r="V15" s="49"/>
      <c r="W15" s="49"/>
      <c r="X15" s="49"/>
      <c r="Y15" s="49"/>
      <c r="Z15" s="49"/>
    </row>
    <row r="16">
      <c r="A16" s="50"/>
      <c r="B16" s="50" t="s">
        <v>97</v>
      </c>
      <c r="C16" s="50">
        <v>-100.0</v>
      </c>
      <c r="D16" s="50">
        <v>-120.0</v>
      </c>
      <c r="E16" s="50">
        <v>-980.0</v>
      </c>
      <c r="F16" s="50">
        <v>-1100.0</v>
      </c>
      <c r="G16" s="50">
        <v>-1900.0</v>
      </c>
      <c r="H16" s="50"/>
      <c r="I16" s="60">
        <f t="shared" ref="I16:M16" si="16">C16/C$10</f>
        <v>-0.0006666666667</v>
      </c>
      <c r="J16" s="60">
        <f t="shared" si="16"/>
        <v>-0.0006315789474</v>
      </c>
      <c r="K16" s="60">
        <f t="shared" si="16"/>
        <v>-0.003111111111</v>
      </c>
      <c r="L16" s="60">
        <f t="shared" si="16"/>
        <v>-0.002894736842</v>
      </c>
      <c r="M16" s="60">
        <f t="shared" si="16"/>
        <v>-0.002794117647</v>
      </c>
      <c r="N16" s="50"/>
      <c r="O16" s="61">
        <f t="shared" ref="O16:S16" si="17">C16/$C16</f>
        <v>1</v>
      </c>
      <c r="P16" s="61">
        <f t="shared" si="17"/>
        <v>1.2</v>
      </c>
      <c r="Q16" s="61">
        <f t="shared" si="17"/>
        <v>9.8</v>
      </c>
      <c r="R16" s="61">
        <f t="shared" si="17"/>
        <v>11</v>
      </c>
      <c r="S16" s="61">
        <f t="shared" si="17"/>
        <v>19</v>
      </c>
      <c r="T16" s="61"/>
      <c r="U16" s="49"/>
      <c r="V16" s="49"/>
      <c r="W16" s="49"/>
      <c r="X16" s="49"/>
      <c r="Y16" s="49"/>
      <c r="Z16" s="49"/>
    </row>
    <row r="17">
      <c r="A17" s="50"/>
      <c r="B17" s="50" t="s">
        <v>98</v>
      </c>
      <c r="C17" s="62">
        <v>-520.0</v>
      </c>
      <c r="D17" s="62">
        <v>-680.0</v>
      </c>
      <c r="E17" s="62">
        <v>-3220.0</v>
      </c>
      <c r="F17" s="62">
        <v>-3400.0</v>
      </c>
      <c r="G17" s="62">
        <v>-5100.0</v>
      </c>
      <c r="H17" s="50"/>
      <c r="I17" s="60">
        <f t="shared" ref="I17:M17" si="18">C17/C$10</f>
        <v>-0.003466666667</v>
      </c>
      <c r="J17" s="60">
        <f t="shared" si="18"/>
        <v>-0.003578947368</v>
      </c>
      <c r="K17" s="60">
        <f t="shared" si="18"/>
        <v>-0.01022222222</v>
      </c>
      <c r="L17" s="60">
        <f t="shared" si="18"/>
        <v>-0.008947368421</v>
      </c>
      <c r="M17" s="60">
        <f t="shared" si="18"/>
        <v>-0.0075</v>
      </c>
      <c r="N17" s="50"/>
      <c r="O17" s="61">
        <f t="shared" ref="O17:S17" si="19">C17/$C17</f>
        <v>1</v>
      </c>
      <c r="P17" s="61">
        <f t="shared" si="19"/>
        <v>1.307692308</v>
      </c>
      <c r="Q17" s="61">
        <f t="shared" si="19"/>
        <v>6.192307692</v>
      </c>
      <c r="R17" s="61">
        <f t="shared" si="19"/>
        <v>6.538461538</v>
      </c>
      <c r="S17" s="61">
        <f t="shared" si="19"/>
        <v>9.807692308</v>
      </c>
      <c r="T17" s="61"/>
      <c r="U17" s="49"/>
      <c r="V17" s="49"/>
      <c r="W17" s="49"/>
      <c r="X17" s="49"/>
      <c r="Y17" s="49"/>
      <c r="Z17" s="49"/>
    </row>
    <row r="18">
      <c r="A18" s="50"/>
      <c r="B18" s="63" t="s">
        <v>99</v>
      </c>
      <c r="C18" s="64">
        <f t="shared" ref="C18:G18" si="20">SUM(C13:C17)</f>
        <v>18380</v>
      </c>
      <c r="D18" s="64">
        <f t="shared" si="20"/>
        <v>10200</v>
      </c>
      <c r="E18" s="64">
        <f t="shared" si="20"/>
        <v>79000</v>
      </c>
      <c r="F18" s="64">
        <f t="shared" si="20"/>
        <v>119500</v>
      </c>
      <c r="G18" s="64">
        <f t="shared" si="20"/>
        <v>159000</v>
      </c>
      <c r="H18" s="50"/>
      <c r="I18" s="65">
        <f t="shared" ref="I18:M18" si="21">C18/C$10</f>
        <v>0.1225333333</v>
      </c>
      <c r="J18" s="66">
        <f t="shared" si="21"/>
        <v>0.05368421053</v>
      </c>
      <c r="K18" s="66">
        <f t="shared" si="21"/>
        <v>0.2507936508</v>
      </c>
      <c r="L18" s="66">
        <f t="shared" si="21"/>
        <v>0.3144736842</v>
      </c>
      <c r="M18" s="67">
        <f t="shared" si="21"/>
        <v>0.2338235294</v>
      </c>
      <c r="N18" s="50"/>
      <c r="O18" s="68">
        <f t="shared" ref="O18:S18" si="22">C18/$C18</f>
        <v>1</v>
      </c>
      <c r="P18" s="69">
        <f t="shared" si="22"/>
        <v>0.5549510337</v>
      </c>
      <c r="Q18" s="69">
        <f t="shared" si="22"/>
        <v>4.298150163</v>
      </c>
      <c r="R18" s="69">
        <f t="shared" si="22"/>
        <v>6.501632209</v>
      </c>
      <c r="S18" s="70">
        <f t="shared" si="22"/>
        <v>8.650707291</v>
      </c>
      <c r="T18" s="71"/>
      <c r="U18" s="49"/>
      <c r="V18" s="49"/>
      <c r="W18" s="49"/>
      <c r="X18" s="49"/>
      <c r="Y18" s="49"/>
      <c r="Z18" s="49"/>
    </row>
    <row r="19">
      <c r="A19" s="50"/>
      <c r="B19" s="50" t="s">
        <v>100</v>
      </c>
      <c r="C19" s="62">
        <v>-850.0</v>
      </c>
      <c r="D19" s="62">
        <v>-1300.0</v>
      </c>
      <c r="E19" s="62">
        <v>-2300.0</v>
      </c>
      <c r="F19" s="62">
        <v>-3200.0</v>
      </c>
      <c r="G19" s="62">
        <v>-5950.0</v>
      </c>
      <c r="H19" s="50"/>
      <c r="I19" s="60">
        <f t="shared" ref="I19:M19" si="23">C19/C$10</f>
        <v>-0.005666666667</v>
      </c>
      <c r="J19" s="60">
        <f t="shared" si="23"/>
        <v>-0.006842105263</v>
      </c>
      <c r="K19" s="60">
        <f t="shared" si="23"/>
        <v>-0.007301587302</v>
      </c>
      <c r="L19" s="60">
        <f t="shared" si="23"/>
        <v>-0.008421052632</v>
      </c>
      <c r="M19" s="60">
        <f t="shared" si="23"/>
        <v>-0.00875</v>
      </c>
      <c r="N19" s="50"/>
      <c r="O19" s="61">
        <f t="shared" ref="O19:S19" si="24">C19/$C19</f>
        <v>1</v>
      </c>
      <c r="P19" s="61">
        <f t="shared" si="24"/>
        <v>1.529411765</v>
      </c>
      <c r="Q19" s="61">
        <f t="shared" si="24"/>
        <v>2.705882353</v>
      </c>
      <c r="R19" s="61">
        <f t="shared" si="24"/>
        <v>3.764705882</v>
      </c>
      <c r="S19" s="61">
        <f t="shared" si="24"/>
        <v>7</v>
      </c>
      <c r="T19" s="61"/>
      <c r="U19" s="49"/>
      <c r="V19" s="49"/>
      <c r="W19" s="49"/>
      <c r="X19" s="49"/>
      <c r="Y19" s="49"/>
      <c r="Z19" s="49"/>
    </row>
    <row r="20">
      <c r="A20" s="50"/>
      <c r="B20" s="63" t="s">
        <v>101</v>
      </c>
      <c r="C20" s="64">
        <f t="shared" ref="C20:G20" si="25">SUM(C18:C19)</f>
        <v>17530</v>
      </c>
      <c r="D20" s="64">
        <f t="shared" si="25"/>
        <v>8900</v>
      </c>
      <c r="E20" s="64">
        <f t="shared" si="25"/>
        <v>76700</v>
      </c>
      <c r="F20" s="64">
        <f t="shared" si="25"/>
        <v>116300</v>
      </c>
      <c r="G20" s="64">
        <f t="shared" si="25"/>
        <v>153050</v>
      </c>
      <c r="H20" s="50"/>
      <c r="I20" s="65">
        <f t="shared" ref="I20:M20" si="26">C20/C$10</f>
        <v>0.1168666667</v>
      </c>
      <c r="J20" s="66">
        <f t="shared" si="26"/>
        <v>0.04684210526</v>
      </c>
      <c r="K20" s="66">
        <f t="shared" si="26"/>
        <v>0.2434920635</v>
      </c>
      <c r="L20" s="66">
        <f t="shared" si="26"/>
        <v>0.3060526316</v>
      </c>
      <c r="M20" s="67">
        <f t="shared" si="26"/>
        <v>0.2250735294</v>
      </c>
      <c r="N20" s="50"/>
      <c r="O20" s="68">
        <f t="shared" ref="O20:S20" si="27">C20/$C20</f>
        <v>1</v>
      </c>
      <c r="P20" s="69">
        <f t="shared" si="27"/>
        <v>0.5077010839</v>
      </c>
      <c r="Q20" s="69">
        <f t="shared" si="27"/>
        <v>4.375356532</v>
      </c>
      <c r="R20" s="69">
        <f t="shared" si="27"/>
        <v>6.634341129</v>
      </c>
      <c r="S20" s="70">
        <f t="shared" si="27"/>
        <v>8.73074729</v>
      </c>
      <c r="T20" s="71"/>
      <c r="U20" s="49"/>
      <c r="V20" s="49"/>
      <c r="W20" s="49"/>
      <c r="X20" s="49"/>
      <c r="Y20" s="49"/>
      <c r="Z20" s="49"/>
    </row>
    <row r="21" ht="15.75" customHeight="1">
      <c r="A21" s="50"/>
      <c r="B21" s="50" t="s">
        <v>102</v>
      </c>
      <c r="C21" s="50">
        <v>-29500.0</v>
      </c>
      <c r="D21" s="50">
        <v>-43000.0</v>
      </c>
      <c r="E21" s="50">
        <v>-47200.0</v>
      </c>
      <c r="F21" s="50">
        <f>-F20*0.25</f>
        <v>-29075</v>
      </c>
      <c r="G21" s="50">
        <v>-99000.0</v>
      </c>
      <c r="H21" s="50"/>
      <c r="I21" s="60">
        <f t="shared" ref="I21:M21" si="28">C21/C$10</f>
        <v>-0.1966666667</v>
      </c>
      <c r="J21" s="60">
        <f t="shared" si="28"/>
        <v>-0.2263157895</v>
      </c>
      <c r="K21" s="60">
        <f t="shared" si="28"/>
        <v>-0.1498412698</v>
      </c>
      <c r="L21" s="60">
        <f t="shared" si="28"/>
        <v>-0.07651315789</v>
      </c>
      <c r="M21" s="60">
        <f t="shared" si="28"/>
        <v>-0.1455882353</v>
      </c>
      <c r="N21" s="50"/>
      <c r="O21" s="61">
        <f t="shared" ref="O21:S21" si="29">C21/$C21</f>
        <v>1</v>
      </c>
      <c r="P21" s="61">
        <f t="shared" si="29"/>
        <v>1.457627119</v>
      </c>
      <c r="Q21" s="61">
        <f t="shared" si="29"/>
        <v>1.6</v>
      </c>
      <c r="R21" s="61">
        <f t="shared" si="29"/>
        <v>0.9855932203</v>
      </c>
      <c r="S21" s="61">
        <f t="shared" si="29"/>
        <v>3.355932203</v>
      </c>
      <c r="T21" s="61"/>
      <c r="U21" s="49"/>
      <c r="V21" s="49"/>
      <c r="W21" s="49"/>
      <c r="X21" s="49"/>
      <c r="Y21" s="49"/>
      <c r="Z21" s="49"/>
    </row>
    <row r="22" ht="15.75" customHeight="1">
      <c r="A22" s="50"/>
      <c r="B22" s="63" t="s">
        <v>103</v>
      </c>
      <c r="C22" s="72">
        <f t="shared" ref="C22:G22" si="30">+C20+C21</f>
        <v>-11970</v>
      </c>
      <c r="D22" s="72">
        <f t="shared" si="30"/>
        <v>-34100</v>
      </c>
      <c r="E22" s="72">
        <f t="shared" si="30"/>
        <v>29500</v>
      </c>
      <c r="F22" s="72">
        <f t="shared" si="30"/>
        <v>87225</v>
      </c>
      <c r="G22" s="72">
        <f t="shared" si="30"/>
        <v>54050</v>
      </c>
      <c r="H22" s="50"/>
      <c r="I22" s="65">
        <f t="shared" ref="I22:M22" si="31">C22/C$10</f>
        <v>-0.0798</v>
      </c>
      <c r="J22" s="66">
        <f t="shared" si="31"/>
        <v>-0.1794736842</v>
      </c>
      <c r="K22" s="66">
        <f t="shared" si="31"/>
        <v>0.09365079365</v>
      </c>
      <c r="L22" s="66">
        <f t="shared" si="31"/>
        <v>0.2295394737</v>
      </c>
      <c r="M22" s="67">
        <f t="shared" si="31"/>
        <v>0.07948529412</v>
      </c>
      <c r="N22" s="50"/>
      <c r="O22" s="68">
        <f t="shared" ref="O22:S22" si="32">C22/$C22</f>
        <v>1</v>
      </c>
      <c r="P22" s="69">
        <f t="shared" si="32"/>
        <v>2.848788638</v>
      </c>
      <c r="Q22" s="69">
        <f t="shared" si="32"/>
        <v>-2.46449457</v>
      </c>
      <c r="R22" s="69">
        <f t="shared" si="32"/>
        <v>-7.286967419</v>
      </c>
      <c r="S22" s="70">
        <f t="shared" si="32"/>
        <v>-4.515455305</v>
      </c>
      <c r="T22" s="71"/>
      <c r="U22" s="49"/>
      <c r="V22" s="49"/>
      <c r="W22" s="49"/>
      <c r="X22" s="49"/>
      <c r="Y22" s="49"/>
      <c r="Z22" s="49"/>
    </row>
    <row r="23" ht="15.75" customHeight="1">
      <c r="A23" s="50"/>
      <c r="B23" s="50"/>
      <c r="C23" s="73"/>
      <c r="D23" s="73"/>
      <c r="E23" s="73"/>
      <c r="F23" s="73"/>
      <c r="G23" s="73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9"/>
      <c r="V23" s="49"/>
      <c r="W23" s="49"/>
      <c r="X23" s="49"/>
      <c r="Y23" s="49"/>
      <c r="Z23" s="49"/>
    </row>
    <row r="24" ht="15.7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9"/>
      <c r="V24" s="49"/>
      <c r="W24" s="49"/>
      <c r="X24" s="49"/>
      <c r="Y24" s="49"/>
      <c r="Z24" s="49"/>
    </row>
    <row r="25" ht="15.75" customHeight="1">
      <c r="A25" s="50"/>
      <c r="B25" s="53" t="s">
        <v>104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9"/>
      <c r="V25" s="49"/>
      <c r="W25" s="49"/>
      <c r="X25" s="49"/>
      <c r="Y25" s="49"/>
      <c r="Z25" s="49"/>
    </row>
    <row r="26" ht="15.7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9"/>
      <c r="V26" s="49"/>
      <c r="W26" s="49"/>
      <c r="X26" s="49"/>
      <c r="Y26" s="49"/>
      <c r="Z26" s="49"/>
    </row>
    <row r="27" ht="15.75" customHeight="1">
      <c r="A27" s="50"/>
      <c r="B27" s="50"/>
      <c r="C27" s="59">
        <v>2017.0</v>
      </c>
      <c r="D27" s="59">
        <v>2018.0</v>
      </c>
      <c r="E27" s="59">
        <v>2019.0</v>
      </c>
      <c r="F27" s="59">
        <v>2020.0</v>
      </c>
      <c r="G27" s="59">
        <v>2021.0</v>
      </c>
      <c r="H27" s="50"/>
      <c r="I27" s="59">
        <f t="shared" ref="I27:M27" si="33">+C27</f>
        <v>2017</v>
      </c>
      <c r="J27" s="59">
        <f t="shared" si="33"/>
        <v>2018</v>
      </c>
      <c r="K27" s="59">
        <f t="shared" si="33"/>
        <v>2019</v>
      </c>
      <c r="L27" s="59">
        <f t="shared" si="33"/>
        <v>2020</v>
      </c>
      <c r="M27" s="59">
        <f t="shared" si="33"/>
        <v>2021</v>
      </c>
      <c r="N27" s="50"/>
      <c r="O27" s="59">
        <f t="shared" ref="O27:S27" si="34">+C27</f>
        <v>2017</v>
      </c>
      <c r="P27" s="59">
        <f t="shared" si="34"/>
        <v>2018</v>
      </c>
      <c r="Q27" s="59">
        <f t="shared" si="34"/>
        <v>2019</v>
      </c>
      <c r="R27" s="59">
        <f t="shared" si="34"/>
        <v>2020</v>
      </c>
      <c r="S27" s="59">
        <f t="shared" si="34"/>
        <v>2021</v>
      </c>
      <c r="T27" s="58"/>
      <c r="U27" s="49"/>
      <c r="V27" s="49"/>
      <c r="W27" s="49"/>
      <c r="X27" s="49"/>
      <c r="Y27" s="49"/>
      <c r="Z27" s="49"/>
    </row>
    <row r="28" ht="15.75" customHeight="1">
      <c r="A28" s="50"/>
      <c r="B28" s="50" t="s">
        <v>105</v>
      </c>
      <c r="C28" s="50">
        <v>4000.0</v>
      </c>
      <c r="D28" s="50">
        <v>12000.0</v>
      </c>
      <c r="E28" s="50">
        <v>21000.0</v>
      </c>
      <c r="F28" s="50">
        <v>36000.0</v>
      </c>
      <c r="G28" s="50">
        <v>52000.0</v>
      </c>
      <c r="H28" s="50"/>
      <c r="I28" s="60">
        <f t="shared" ref="I28:M28" si="35">C28/C$37</f>
        <v>0.05545538157</v>
      </c>
      <c r="J28" s="60">
        <f t="shared" si="35"/>
        <v>0.1493464971</v>
      </c>
      <c r="K28" s="60">
        <f t="shared" si="35"/>
        <v>0.06543481779</v>
      </c>
      <c r="L28" s="60">
        <f t="shared" si="35"/>
        <v>0.1025713907</v>
      </c>
      <c r="M28" s="60">
        <f t="shared" si="35"/>
        <v>0.1615781834</v>
      </c>
      <c r="N28" s="50"/>
      <c r="O28" s="61">
        <f t="shared" ref="O28:S28" si="36">C28/$C28</f>
        <v>1</v>
      </c>
      <c r="P28" s="61">
        <f t="shared" si="36"/>
        <v>3</v>
      </c>
      <c r="Q28" s="61">
        <f t="shared" si="36"/>
        <v>5.25</v>
      </c>
      <c r="R28" s="61">
        <f t="shared" si="36"/>
        <v>9</v>
      </c>
      <c r="S28" s="61">
        <f t="shared" si="36"/>
        <v>13</v>
      </c>
      <c r="T28" s="61"/>
      <c r="U28" s="49"/>
      <c r="V28" s="49"/>
      <c r="W28" s="49"/>
      <c r="X28" s="49"/>
      <c r="Y28" s="49"/>
      <c r="Z28" s="49"/>
    </row>
    <row r="29" ht="15.75" customHeight="1">
      <c r="A29" s="50"/>
      <c r="B29" s="50" t="s">
        <v>106</v>
      </c>
      <c r="C29" s="50">
        <v>-100.0</v>
      </c>
      <c r="D29" s="50">
        <v>-220.0</v>
      </c>
      <c r="E29" s="50">
        <v>-1200.0</v>
      </c>
      <c r="F29" s="50">
        <v>-2300.0</v>
      </c>
      <c r="G29" s="50">
        <v>-4200.0</v>
      </c>
      <c r="H29" s="50"/>
      <c r="I29" s="60">
        <f t="shared" ref="I29:M29" si="37">C29/C$37</f>
        <v>-0.001386384539</v>
      </c>
      <c r="J29" s="60">
        <f t="shared" si="37"/>
        <v>-0.002738019113</v>
      </c>
      <c r="K29" s="60">
        <f t="shared" si="37"/>
        <v>-0.003739132445</v>
      </c>
      <c r="L29" s="60">
        <f t="shared" si="37"/>
        <v>-0.006553172183</v>
      </c>
      <c r="M29" s="60">
        <f t="shared" si="37"/>
        <v>-0.01305054558</v>
      </c>
      <c r="N29" s="50"/>
      <c r="O29" s="61">
        <f t="shared" ref="O29:S29" si="38">C29/$C29</f>
        <v>1</v>
      </c>
      <c r="P29" s="61">
        <f t="shared" si="38"/>
        <v>2.2</v>
      </c>
      <c r="Q29" s="61">
        <f t="shared" si="38"/>
        <v>12</v>
      </c>
      <c r="R29" s="61">
        <f t="shared" si="38"/>
        <v>23</v>
      </c>
      <c r="S29" s="61">
        <f t="shared" si="38"/>
        <v>42</v>
      </c>
      <c r="T29" s="61"/>
      <c r="U29" s="49"/>
      <c r="V29" s="49"/>
      <c r="W29" s="49"/>
      <c r="X29" s="49"/>
      <c r="Y29" s="49"/>
      <c r="Z29" s="49"/>
    </row>
    <row r="30" ht="15.75" customHeight="1">
      <c r="A30" s="50"/>
      <c r="B30" s="50" t="s">
        <v>107</v>
      </c>
      <c r="C30" s="50">
        <v>10000.0</v>
      </c>
      <c r="D30" s="50">
        <v>20000.0</v>
      </c>
      <c r="E30" s="50">
        <v>50000.0</v>
      </c>
      <c r="F30" s="50">
        <v>11000.0</v>
      </c>
      <c r="G30" s="50">
        <v>125000.0</v>
      </c>
      <c r="H30" s="50"/>
      <c r="I30" s="60">
        <f t="shared" ref="I30:M30" si="39">C30/C$37</f>
        <v>0.1386384539</v>
      </c>
      <c r="J30" s="60">
        <f t="shared" si="39"/>
        <v>0.2489108284</v>
      </c>
      <c r="K30" s="60">
        <f t="shared" si="39"/>
        <v>0.1557971852</v>
      </c>
      <c r="L30" s="60">
        <f t="shared" si="39"/>
        <v>0.03134125826</v>
      </c>
      <c r="M30" s="60">
        <f t="shared" si="39"/>
        <v>0.3884090947</v>
      </c>
      <c r="N30" s="50"/>
      <c r="O30" s="61">
        <f t="shared" ref="O30:S30" si="40">C30/$C30</f>
        <v>1</v>
      </c>
      <c r="P30" s="61">
        <f t="shared" si="40"/>
        <v>2</v>
      </c>
      <c r="Q30" s="61">
        <f t="shared" si="40"/>
        <v>5</v>
      </c>
      <c r="R30" s="61">
        <f t="shared" si="40"/>
        <v>1.1</v>
      </c>
      <c r="S30" s="61">
        <f t="shared" si="40"/>
        <v>12.5</v>
      </c>
      <c r="T30" s="61"/>
      <c r="U30" s="49"/>
      <c r="V30" s="49"/>
      <c r="W30" s="49"/>
      <c r="X30" s="49"/>
      <c r="Y30" s="49"/>
      <c r="Z30" s="49"/>
    </row>
    <row r="31" ht="15.75" customHeight="1">
      <c r="A31" s="50"/>
      <c r="B31" s="50" t="s">
        <v>108</v>
      </c>
      <c r="C31" s="62">
        <v>-520.0</v>
      </c>
      <c r="D31" s="62">
        <v>-1200.0</v>
      </c>
      <c r="E31" s="62">
        <v>-4420.0</v>
      </c>
      <c r="F31" s="62">
        <v>-7820.0</v>
      </c>
      <c r="G31" s="62">
        <v>-12920.0</v>
      </c>
      <c r="H31" s="50"/>
      <c r="I31" s="60">
        <f t="shared" ref="I31:M31" si="41">C31/C$37</f>
        <v>-0.007209199604</v>
      </c>
      <c r="J31" s="60">
        <f t="shared" si="41"/>
        <v>-0.01493464971</v>
      </c>
      <c r="K31" s="60">
        <f t="shared" si="41"/>
        <v>-0.01377247117</v>
      </c>
      <c r="L31" s="60">
        <f t="shared" si="41"/>
        <v>-0.02228078542</v>
      </c>
      <c r="M31" s="60">
        <f t="shared" si="41"/>
        <v>-0.04014596403</v>
      </c>
      <c r="N31" s="50"/>
      <c r="O31" s="61">
        <f t="shared" ref="O31:S31" si="42">C31/$C31</f>
        <v>1</v>
      </c>
      <c r="P31" s="61">
        <f t="shared" si="42"/>
        <v>2.307692308</v>
      </c>
      <c r="Q31" s="61">
        <f t="shared" si="42"/>
        <v>8.5</v>
      </c>
      <c r="R31" s="61">
        <f t="shared" si="42"/>
        <v>15.03846154</v>
      </c>
      <c r="S31" s="61">
        <f t="shared" si="42"/>
        <v>24.84615385</v>
      </c>
      <c r="T31" s="61"/>
      <c r="U31" s="49"/>
      <c r="V31" s="49"/>
      <c r="W31" s="49"/>
      <c r="X31" s="49"/>
      <c r="Y31" s="49"/>
      <c r="Z31" s="49"/>
    </row>
    <row r="32" ht="15.75" customHeight="1">
      <c r="A32" s="50"/>
      <c r="B32" s="63" t="s">
        <v>109</v>
      </c>
      <c r="C32" s="64">
        <f t="shared" ref="C32:G32" si="43">SUM(C28:C31)</f>
        <v>13380</v>
      </c>
      <c r="D32" s="64">
        <f t="shared" si="43"/>
        <v>30580</v>
      </c>
      <c r="E32" s="64">
        <f t="shared" si="43"/>
        <v>65380</v>
      </c>
      <c r="F32" s="64">
        <f t="shared" si="43"/>
        <v>36880</v>
      </c>
      <c r="G32" s="64">
        <f t="shared" si="43"/>
        <v>159880</v>
      </c>
      <c r="H32" s="50"/>
      <c r="I32" s="65">
        <f t="shared" ref="I32:M32" si="44">C32/C$37</f>
        <v>0.1854982514</v>
      </c>
      <c r="J32" s="66">
        <f t="shared" si="44"/>
        <v>0.3805846567</v>
      </c>
      <c r="K32" s="66">
        <f t="shared" si="44"/>
        <v>0.2037203994</v>
      </c>
      <c r="L32" s="66">
        <f t="shared" si="44"/>
        <v>0.1050786913</v>
      </c>
      <c r="M32" s="67">
        <f t="shared" si="44"/>
        <v>0.4967907685</v>
      </c>
      <c r="N32" s="50"/>
      <c r="O32" s="68">
        <f t="shared" ref="O32:S32" si="45">C32/$C32</f>
        <v>1</v>
      </c>
      <c r="P32" s="69">
        <f t="shared" si="45"/>
        <v>2.285500747</v>
      </c>
      <c r="Q32" s="69">
        <f t="shared" si="45"/>
        <v>4.886397608</v>
      </c>
      <c r="R32" s="69">
        <f t="shared" si="45"/>
        <v>2.756352765</v>
      </c>
      <c r="S32" s="70">
        <f t="shared" si="45"/>
        <v>11.94917788</v>
      </c>
      <c r="T32" s="71"/>
      <c r="U32" s="49"/>
      <c r="V32" s="49"/>
      <c r="W32" s="49"/>
      <c r="X32" s="49"/>
      <c r="Y32" s="49"/>
      <c r="Z32" s="49"/>
    </row>
    <row r="33" ht="15.75" customHeight="1">
      <c r="A33" s="50"/>
      <c r="B33" s="50" t="s">
        <v>110</v>
      </c>
      <c r="C33" s="50">
        <v>0.0</v>
      </c>
      <c r="D33" s="50">
        <v>6350.0</v>
      </c>
      <c r="E33" s="50">
        <v>11800.0</v>
      </c>
      <c r="F33" s="50">
        <v>12000.0</v>
      </c>
      <c r="G33" s="50">
        <v>49500.0</v>
      </c>
      <c r="H33" s="50"/>
      <c r="I33" s="60">
        <f t="shared" ref="I33:M33" si="46">C33/C$37</f>
        <v>0</v>
      </c>
      <c r="J33" s="60">
        <f t="shared" si="46"/>
        <v>0.07902918803</v>
      </c>
      <c r="K33" s="60">
        <f t="shared" si="46"/>
        <v>0.03676813571</v>
      </c>
      <c r="L33" s="60">
        <f t="shared" si="46"/>
        <v>0.03419046356</v>
      </c>
      <c r="M33" s="60">
        <f t="shared" si="46"/>
        <v>0.1538100015</v>
      </c>
      <c r="N33" s="50"/>
      <c r="O33" s="61">
        <v>0.0</v>
      </c>
      <c r="P33" s="61">
        <v>0.0</v>
      </c>
      <c r="Q33" s="61">
        <v>0.0</v>
      </c>
      <c r="R33" s="61">
        <v>0.0</v>
      </c>
      <c r="S33" s="61">
        <v>0.0</v>
      </c>
      <c r="T33" s="61"/>
      <c r="U33" s="49"/>
      <c r="V33" s="49"/>
      <c r="W33" s="49"/>
      <c r="X33" s="49"/>
      <c r="Y33" s="49"/>
      <c r="Z33" s="49"/>
    </row>
    <row r="34" ht="15.75" customHeight="1">
      <c r="A34" s="50"/>
      <c r="B34" s="50" t="s">
        <v>111</v>
      </c>
      <c r="C34" s="50">
        <v>1576.45</v>
      </c>
      <c r="D34" s="50">
        <v>11051.41</v>
      </c>
      <c r="E34" s="50">
        <v>22000.0</v>
      </c>
      <c r="F34" s="50">
        <v>18000.0</v>
      </c>
      <c r="G34" s="50">
        <v>8000.0</v>
      </c>
      <c r="H34" s="50"/>
      <c r="I34" s="60">
        <f t="shared" ref="I34:M34" si="47">C34/C$37</f>
        <v>0.02185565907</v>
      </c>
      <c r="J34" s="60">
        <f t="shared" si="47"/>
        <v>0.1375407809</v>
      </c>
      <c r="K34" s="60">
        <f t="shared" si="47"/>
        <v>0.0685507615</v>
      </c>
      <c r="L34" s="60">
        <f t="shared" si="47"/>
        <v>0.05128569534</v>
      </c>
      <c r="M34" s="60">
        <f t="shared" si="47"/>
        <v>0.02485818206</v>
      </c>
      <c r="N34" s="50"/>
      <c r="O34" s="61">
        <f t="shared" ref="O34:S34" si="48">C34/$C34</f>
        <v>1</v>
      </c>
      <c r="P34" s="61">
        <f t="shared" si="48"/>
        <v>7.010314314</v>
      </c>
      <c r="Q34" s="61">
        <f t="shared" si="48"/>
        <v>13.95540613</v>
      </c>
      <c r="R34" s="61">
        <f t="shared" si="48"/>
        <v>11.41805956</v>
      </c>
      <c r="S34" s="61">
        <f t="shared" si="48"/>
        <v>5.07469314</v>
      </c>
      <c r="T34" s="61"/>
      <c r="U34" s="49"/>
      <c r="V34" s="49"/>
      <c r="W34" s="49"/>
      <c r="X34" s="49"/>
      <c r="Y34" s="49"/>
      <c r="Z34" s="49"/>
    </row>
    <row r="35" ht="15.75" customHeight="1">
      <c r="A35" s="50"/>
      <c r="B35" s="50" t="s">
        <v>112</v>
      </c>
      <c r="C35" s="62">
        <v>57173.61</v>
      </c>
      <c r="D35" s="62">
        <v>32368.649999999994</v>
      </c>
      <c r="E35" s="62">
        <v>221750.06</v>
      </c>
      <c r="F35" s="62">
        <v>284095.06</v>
      </c>
      <c r="G35" s="62">
        <v>104445.62585321383</v>
      </c>
      <c r="H35" s="50"/>
      <c r="I35" s="60">
        <f t="shared" ref="I35:M35" si="49">C35/C$37</f>
        <v>0.7926460896</v>
      </c>
      <c r="J35" s="60">
        <f t="shared" si="49"/>
        <v>0.4028453744</v>
      </c>
      <c r="K35" s="60">
        <f t="shared" si="49"/>
        <v>0.6909607034</v>
      </c>
      <c r="L35" s="60">
        <f t="shared" si="49"/>
        <v>0.8094451497</v>
      </c>
      <c r="M35" s="60">
        <f t="shared" si="49"/>
        <v>0.3245410479</v>
      </c>
      <c r="N35" s="50"/>
      <c r="O35" s="61">
        <f t="shared" ref="O35:S35" si="50">C35/$C35</f>
        <v>1</v>
      </c>
      <c r="P35" s="61">
        <f t="shared" si="50"/>
        <v>0.566146689</v>
      </c>
      <c r="Q35" s="61">
        <f t="shared" si="50"/>
        <v>3.878538717</v>
      </c>
      <c r="R35" s="61">
        <f t="shared" si="50"/>
        <v>4.968989364</v>
      </c>
      <c r="S35" s="61">
        <f t="shared" si="50"/>
        <v>1.826815306</v>
      </c>
      <c r="T35" s="61"/>
      <c r="U35" s="49"/>
      <c r="V35" s="49"/>
      <c r="W35" s="49"/>
      <c r="X35" s="49"/>
      <c r="Y35" s="49"/>
      <c r="Z35" s="49"/>
    </row>
    <row r="36" ht="15.75" customHeight="1">
      <c r="A36" s="50"/>
      <c r="B36" s="63" t="s">
        <v>113</v>
      </c>
      <c r="C36" s="74">
        <f t="shared" ref="C36:G36" si="51">SUM(C33:C35)</f>
        <v>58750.06</v>
      </c>
      <c r="D36" s="74">
        <f t="shared" si="51"/>
        <v>49770.06</v>
      </c>
      <c r="E36" s="74">
        <f t="shared" si="51"/>
        <v>255550.06</v>
      </c>
      <c r="F36" s="74">
        <f t="shared" si="51"/>
        <v>314095.06</v>
      </c>
      <c r="G36" s="74">
        <f t="shared" si="51"/>
        <v>161945.6259</v>
      </c>
      <c r="H36" s="50"/>
      <c r="I36" s="75">
        <f t="shared" ref="I36:M36" si="52">C36/C$37</f>
        <v>0.8145017486</v>
      </c>
      <c r="J36" s="75">
        <f t="shared" si="52"/>
        <v>0.6194153433</v>
      </c>
      <c r="K36" s="75">
        <f t="shared" si="52"/>
        <v>0.7962796006</v>
      </c>
      <c r="L36" s="75">
        <f t="shared" si="52"/>
        <v>0.8949213087</v>
      </c>
      <c r="M36" s="75">
        <f t="shared" si="52"/>
        <v>0.5032092315</v>
      </c>
      <c r="N36" s="50"/>
      <c r="O36" s="61">
        <f t="shared" ref="O36:S36" si="53">C36/$C36</f>
        <v>1</v>
      </c>
      <c r="P36" s="61">
        <f t="shared" si="53"/>
        <v>0.8471490923</v>
      </c>
      <c r="Q36" s="61">
        <f t="shared" si="53"/>
        <v>4.349783813</v>
      </c>
      <c r="R36" s="61">
        <f t="shared" si="53"/>
        <v>5.346293434</v>
      </c>
      <c r="S36" s="61">
        <f t="shared" si="53"/>
        <v>2.756518476</v>
      </c>
      <c r="T36" s="61"/>
      <c r="U36" s="49"/>
      <c r="V36" s="49"/>
      <c r="W36" s="49"/>
      <c r="X36" s="49"/>
      <c r="Y36" s="49"/>
      <c r="Z36" s="49"/>
    </row>
    <row r="37" ht="15.75" customHeight="1">
      <c r="A37" s="50"/>
      <c r="B37" s="63" t="s">
        <v>114</v>
      </c>
      <c r="C37" s="72">
        <f t="shared" ref="C37:G37" si="54">+C32+C36</f>
        <v>72130.06</v>
      </c>
      <c r="D37" s="72">
        <f t="shared" si="54"/>
        <v>80350.06</v>
      </c>
      <c r="E37" s="72">
        <f t="shared" si="54"/>
        <v>320930.06</v>
      </c>
      <c r="F37" s="72">
        <f t="shared" si="54"/>
        <v>350975.06</v>
      </c>
      <c r="G37" s="72">
        <f t="shared" si="54"/>
        <v>321825.6259</v>
      </c>
      <c r="H37" s="50"/>
      <c r="I37" s="65">
        <f t="shared" ref="I37:M37" si="55">C37/C$37</f>
        <v>1</v>
      </c>
      <c r="J37" s="66">
        <f t="shared" si="55"/>
        <v>1</v>
      </c>
      <c r="K37" s="66">
        <f t="shared" si="55"/>
        <v>1</v>
      </c>
      <c r="L37" s="66">
        <f t="shared" si="55"/>
        <v>1</v>
      </c>
      <c r="M37" s="67">
        <f t="shared" si="55"/>
        <v>1</v>
      </c>
      <c r="N37" s="50"/>
      <c r="O37" s="68">
        <f t="shared" ref="O37:S37" si="56">C37/$C37</f>
        <v>1</v>
      </c>
      <c r="P37" s="69">
        <f t="shared" si="56"/>
        <v>1.113960809</v>
      </c>
      <c r="Q37" s="69">
        <f t="shared" si="56"/>
        <v>4.449324734</v>
      </c>
      <c r="R37" s="69">
        <f t="shared" si="56"/>
        <v>4.865863969</v>
      </c>
      <c r="S37" s="70">
        <f t="shared" si="56"/>
        <v>4.46174072</v>
      </c>
      <c r="T37" s="71"/>
      <c r="U37" s="49"/>
      <c r="V37" s="49"/>
      <c r="W37" s="49"/>
      <c r="X37" s="49"/>
      <c r="Y37" s="49"/>
      <c r="Z37" s="49"/>
    </row>
    <row r="38" ht="15.75" customHeight="1">
      <c r="A38" s="50"/>
      <c r="B38" s="50"/>
      <c r="C38" s="50"/>
      <c r="D38" s="50"/>
      <c r="E38" s="50"/>
      <c r="F38" s="50"/>
      <c r="G38" s="50"/>
      <c r="H38" s="50"/>
      <c r="I38" s="60"/>
      <c r="J38" s="60"/>
      <c r="K38" s="60"/>
      <c r="L38" s="60"/>
      <c r="M38" s="60"/>
      <c r="N38" s="50"/>
      <c r="O38" s="61"/>
      <c r="P38" s="61"/>
      <c r="Q38" s="61"/>
      <c r="R38" s="61"/>
      <c r="S38" s="61"/>
      <c r="T38" s="61"/>
      <c r="U38" s="49"/>
      <c r="V38" s="49"/>
      <c r="W38" s="49"/>
      <c r="X38" s="49"/>
      <c r="Y38" s="49"/>
      <c r="Z38" s="49"/>
    </row>
    <row r="39" ht="15.75" customHeight="1">
      <c r="A39" s="50"/>
      <c r="B39" s="50" t="s">
        <v>115</v>
      </c>
      <c r="C39" s="50">
        <v>80000.0</v>
      </c>
      <c r="D39" s="50">
        <v>120000.0</v>
      </c>
      <c r="E39" s="50">
        <v>80000.0</v>
      </c>
      <c r="F39" s="50">
        <v>60000.0</v>
      </c>
      <c r="G39" s="50">
        <v>30000.0</v>
      </c>
      <c r="H39" s="50"/>
      <c r="I39" s="60">
        <f t="shared" ref="I39:M39" si="57">C39/C$37</f>
        <v>1.109107631</v>
      </c>
      <c r="J39" s="60">
        <f t="shared" si="57"/>
        <v>1.493464971</v>
      </c>
      <c r="K39" s="60">
        <f t="shared" si="57"/>
        <v>0.2492754963</v>
      </c>
      <c r="L39" s="60">
        <f t="shared" si="57"/>
        <v>0.1709523178</v>
      </c>
      <c r="M39" s="60">
        <f t="shared" si="57"/>
        <v>0.09321818274</v>
      </c>
      <c r="N39" s="50"/>
      <c r="O39" s="61">
        <f t="shared" ref="O39:S39" si="58">C39/$C39</f>
        <v>1</v>
      </c>
      <c r="P39" s="61">
        <f t="shared" si="58"/>
        <v>1.5</v>
      </c>
      <c r="Q39" s="61">
        <f t="shared" si="58"/>
        <v>1</v>
      </c>
      <c r="R39" s="61">
        <f t="shared" si="58"/>
        <v>0.75</v>
      </c>
      <c r="S39" s="61">
        <f t="shared" si="58"/>
        <v>0.375</v>
      </c>
      <c r="T39" s="61"/>
      <c r="U39" s="49"/>
      <c r="V39" s="49"/>
      <c r="W39" s="49"/>
      <c r="X39" s="49"/>
      <c r="Y39" s="49"/>
      <c r="Z39" s="49"/>
    </row>
    <row r="40" ht="15.75" customHeight="1">
      <c r="A40" s="50"/>
      <c r="B40" s="50" t="s">
        <v>116</v>
      </c>
      <c r="C40" s="50">
        <v>0.0</v>
      </c>
      <c r="D40" s="50">
        <v>2500.0</v>
      </c>
      <c r="E40" s="50">
        <v>3200.0</v>
      </c>
      <c r="F40" s="50">
        <v>15000.0</v>
      </c>
      <c r="G40" s="50">
        <v>25000.0</v>
      </c>
      <c r="H40" s="50"/>
      <c r="I40" s="60">
        <f t="shared" ref="I40:M40" si="59">C40/C$37</f>
        <v>0</v>
      </c>
      <c r="J40" s="60">
        <f t="shared" si="59"/>
        <v>0.03111385356</v>
      </c>
      <c r="K40" s="60">
        <f t="shared" si="59"/>
        <v>0.009971019854</v>
      </c>
      <c r="L40" s="60">
        <f t="shared" si="59"/>
        <v>0.04273807945</v>
      </c>
      <c r="M40" s="60">
        <f t="shared" si="59"/>
        <v>0.07768181895</v>
      </c>
      <c r="N40" s="50"/>
      <c r="O40" s="61">
        <v>0.0</v>
      </c>
      <c r="P40" s="61">
        <v>0.0</v>
      </c>
      <c r="Q40" s="61">
        <v>0.0</v>
      </c>
      <c r="R40" s="61">
        <v>0.0</v>
      </c>
      <c r="S40" s="61">
        <v>0.0</v>
      </c>
      <c r="T40" s="61"/>
      <c r="U40" s="49"/>
      <c r="V40" s="49"/>
      <c r="W40" s="49"/>
      <c r="X40" s="49"/>
      <c r="Y40" s="49"/>
      <c r="Z40" s="49"/>
    </row>
    <row r="41" ht="15.75" customHeight="1">
      <c r="A41" s="50"/>
      <c r="B41" s="50" t="s">
        <v>117</v>
      </c>
      <c r="C41" s="50">
        <v>300.0</v>
      </c>
      <c r="D41" s="50">
        <v>120.0</v>
      </c>
      <c r="E41" s="50">
        <v>250.0</v>
      </c>
      <c r="F41" s="50">
        <v>320.0</v>
      </c>
      <c r="G41" s="50">
        <v>650.0</v>
      </c>
      <c r="H41" s="50"/>
      <c r="I41" s="60">
        <f t="shared" ref="I41:M41" si="60">C41/C$37</f>
        <v>0.004159153618</v>
      </c>
      <c r="J41" s="60">
        <f t="shared" si="60"/>
        <v>0.001493464971</v>
      </c>
      <c r="K41" s="60">
        <f t="shared" si="60"/>
        <v>0.0007789859261</v>
      </c>
      <c r="L41" s="60">
        <f t="shared" si="60"/>
        <v>0.000911745695</v>
      </c>
      <c r="M41" s="60">
        <f t="shared" si="60"/>
        <v>0.002019727293</v>
      </c>
      <c r="N41" s="50"/>
      <c r="O41" s="61">
        <f t="shared" ref="O41:S41" si="61">C41/$C41</f>
        <v>1</v>
      </c>
      <c r="P41" s="61">
        <f t="shared" si="61"/>
        <v>0.4</v>
      </c>
      <c r="Q41" s="61">
        <f t="shared" si="61"/>
        <v>0.8333333333</v>
      </c>
      <c r="R41" s="61">
        <f t="shared" si="61"/>
        <v>1.066666667</v>
      </c>
      <c r="S41" s="61">
        <f t="shared" si="61"/>
        <v>2.166666667</v>
      </c>
      <c r="T41" s="61"/>
      <c r="U41" s="49"/>
      <c r="V41" s="49"/>
      <c r="W41" s="49"/>
      <c r="X41" s="49"/>
      <c r="Y41" s="49"/>
      <c r="Z41" s="49"/>
    </row>
    <row r="42" ht="15.75" customHeight="1">
      <c r="A42" s="50"/>
      <c r="B42" s="50" t="s">
        <v>118</v>
      </c>
      <c r="C42" s="62">
        <v>0.0</v>
      </c>
      <c r="D42" s="62">
        <v>0.0</v>
      </c>
      <c r="E42" s="62">
        <v>250.0</v>
      </c>
      <c r="F42" s="62">
        <v>1200.0</v>
      </c>
      <c r="G42" s="62">
        <v>2350.0</v>
      </c>
      <c r="H42" s="50"/>
      <c r="I42" s="60">
        <f t="shared" ref="I42:M42" si="62">C42/C$37</f>
        <v>0</v>
      </c>
      <c r="J42" s="60">
        <f t="shared" si="62"/>
        <v>0</v>
      </c>
      <c r="K42" s="60">
        <f t="shared" si="62"/>
        <v>0.0007789859261</v>
      </c>
      <c r="L42" s="60">
        <f t="shared" si="62"/>
        <v>0.003419046356</v>
      </c>
      <c r="M42" s="60">
        <f t="shared" si="62"/>
        <v>0.007302090981</v>
      </c>
      <c r="N42" s="50"/>
      <c r="O42" s="61">
        <v>0.0</v>
      </c>
      <c r="P42" s="61">
        <v>0.0</v>
      </c>
      <c r="Q42" s="61">
        <v>0.0</v>
      </c>
      <c r="R42" s="61">
        <v>0.0</v>
      </c>
      <c r="S42" s="61">
        <v>0.0</v>
      </c>
      <c r="T42" s="61"/>
      <c r="U42" s="49"/>
      <c r="V42" s="49"/>
      <c r="W42" s="49"/>
      <c r="X42" s="49"/>
      <c r="Y42" s="49"/>
      <c r="Z42" s="49"/>
    </row>
    <row r="43" ht="15.75" customHeight="1">
      <c r="A43" s="50"/>
      <c r="B43" s="63" t="s">
        <v>119</v>
      </c>
      <c r="C43" s="76">
        <f t="shared" ref="C43:G43" si="63">SUM(C39:C42)</f>
        <v>80300</v>
      </c>
      <c r="D43" s="76">
        <f t="shared" si="63"/>
        <v>122620</v>
      </c>
      <c r="E43" s="76">
        <f t="shared" si="63"/>
        <v>83700</v>
      </c>
      <c r="F43" s="76">
        <f t="shared" si="63"/>
        <v>76520</v>
      </c>
      <c r="G43" s="76">
        <f t="shared" si="63"/>
        <v>58000</v>
      </c>
      <c r="H43" s="50"/>
      <c r="I43" s="65">
        <f t="shared" ref="I43:M43" si="64">C43/C$37</f>
        <v>1.113266785</v>
      </c>
      <c r="J43" s="66">
        <f t="shared" si="64"/>
        <v>1.526072289</v>
      </c>
      <c r="K43" s="66">
        <f t="shared" si="64"/>
        <v>0.2608044881</v>
      </c>
      <c r="L43" s="66">
        <f t="shared" si="64"/>
        <v>0.2180211893</v>
      </c>
      <c r="M43" s="67">
        <f t="shared" si="64"/>
        <v>0.18022182</v>
      </c>
      <c r="N43" s="50"/>
      <c r="O43" s="68">
        <f t="shared" ref="O43:S43" si="65">C43/$C43</f>
        <v>1</v>
      </c>
      <c r="P43" s="69">
        <f t="shared" si="65"/>
        <v>1.527023661</v>
      </c>
      <c r="Q43" s="69">
        <f t="shared" si="65"/>
        <v>1.04234122</v>
      </c>
      <c r="R43" s="69">
        <f t="shared" si="65"/>
        <v>0.9529265255</v>
      </c>
      <c r="S43" s="70">
        <f t="shared" si="65"/>
        <v>0.7222914072</v>
      </c>
      <c r="T43" s="61"/>
      <c r="U43" s="49"/>
      <c r="V43" s="49"/>
      <c r="W43" s="49"/>
      <c r="X43" s="49"/>
      <c r="Y43" s="49"/>
      <c r="Z43" s="49"/>
    </row>
    <row r="44" ht="15.75" customHeight="1">
      <c r="A44" s="50"/>
      <c r="B44" s="63"/>
      <c r="C44" s="64"/>
      <c r="D44" s="64"/>
      <c r="E44" s="64"/>
      <c r="F44" s="64"/>
      <c r="G44" s="64"/>
      <c r="H44" s="50"/>
      <c r="I44" s="50"/>
      <c r="J44" s="50"/>
      <c r="K44" s="50"/>
      <c r="L44" s="50"/>
      <c r="M44" s="50"/>
      <c r="N44" s="50"/>
      <c r="O44" s="61"/>
      <c r="P44" s="61"/>
      <c r="Q44" s="61"/>
      <c r="R44" s="61"/>
      <c r="S44" s="61"/>
      <c r="T44" s="61"/>
      <c r="U44" s="49"/>
      <c r="V44" s="49"/>
      <c r="W44" s="49"/>
      <c r="X44" s="49"/>
      <c r="Y44" s="49"/>
      <c r="Z44" s="49"/>
    </row>
    <row r="45" ht="15.75" customHeight="1">
      <c r="A45" s="50"/>
      <c r="B45" s="50" t="s">
        <v>120</v>
      </c>
      <c r="C45" s="50">
        <v>0.0</v>
      </c>
      <c r="D45" s="50">
        <v>0.0</v>
      </c>
      <c r="E45" s="50">
        <v>250000.0</v>
      </c>
      <c r="F45" s="50">
        <v>200000.0</v>
      </c>
      <c r="G45" s="50">
        <v>135320.56585321383</v>
      </c>
      <c r="H45" s="50"/>
      <c r="I45" s="60">
        <f t="shared" ref="I45:M45" si="66">C45/C$37</f>
        <v>0</v>
      </c>
      <c r="J45" s="60">
        <f t="shared" si="66"/>
        <v>0</v>
      </c>
      <c r="K45" s="60">
        <f t="shared" si="66"/>
        <v>0.7789859261</v>
      </c>
      <c r="L45" s="60">
        <f t="shared" si="66"/>
        <v>0.5698410594</v>
      </c>
      <c r="M45" s="60">
        <f t="shared" si="66"/>
        <v>0.4204779079</v>
      </c>
      <c r="N45" s="50"/>
      <c r="O45" s="61">
        <v>0.0</v>
      </c>
      <c r="P45" s="61">
        <v>0.0</v>
      </c>
      <c r="Q45" s="61">
        <v>0.0</v>
      </c>
      <c r="R45" s="61">
        <v>0.0</v>
      </c>
      <c r="S45" s="61">
        <v>0.0</v>
      </c>
      <c r="T45" s="61"/>
      <c r="U45" s="49"/>
      <c r="V45" s="49"/>
      <c r="W45" s="49"/>
      <c r="X45" s="49"/>
      <c r="Y45" s="49"/>
      <c r="Z45" s="49"/>
    </row>
    <row r="46" ht="15.75" customHeight="1">
      <c r="A46" s="50"/>
      <c r="B46" s="63"/>
      <c r="C46" s="74"/>
      <c r="D46" s="74"/>
      <c r="E46" s="74"/>
      <c r="F46" s="74"/>
      <c r="G46" s="74"/>
      <c r="H46" s="50"/>
      <c r="I46" s="75"/>
      <c r="J46" s="75"/>
      <c r="K46" s="75"/>
      <c r="L46" s="75"/>
      <c r="M46" s="75"/>
      <c r="N46" s="50"/>
      <c r="O46" s="61"/>
      <c r="P46" s="61"/>
      <c r="Q46" s="61"/>
      <c r="R46" s="61"/>
      <c r="S46" s="61"/>
      <c r="T46" s="61"/>
      <c r="U46" s="49"/>
      <c r="V46" s="49"/>
      <c r="W46" s="49"/>
      <c r="X46" s="49"/>
      <c r="Y46" s="49"/>
      <c r="Z46" s="49"/>
    </row>
    <row r="47" ht="15.75" customHeight="1">
      <c r="A47" s="50"/>
      <c r="B47" s="63" t="s">
        <v>121</v>
      </c>
      <c r="C47" s="64">
        <f t="shared" ref="C47:G47" si="67">+C45+C43</f>
        <v>80300</v>
      </c>
      <c r="D47" s="64">
        <f t="shared" si="67"/>
        <v>122620</v>
      </c>
      <c r="E47" s="64">
        <f t="shared" si="67"/>
        <v>333700</v>
      </c>
      <c r="F47" s="64">
        <f t="shared" si="67"/>
        <v>276520</v>
      </c>
      <c r="G47" s="64">
        <f t="shared" si="67"/>
        <v>193320.5659</v>
      </c>
      <c r="H47" s="50"/>
      <c r="I47" s="65">
        <f t="shared" ref="I47:M47" si="68">C47/C$37</f>
        <v>1.113266785</v>
      </c>
      <c r="J47" s="66">
        <f t="shared" si="68"/>
        <v>1.526072289</v>
      </c>
      <c r="K47" s="66">
        <f t="shared" si="68"/>
        <v>1.039790414</v>
      </c>
      <c r="L47" s="66">
        <f t="shared" si="68"/>
        <v>0.7878622487</v>
      </c>
      <c r="M47" s="67">
        <f t="shared" si="68"/>
        <v>0.6006997278</v>
      </c>
      <c r="N47" s="50"/>
      <c r="O47" s="68">
        <f t="shared" ref="O47:S47" si="69">C47/$C47</f>
        <v>1</v>
      </c>
      <c r="P47" s="69">
        <f t="shared" si="69"/>
        <v>1.527023661</v>
      </c>
      <c r="Q47" s="69">
        <f t="shared" si="69"/>
        <v>4.155666252</v>
      </c>
      <c r="R47" s="69">
        <f t="shared" si="69"/>
        <v>3.44358655</v>
      </c>
      <c r="S47" s="70">
        <f t="shared" si="69"/>
        <v>2.407479027</v>
      </c>
      <c r="T47" s="71"/>
      <c r="U47" s="49"/>
      <c r="V47" s="49"/>
      <c r="W47" s="49"/>
      <c r="X47" s="49"/>
      <c r="Y47" s="49"/>
      <c r="Z47" s="49"/>
    </row>
    <row r="48" ht="15.75" customHeight="1">
      <c r="A48" s="50"/>
      <c r="B48" s="63"/>
      <c r="C48" s="64"/>
      <c r="D48" s="64"/>
      <c r="E48" s="64"/>
      <c r="F48" s="64"/>
      <c r="G48" s="64"/>
      <c r="H48" s="50"/>
      <c r="I48" s="75"/>
      <c r="J48" s="75"/>
      <c r="K48" s="75"/>
      <c r="L48" s="75"/>
      <c r="M48" s="75"/>
      <c r="N48" s="50"/>
      <c r="O48" s="71"/>
      <c r="P48" s="71"/>
      <c r="Q48" s="71"/>
      <c r="R48" s="71"/>
      <c r="S48" s="71"/>
      <c r="T48" s="71"/>
      <c r="U48" s="49"/>
      <c r="V48" s="49"/>
      <c r="W48" s="49"/>
      <c r="X48" s="49"/>
      <c r="Y48" s="49"/>
      <c r="Z48" s="49"/>
    </row>
    <row r="49" ht="15.75" customHeight="1">
      <c r="A49" s="50"/>
      <c r="B49" s="50" t="s">
        <v>122</v>
      </c>
      <c r="C49" s="50">
        <v>3000.06</v>
      </c>
      <c r="D49" s="50">
        <v>3000.06</v>
      </c>
      <c r="E49" s="50">
        <v>3000.06</v>
      </c>
      <c r="F49" s="50">
        <v>3000.06</v>
      </c>
      <c r="G49" s="50">
        <v>3000.06</v>
      </c>
      <c r="H49" s="50"/>
      <c r="I49" s="60">
        <f t="shared" ref="I49:M49" si="70">C49/C$37</f>
        <v>0.04159236801</v>
      </c>
      <c r="J49" s="60">
        <f t="shared" si="70"/>
        <v>0.037337371</v>
      </c>
      <c r="K49" s="60">
        <f t="shared" si="70"/>
        <v>0.00934801807</v>
      </c>
      <c r="L49" s="60">
        <f t="shared" si="70"/>
        <v>0.008547786843</v>
      </c>
      <c r="M49" s="60">
        <f t="shared" si="70"/>
        <v>0.00932200471</v>
      </c>
      <c r="N49" s="50"/>
      <c r="O49" s="61">
        <f t="shared" ref="O49:S49" si="71">C49/$C49</f>
        <v>1</v>
      </c>
      <c r="P49" s="61">
        <f t="shared" si="71"/>
        <v>1</v>
      </c>
      <c r="Q49" s="61">
        <f t="shared" si="71"/>
        <v>1</v>
      </c>
      <c r="R49" s="61">
        <f t="shared" si="71"/>
        <v>1</v>
      </c>
      <c r="S49" s="61">
        <f t="shared" si="71"/>
        <v>1</v>
      </c>
      <c r="T49" s="61"/>
      <c r="U49" s="49"/>
      <c r="V49" s="49"/>
      <c r="W49" s="49"/>
      <c r="X49" s="49"/>
      <c r="Y49" s="49"/>
      <c r="Z49" s="49"/>
    </row>
    <row r="50" ht="15.75" customHeight="1">
      <c r="A50" s="50"/>
      <c r="B50" s="50" t="s">
        <v>123</v>
      </c>
      <c r="C50" s="50">
        <v>800.0</v>
      </c>
      <c r="D50" s="50">
        <v>800.0</v>
      </c>
      <c r="E50" s="50">
        <v>800.0</v>
      </c>
      <c r="F50" s="50">
        <v>800.0</v>
      </c>
      <c r="G50" s="50">
        <v>800.0</v>
      </c>
      <c r="H50" s="50"/>
      <c r="I50" s="60">
        <f t="shared" ref="I50:M50" si="72">C50/C$37</f>
        <v>0.01109107631</v>
      </c>
      <c r="J50" s="60">
        <f t="shared" si="72"/>
        <v>0.009956433138</v>
      </c>
      <c r="K50" s="60">
        <f t="shared" si="72"/>
        <v>0.002492754963</v>
      </c>
      <c r="L50" s="60">
        <f t="shared" si="72"/>
        <v>0.002279364237</v>
      </c>
      <c r="M50" s="60">
        <f t="shared" si="72"/>
        <v>0.002485818206</v>
      </c>
      <c r="N50" s="50"/>
      <c r="O50" s="61">
        <f t="shared" ref="O50:S50" si="73">C50/$C50</f>
        <v>1</v>
      </c>
      <c r="P50" s="61">
        <f t="shared" si="73"/>
        <v>1</v>
      </c>
      <c r="Q50" s="61">
        <f t="shared" si="73"/>
        <v>1</v>
      </c>
      <c r="R50" s="61">
        <f t="shared" si="73"/>
        <v>1</v>
      </c>
      <c r="S50" s="61">
        <f t="shared" si="73"/>
        <v>1</v>
      </c>
      <c r="T50" s="61"/>
      <c r="U50" s="49"/>
      <c r="V50" s="49"/>
      <c r="W50" s="49"/>
      <c r="X50" s="49"/>
      <c r="Y50" s="49"/>
      <c r="Z50" s="49"/>
    </row>
    <row r="51" ht="15.75" customHeight="1">
      <c r="A51" s="50"/>
      <c r="B51" s="50" t="s">
        <v>124</v>
      </c>
      <c r="C51" s="50">
        <v>0.0</v>
      </c>
      <c r="D51" s="50">
        <f t="shared" ref="D51:G51" si="74">+C51+C52</f>
        <v>-11970</v>
      </c>
      <c r="E51" s="50">
        <f t="shared" si="74"/>
        <v>-46070</v>
      </c>
      <c r="F51" s="50">
        <f t="shared" si="74"/>
        <v>-16570</v>
      </c>
      <c r="G51" s="50">
        <f t="shared" si="74"/>
        <v>70655</v>
      </c>
      <c r="H51" s="50"/>
      <c r="I51" s="60">
        <f t="shared" ref="I51:M51" si="75">C51/C$37</f>
        <v>0</v>
      </c>
      <c r="J51" s="60">
        <f t="shared" si="75"/>
        <v>-0.1489731308</v>
      </c>
      <c r="K51" s="60">
        <f t="shared" si="75"/>
        <v>-0.1435515265</v>
      </c>
      <c r="L51" s="60">
        <f t="shared" si="75"/>
        <v>-0.04721133177</v>
      </c>
      <c r="M51" s="60">
        <f t="shared" si="75"/>
        <v>0.2195443567</v>
      </c>
      <c r="N51" s="50"/>
      <c r="O51" s="61">
        <v>0.0</v>
      </c>
      <c r="P51" s="61">
        <v>0.0</v>
      </c>
      <c r="Q51" s="61">
        <v>0.0</v>
      </c>
      <c r="R51" s="61">
        <v>0.0</v>
      </c>
      <c r="S51" s="61">
        <v>0.0</v>
      </c>
      <c r="T51" s="61"/>
      <c r="U51" s="49"/>
      <c r="V51" s="49"/>
      <c r="W51" s="49"/>
      <c r="X51" s="49"/>
      <c r="Y51" s="49"/>
      <c r="Z51" s="49"/>
    </row>
    <row r="52" ht="15.75" customHeight="1">
      <c r="A52" s="50"/>
      <c r="B52" s="50" t="s">
        <v>125</v>
      </c>
      <c r="C52" s="62">
        <f t="shared" ref="C52:G52" si="76">+C22</f>
        <v>-11970</v>
      </c>
      <c r="D52" s="62">
        <f t="shared" si="76"/>
        <v>-34100</v>
      </c>
      <c r="E52" s="62">
        <f t="shared" si="76"/>
        <v>29500</v>
      </c>
      <c r="F52" s="62">
        <f t="shared" si="76"/>
        <v>87225</v>
      </c>
      <c r="G52" s="62">
        <f t="shared" si="76"/>
        <v>54050</v>
      </c>
      <c r="H52" s="50"/>
      <c r="I52" s="60">
        <f t="shared" ref="I52:M52" si="77">C52/C$37</f>
        <v>-0.1659502293</v>
      </c>
      <c r="J52" s="60">
        <f t="shared" si="77"/>
        <v>-0.4243929625</v>
      </c>
      <c r="K52" s="60">
        <f t="shared" si="77"/>
        <v>0.09192033928</v>
      </c>
      <c r="L52" s="60">
        <f t="shared" si="77"/>
        <v>0.248521932</v>
      </c>
      <c r="M52" s="60">
        <f t="shared" si="77"/>
        <v>0.1679480926</v>
      </c>
      <c r="N52" s="50"/>
      <c r="O52" s="61">
        <f t="shared" ref="O52:S52" si="78">C52/$C52</f>
        <v>1</v>
      </c>
      <c r="P52" s="61">
        <f t="shared" si="78"/>
        <v>2.848788638</v>
      </c>
      <c r="Q52" s="61">
        <f t="shared" si="78"/>
        <v>-2.46449457</v>
      </c>
      <c r="R52" s="61">
        <f t="shared" si="78"/>
        <v>-7.286967419</v>
      </c>
      <c r="S52" s="61">
        <f t="shared" si="78"/>
        <v>-4.515455305</v>
      </c>
      <c r="T52" s="61"/>
      <c r="U52" s="49"/>
      <c r="V52" s="49"/>
      <c r="W52" s="49"/>
      <c r="X52" s="49"/>
      <c r="Y52" s="49"/>
      <c r="Z52" s="49"/>
    </row>
    <row r="53" ht="15.75" customHeight="1">
      <c r="A53" s="50"/>
      <c r="B53" s="63" t="s">
        <v>126</v>
      </c>
      <c r="C53" s="64">
        <f t="shared" ref="C53:G53" si="79">SUM(C49:C52)</f>
        <v>-8169.94</v>
      </c>
      <c r="D53" s="64">
        <f t="shared" si="79"/>
        <v>-42269.94</v>
      </c>
      <c r="E53" s="64">
        <f t="shared" si="79"/>
        <v>-12769.94</v>
      </c>
      <c r="F53" s="64">
        <f t="shared" si="79"/>
        <v>74455.06</v>
      </c>
      <c r="G53" s="64">
        <f t="shared" si="79"/>
        <v>128505.06</v>
      </c>
      <c r="H53" s="50"/>
      <c r="I53" s="65">
        <f t="shared" ref="I53:M53" si="80">C53/C$37</f>
        <v>-0.113266785</v>
      </c>
      <c r="J53" s="66">
        <f t="shared" si="80"/>
        <v>-0.5260722892</v>
      </c>
      <c r="K53" s="66">
        <f t="shared" si="80"/>
        <v>-0.03979041415</v>
      </c>
      <c r="L53" s="66">
        <f t="shared" si="80"/>
        <v>0.2121377513</v>
      </c>
      <c r="M53" s="67">
        <f t="shared" si="80"/>
        <v>0.3993002722</v>
      </c>
      <c r="N53" s="50"/>
      <c r="O53" s="68">
        <f t="shared" ref="O53:S53" si="81">C53/$C53</f>
        <v>1</v>
      </c>
      <c r="P53" s="69">
        <f t="shared" si="81"/>
        <v>5.173837262</v>
      </c>
      <c r="Q53" s="69">
        <f t="shared" si="81"/>
        <v>1.563039631</v>
      </c>
      <c r="R53" s="69">
        <f t="shared" si="81"/>
        <v>-9.113293366</v>
      </c>
      <c r="S53" s="70">
        <f t="shared" si="81"/>
        <v>-15.72900903</v>
      </c>
      <c r="T53" s="71"/>
      <c r="U53" s="49"/>
      <c r="V53" s="49"/>
      <c r="W53" s="49"/>
      <c r="X53" s="49"/>
      <c r="Y53" s="49"/>
      <c r="Z53" s="49"/>
    </row>
    <row r="54" ht="15.75" customHeight="1">
      <c r="A54" s="50"/>
      <c r="B54" s="63"/>
      <c r="C54" s="64"/>
      <c r="D54" s="64"/>
      <c r="E54" s="64"/>
      <c r="F54" s="64"/>
      <c r="G54" s="64"/>
      <c r="H54" s="50"/>
      <c r="I54" s="75"/>
      <c r="J54" s="75"/>
      <c r="K54" s="75"/>
      <c r="L54" s="75"/>
      <c r="M54" s="75"/>
      <c r="N54" s="50"/>
      <c r="O54" s="61"/>
      <c r="P54" s="61"/>
      <c r="Q54" s="61"/>
      <c r="R54" s="61"/>
      <c r="S54" s="61"/>
      <c r="T54" s="61"/>
      <c r="U54" s="49"/>
      <c r="V54" s="49"/>
      <c r="W54" s="49"/>
      <c r="X54" s="49"/>
      <c r="Y54" s="49"/>
      <c r="Z54" s="49"/>
    </row>
    <row r="55" ht="15.75" customHeight="1">
      <c r="A55" s="50"/>
      <c r="B55" s="63" t="s">
        <v>127</v>
      </c>
      <c r="C55" s="72">
        <f t="shared" ref="C55:G55" si="82">+C53+C47</f>
        <v>72130.06</v>
      </c>
      <c r="D55" s="72">
        <f t="shared" si="82"/>
        <v>80350.06</v>
      </c>
      <c r="E55" s="72">
        <f t="shared" si="82"/>
        <v>320930.06</v>
      </c>
      <c r="F55" s="72">
        <f t="shared" si="82"/>
        <v>350975.06</v>
      </c>
      <c r="G55" s="72">
        <f t="shared" si="82"/>
        <v>321825.6259</v>
      </c>
      <c r="H55" s="50"/>
      <c r="I55" s="65">
        <f t="shared" ref="I55:M55" si="83">C55/C$37</f>
        <v>1</v>
      </c>
      <c r="J55" s="66">
        <f t="shared" si="83"/>
        <v>1</v>
      </c>
      <c r="K55" s="66">
        <f t="shared" si="83"/>
        <v>1</v>
      </c>
      <c r="L55" s="66">
        <f t="shared" si="83"/>
        <v>1</v>
      </c>
      <c r="M55" s="67">
        <f t="shared" si="83"/>
        <v>1</v>
      </c>
      <c r="N55" s="50"/>
      <c r="O55" s="68">
        <f t="shared" ref="O55:S55" si="84">C55/$C55</f>
        <v>1</v>
      </c>
      <c r="P55" s="69">
        <f t="shared" si="84"/>
        <v>1.113960809</v>
      </c>
      <c r="Q55" s="69">
        <f t="shared" si="84"/>
        <v>4.449324734</v>
      </c>
      <c r="R55" s="69">
        <f t="shared" si="84"/>
        <v>4.865863969</v>
      </c>
      <c r="S55" s="70">
        <f t="shared" si="84"/>
        <v>4.46174072</v>
      </c>
      <c r="T55" s="71"/>
      <c r="U55" s="49"/>
      <c r="V55" s="49"/>
      <c r="W55" s="49"/>
      <c r="X55" s="49"/>
      <c r="Y55" s="49"/>
      <c r="Z55" s="49"/>
    </row>
    <row r="56" ht="15.75" customHeight="1">
      <c r="A56" s="50"/>
      <c r="B56" s="50"/>
      <c r="C56" s="77">
        <f t="shared" ref="C56:G56" si="85">+C55-C37</f>
        <v>0</v>
      </c>
      <c r="D56" s="77">
        <f t="shared" si="85"/>
        <v>0</v>
      </c>
      <c r="E56" s="77">
        <f t="shared" si="85"/>
        <v>0</v>
      </c>
      <c r="F56" s="77">
        <f t="shared" si="85"/>
        <v>0</v>
      </c>
      <c r="G56" s="77">
        <f t="shared" si="85"/>
        <v>0</v>
      </c>
      <c r="H56" s="50"/>
      <c r="I56" s="64"/>
      <c r="J56" s="64"/>
      <c r="K56" s="64"/>
      <c r="L56" s="64"/>
      <c r="M56" s="64"/>
      <c r="N56" s="50"/>
      <c r="O56" s="50"/>
      <c r="P56" s="50"/>
      <c r="Q56" s="50"/>
      <c r="R56" s="50"/>
      <c r="S56" s="50"/>
      <c r="T56" s="50"/>
      <c r="U56" s="49"/>
      <c r="V56" s="49"/>
      <c r="W56" s="49"/>
      <c r="X56" s="49"/>
      <c r="Y56" s="49"/>
      <c r="Z56" s="49"/>
    </row>
    <row r="57" ht="15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9"/>
      <c r="V57" s="49"/>
      <c r="W57" s="49"/>
      <c r="X57" s="49"/>
      <c r="Y57" s="49"/>
      <c r="Z57" s="49"/>
    </row>
    <row r="58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9"/>
      <c r="V58" s="49"/>
      <c r="W58" s="49"/>
      <c r="X58" s="49"/>
      <c r="Y58" s="49"/>
      <c r="Z58" s="49"/>
    </row>
    <row r="59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9"/>
      <c r="V59" s="49"/>
      <c r="W59" s="49"/>
      <c r="X59" s="49"/>
      <c r="Y59" s="49"/>
      <c r="Z59" s="49"/>
    </row>
    <row r="60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9"/>
      <c r="V60" s="49"/>
      <c r="W60" s="49"/>
      <c r="X60" s="49"/>
      <c r="Y60" s="49"/>
      <c r="Z60" s="49"/>
    </row>
    <row r="61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9"/>
      <c r="V61" s="49"/>
      <c r="W61" s="49"/>
      <c r="X61" s="49"/>
      <c r="Y61" s="49"/>
      <c r="Z61" s="49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9"/>
      <c r="V62" s="49"/>
      <c r="W62" s="49"/>
      <c r="X62" s="49"/>
      <c r="Y62" s="49"/>
      <c r="Z62" s="49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9"/>
      <c r="V63" s="49"/>
      <c r="W63" s="49"/>
      <c r="X63" s="49"/>
      <c r="Y63" s="49"/>
      <c r="Z63" s="49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9"/>
      <c r="V64" s="49"/>
      <c r="W64" s="49"/>
      <c r="X64" s="49"/>
      <c r="Y64" s="49"/>
      <c r="Z64" s="49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9"/>
      <c r="V65" s="49"/>
      <c r="W65" s="49"/>
      <c r="X65" s="49"/>
      <c r="Y65" s="49"/>
      <c r="Z65" s="49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9"/>
      <c r="V66" s="49"/>
      <c r="W66" s="49"/>
      <c r="X66" s="49"/>
      <c r="Y66" s="49"/>
      <c r="Z66" s="49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9"/>
      <c r="V67" s="49"/>
      <c r="W67" s="49"/>
      <c r="X67" s="49"/>
      <c r="Y67" s="49"/>
      <c r="Z67" s="49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9"/>
      <c r="V68" s="49"/>
      <c r="W68" s="49"/>
      <c r="X68" s="49"/>
      <c r="Y68" s="49"/>
      <c r="Z68" s="49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9"/>
      <c r="V69" s="49"/>
      <c r="W69" s="49"/>
      <c r="X69" s="49"/>
      <c r="Y69" s="49"/>
      <c r="Z69" s="49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9"/>
      <c r="V70" s="49"/>
      <c r="W70" s="49"/>
      <c r="X70" s="49"/>
      <c r="Y70" s="49"/>
      <c r="Z70" s="49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9"/>
      <c r="V71" s="49"/>
      <c r="W71" s="49"/>
      <c r="X71" s="49"/>
      <c r="Y71" s="49"/>
      <c r="Z71" s="49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9"/>
      <c r="V72" s="49"/>
      <c r="W72" s="49"/>
      <c r="X72" s="49"/>
      <c r="Y72" s="49"/>
      <c r="Z72" s="49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9"/>
      <c r="V73" s="49"/>
      <c r="W73" s="49"/>
      <c r="X73" s="49"/>
      <c r="Y73" s="49"/>
      <c r="Z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9"/>
      <c r="V74" s="49"/>
      <c r="W74" s="49"/>
      <c r="X74" s="49"/>
      <c r="Y74" s="49"/>
      <c r="Z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9"/>
      <c r="V75" s="49"/>
      <c r="W75" s="49"/>
      <c r="X75" s="49"/>
      <c r="Y75" s="49"/>
      <c r="Z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9"/>
      <c r="V76" s="49"/>
      <c r="W76" s="49"/>
      <c r="X76" s="49"/>
      <c r="Y76" s="49"/>
      <c r="Z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9"/>
      <c r="V77" s="49"/>
      <c r="W77" s="49"/>
      <c r="X77" s="49"/>
      <c r="Y77" s="49"/>
      <c r="Z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9"/>
      <c r="V78" s="49"/>
      <c r="W78" s="49"/>
      <c r="X78" s="49"/>
      <c r="Y78" s="49"/>
      <c r="Z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9"/>
      <c r="V79" s="49"/>
      <c r="W79" s="49"/>
      <c r="X79" s="49"/>
      <c r="Y79" s="49"/>
      <c r="Z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9"/>
      <c r="V80" s="49"/>
      <c r="W80" s="49"/>
      <c r="X80" s="49"/>
      <c r="Y80" s="49"/>
      <c r="Z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9"/>
      <c r="V81" s="49"/>
      <c r="W81" s="49"/>
      <c r="X81" s="49"/>
      <c r="Y81" s="49"/>
      <c r="Z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9"/>
      <c r="V82" s="49"/>
      <c r="W82" s="49"/>
      <c r="X82" s="49"/>
      <c r="Y82" s="49"/>
      <c r="Z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9"/>
      <c r="V83" s="49"/>
      <c r="W83" s="49"/>
      <c r="X83" s="49"/>
      <c r="Y83" s="49"/>
      <c r="Z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9"/>
      <c r="V84" s="49"/>
      <c r="W84" s="49"/>
      <c r="X84" s="49"/>
      <c r="Y84" s="49"/>
      <c r="Z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9"/>
      <c r="V85" s="49"/>
      <c r="W85" s="49"/>
      <c r="X85" s="49"/>
      <c r="Y85" s="49"/>
      <c r="Z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9"/>
      <c r="V86" s="49"/>
      <c r="W86" s="49"/>
      <c r="X86" s="49"/>
      <c r="Y86" s="49"/>
      <c r="Z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9"/>
      <c r="V87" s="49"/>
      <c r="W87" s="49"/>
      <c r="X87" s="49"/>
      <c r="Y87" s="49"/>
      <c r="Z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9"/>
      <c r="V88" s="49"/>
      <c r="W88" s="49"/>
      <c r="X88" s="49"/>
      <c r="Y88" s="49"/>
      <c r="Z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9"/>
      <c r="V89" s="49"/>
      <c r="W89" s="49"/>
      <c r="X89" s="49"/>
      <c r="Y89" s="49"/>
      <c r="Z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9"/>
      <c r="V90" s="49"/>
      <c r="W90" s="49"/>
      <c r="X90" s="49"/>
      <c r="Y90" s="49"/>
      <c r="Z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9"/>
      <c r="V91" s="49"/>
      <c r="W91" s="49"/>
      <c r="X91" s="49"/>
      <c r="Y91" s="49"/>
      <c r="Z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9"/>
      <c r="V92" s="49"/>
      <c r="W92" s="49"/>
      <c r="X92" s="49"/>
      <c r="Y92" s="49"/>
      <c r="Z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9"/>
      <c r="V93" s="49"/>
      <c r="W93" s="49"/>
      <c r="X93" s="49"/>
      <c r="Y93" s="49"/>
      <c r="Z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9"/>
      <c r="V94" s="49"/>
      <c r="W94" s="49"/>
      <c r="X94" s="49"/>
      <c r="Y94" s="49"/>
      <c r="Z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9"/>
      <c r="V95" s="49"/>
      <c r="W95" s="49"/>
      <c r="X95" s="49"/>
      <c r="Y95" s="49"/>
      <c r="Z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9"/>
      <c r="V96" s="49"/>
      <c r="W96" s="49"/>
      <c r="X96" s="49"/>
      <c r="Y96" s="49"/>
      <c r="Z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9"/>
      <c r="V97" s="49"/>
      <c r="W97" s="49"/>
      <c r="X97" s="49"/>
      <c r="Y97" s="49"/>
      <c r="Z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9"/>
      <c r="V98" s="49"/>
      <c r="W98" s="49"/>
      <c r="X98" s="49"/>
      <c r="Y98" s="49"/>
      <c r="Z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9"/>
      <c r="V99" s="49"/>
      <c r="W99" s="49"/>
      <c r="X99" s="49"/>
      <c r="Y99" s="49"/>
      <c r="Z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9"/>
      <c r="V100" s="49"/>
      <c r="W100" s="49"/>
      <c r="X100" s="49"/>
      <c r="Y100" s="49"/>
      <c r="Z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49"/>
      <c r="V101" s="49"/>
      <c r="W101" s="49"/>
      <c r="X101" s="49"/>
      <c r="Y101" s="49"/>
      <c r="Z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49"/>
      <c r="V102" s="49"/>
      <c r="W102" s="49"/>
      <c r="X102" s="49"/>
      <c r="Y102" s="49"/>
      <c r="Z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49"/>
      <c r="V103" s="49"/>
      <c r="W103" s="49"/>
      <c r="X103" s="49"/>
      <c r="Y103" s="49"/>
      <c r="Z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49"/>
      <c r="V104" s="49"/>
      <c r="W104" s="49"/>
      <c r="X104" s="49"/>
      <c r="Y104" s="49"/>
      <c r="Z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49"/>
      <c r="V105" s="49"/>
      <c r="W105" s="49"/>
      <c r="X105" s="49"/>
      <c r="Y105" s="49"/>
      <c r="Z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49"/>
      <c r="V106" s="49"/>
      <c r="W106" s="49"/>
      <c r="X106" s="49"/>
      <c r="Y106" s="49"/>
      <c r="Z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49"/>
      <c r="V107" s="49"/>
      <c r="W107" s="49"/>
      <c r="X107" s="49"/>
      <c r="Y107" s="49"/>
      <c r="Z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49"/>
      <c r="V108" s="49"/>
      <c r="W108" s="49"/>
      <c r="X108" s="49"/>
      <c r="Y108" s="49"/>
      <c r="Z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49"/>
      <c r="V109" s="49"/>
      <c r="W109" s="49"/>
      <c r="X109" s="49"/>
      <c r="Y109" s="49"/>
      <c r="Z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49"/>
      <c r="V110" s="49"/>
      <c r="W110" s="49"/>
      <c r="X110" s="49"/>
      <c r="Y110" s="49"/>
      <c r="Z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49"/>
      <c r="V111" s="49"/>
      <c r="W111" s="49"/>
      <c r="X111" s="49"/>
      <c r="Y111" s="49"/>
      <c r="Z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49"/>
      <c r="V112" s="49"/>
      <c r="W112" s="49"/>
      <c r="X112" s="49"/>
      <c r="Y112" s="49"/>
      <c r="Z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49"/>
      <c r="V113" s="49"/>
      <c r="W113" s="49"/>
      <c r="X113" s="49"/>
      <c r="Y113" s="49"/>
      <c r="Z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49"/>
      <c r="V114" s="49"/>
      <c r="W114" s="49"/>
      <c r="X114" s="49"/>
      <c r="Y114" s="49"/>
      <c r="Z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49"/>
      <c r="V115" s="49"/>
      <c r="W115" s="49"/>
      <c r="X115" s="49"/>
      <c r="Y115" s="49"/>
      <c r="Z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49"/>
      <c r="V116" s="49"/>
      <c r="W116" s="49"/>
      <c r="X116" s="49"/>
      <c r="Y116" s="49"/>
      <c r="Z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49"/>
      <c r="V117" s="49"/>
      <c r="W117" s="49"/>
      <c r="X117" s="49"/>
      <c r="Y117" s="49"/>
      <c r="Z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49"/>
      <c r="V118" s="49"/>
      <c r="W118" s="49"/>
      <c r="X118" s="49"/>
      <c r="Y118" s="49"/>
      <c r="Z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49"/>
      <c r="V119" s="49"/>
      <c r="W119" s="49"/>
      <c r="X119" s="49"/>
      <c r="Y119" s="49"/>
      <c r="Z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49"/>
      <c r="V120" s="49"/>
      <c r="W120" s="49"/>
      <c r="X120" s="49"/>
      <c r="Y120" s="49"/>
      <c r="Z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49"/>
      <c r="V121" s="49"/>
      <c r="W121" s="49"/>
      <c r="X121" s="49"/>
      <c r="Y121" s="49"/>
      <c r="Z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49"/>
      <c r="V122" s="49"/>
      <c r="W122" s="49"/>
      <c r="X122" s="49"/>
      <c r="Y122" s="49"/>
      <c r="Z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49"/>
      <c r="V123" s="49"/>
      <c r="W123" s="49"/>
      <c r="X123" s="49"/>
      <c r="Y123" s="49"/>
      <c r="Z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49"/>
      <c r="V124" s="49"/>
      <c r="W124" s="49"/>
      <c r="X124" s="49"/>
      <c r="Y124" s="49"/>
      <c r="Z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49"/>
      <c r="V125" s="49"/>
      <c r="W125" s="49"/>
      <c r="X125" s="49"/>
      <c r="Y125" s="49"/>
      <c r="Z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49"/>
      <c r="V126" s="49"/>
      <c r="W126" s="49"/>
      <c r="X126" s="49"/>
      <c r="Y126" s="49"/>
      <c r="Z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49"/>
      <c r="V127" s="49"/>
      <c r="W127" s="49"/>
      <c r="X127" s="49"/>
      <c r="Y127" s="49"/>
      <c r="Z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49"/>
      <c r="V128" s="49"/>
      <c r="W128" s="49"/>
      <c r="X128" s="49"/>
      <c r="Y128" s="49"/>
      <c r="Z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49"/>
      <c r="V129" s="49"/>
      <c r="W129" s="49"/>
      <c r="X129" s="49"/>
      <c r="Y129" s="49"/>
      <c r="Z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49"/>
      <c r="V130" s="49"/>
      <c r="W130" s="49"/>
      <c r="X130" s="49"/>
      <c r="Y130" s="49"/>
      <c r="Z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49"/>
      <c r="V131" s="49"/>
      <c r="W131" s="49"/>
      <c r="X131" s="49"/>
      <c r="Y131" s="49"/>
      <c r="Z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49"/>
      <c r="V132" s="49"/>
      <c r="W132" s="49"/>
      <c r="X132" s="49"/>
      <c r="Y132" s="49"/>
      <c r="Z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49"/>
      <c r="V133" s="49"/>
      <c r="W133" s="49"/>
      <c r="X133" s="49"/>
      <c r="Y133" s="49"/>
      <c r="Z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49"/>
      <c r="V134" s="49"/>
      <c r="W134" s="49"/>
      <c r="X134" s="49"/>
      <c r="Y134" s="49"/>
      <c r="Z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49"/>
      <c r="V135" s="49"/>
      <c r="W135" s="49"/>
      <c r="X135" s="49"/>
      <c r="Y135" s="49"/>
      <c r="Z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49"/>
      <c r="V136" s="49"/>
      <c r="W136" s="49"/>
      <c r="X136" s="49"/>
      <c r="Y136" s="49"/>
      <c r="Z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49"/>
      <c r="V137" s="49"/>
      <c r="W137" s="49"/>
      <c r="X137" s="49"/>
      <c r="Y137" s="49"/>
      <c r="Z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49"/>
      <c r="V138" s="49"/>
      <c r="W138" s="49"/>
      <c r="X138" s="49"/>
      <c r="Y138" s="49"/>
      <c r="Z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49"/>
      <c r="V139" s="49"/>
      <c r="W139" s="49"/>
      <c r="X139" s="49"/>
      <c r="Y139" s="49"/>
      <c r="Z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49"/>
      <c r="V140" s="49"/>
      <c r="W140" s="49"/>
      <c r="X140" s="49"/>
      <c r="Y140" s="49"/>
      <c r="Z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49"/>
      <c r="V141" s="49"/>
      <c r="W141" s="49"/>
      <c r="X141" s="49"/>
      <c r="Y141" s="49"/>
      <c r="Z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49"/>
      <c r="V142" s="49"/>
      <c r="W142" s="49"/>
      <c r="X142" s="49"/>
      <c r="Y142" s="49"/>
      <c r="Z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49"/>
      <c r="V143" s="49"/>
      <c r="W143" s="49"/>
      <c r="X143" s="49"/>
      <c r="Y143" s="49"/>
      <c r="Z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49"/>
      <c r="V144" s="49"/>
      <c r="W144" s="49"/>
      <c r="X144" s="49"/>
      <c r="Y144" s="49"/>
      <c r="Z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49"/>
      <c r="V145" s="49"/>
      <c r="W145" s="49"/>
      <c r="X145" s="49"/>
      <c r="Y145" s="49"/>
      <c r="Z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49"/>
      <c r="V146" s="49"/>
      <c r="W146" s="49"/>
      <c r="X146" s="49"/>
      <c r="Y146" s="49"/>
      <c r="Z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49"/>
      <c r="V147" s="49"/>
      <c r="W147" s="49"/>
      <c r="X147" s="49"/>
      <c r="Y147" s="49"/>
      <c r="Z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49"/>
      <c r="V148" s="49"/>
      <c r="W148" s="49"/>
      <c r="X148" s="49"/>
      <c r="Y148" s="49"/>
      <c r="Z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49"/>
      <c r="V149" s="49"/>
      <c r="W149" s="49"/>
      <c r="X149" s="49"/>
      <c r="Y149" s="49"/>
      <c r="Z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49"/>
      <c r="V150" s="49"/>
      <c r="W150" s="49"/>
      <c r="X150" s="49"/>
      <c r="Y150" s="49"/>
      <c r="Z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49"/>
      <c r="V151" s="49"/>
      <c r="W151" s="49"/>
      <c r="X151" s="49"/>
      <c r="Y151" s="49"/>
      <c r="Z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49"/>
      <c r="V152" s="49"/>
      <c r="W152" s="49"/>
      <c r="X152" s="49"/>
      <c r="Y152" s="49"/>
      <c r="Z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49"/>
      <c r="V153" s="49"/>
      <c r="W153" s="49"/>
      <c r="X153" s="49"/>
      <c r="Y153" s="49"/>
      <c r="Z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49"/>
      <c r="V154" s="49"/>
      <c r="W154" s="49"/>
      <c r="X154" s="49"/>
      <c r="Y154" s="49"/>
      <c r="Z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49"/>
      <c r="V155" s="49"/>
      <c r="W155" s="49"/>
      <c r="X155" s="49"/>
      <c r="Y155" s="49"/>
      <c r="Z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49"/>
      <c r="V156" s="49"/>
      <c r="W156" s="49"/>
      <c r="X156" s="49"/>
      <c r="Y156" s="49"/>
      <c r="Z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49"/>
      <c r="V157" s="49"/>
      <c r="W157" s="49"/>
      <c r="X157" s="49"/>
      <c r="Y157" s="49"/>
      <c r="Z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49"/>
      <c r="V158" s="49"/>
      <c r="W158" s="49"/>
      <c r="X158" s="49"/>
      <c r="Y158" s="49"/>
      <c r="Z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49"/>
      <c r="V159" s="49"/>
      <c r="W159" s="49"/>
      <c r="X159" s="49"/>
      <c r="Y159" s="49"/>
      <c r="Z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49"/>
      <c r="V160" s="49"/>
      <c r="W160" s="49"/>
      <c r="X160" s="49"/>
      <c r="Y160" s="49"/>
      <c r="Z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49"/>
      <c r="V161" s="49"/>
      <c r="W161" s="49"/>
      <c r="X161" s="49"/>
      <c r="Y161" s="49"/>
      <c r="Z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49"/>
      <c r="V162" s="49"/>
      <c r="W162" s="49"/>
      <c r="X162" s="49"/>
      <c r="Y162" s="49"/>
      <c r="Z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49"/>
      <c r="V163" s="49"/>
      <c r="W163" s="49"/>
      <c r="X163" s="49"/>
      <c r="Y163" s="49"/>
      <c r="Z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49"/>
      <c r="V164" s="49"/>
      <c r="W164" s="49"/>
      <c r="X164" s="49"/>
      <c r="Y164" s="49"/>
      <c r="Z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49"/>
      <c r="V165" s="49"/>
      <c r="W165" s="49"/>
      <c r="X165" s="49"/>
      <c r="Y165" s="49"/>
      <c r="Z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49"/>
      <c r="V166" s="49"/>
      <c r="W166" s="49"/>
      <c r="X166" s="49"/>
      <c r="Y166" s="49"/>
      <c r="Z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49"/>
      <c r="V167" s="49"/>
      <c r="W167" s="49"/>
      <c r="X167" s="49"/>
      <c r="Y167" s="49"/>
      <c r="Z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49"/>
      <c r="V168" s="49"/>
      <c r="W168" s="49"/>
      <c r="X168" s="49"/>
      <c r="Y168" s="49"/>
      <c r="Z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49"/>
      <c r="V169" s="49"/>
      <c r="W169" s="49"/>
      <c r="X169" s="49"/>
      <c r="Y169" s="49"/>
      <c r="Z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49"/>
      <c r="V170" s="49"/>
      <c r="W170" s="49"/>
      <c r="X170" s="49"/>
      <c r="Y170" s="49"/>
      <c r="Z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49"/>
      <c r="V171" s="49"/>
      <c r="W171" s="49"/>
      <c r="X171" s="49"/>
      <c r="Y171" s="49"/>
      <c r="Z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49"/>
      <c r="V172" s="49"/>
      <c r="W172" s="49"/>
      <c r="X172" s="49"/>
      <c r="Y172" s="49"/>
      <c r="Z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49"/>
      <c r="V173" s="49"/>
      <c r="W173" s="49"/>
      <c r="X173" s="49"/>
      <c r="Y173" s="49"/>
      <c r="Z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49"/>
      <c r="V174" s="49"/>
      <c r="W174" s="49"/>
      <c r="X174" s="49"/>
      <c r="Y174" s="49"/>
      <c r="Z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49"/>
      <c r="V175" s="49"/>
      <c r="W175" s="49"/>
      <c r="X175" s="49"/>
      <c r="Y175" s="49"/>
      <c r="Z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49"/>
      <c r="V176" s="49"/>
      <c r="W176" s="49"/>
      <c r="X176" s="49"/>
      <c r="Y176" s="49"/>
      <c r="Z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49"/>
      <c r="V177" s="49"/>
      <c r="W177" s="49"/>
      <c r="X177" s="49"/>
      <c r="Y177" s="49"/>
      <c r="Z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49"/>
      <c r="V178" s="49"/>
      <c r="W178" s="49"/>
      <c r="X178" s="49"/>
      <c r="Y178" s="49"/>
      <c r="Z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49"/>
      <c r="V179" s="49"/>
      <c r="W179" s="49"/>
      <c r="X179" s="49"/>
      <c r="Y179" s="49"/>
      <c r="Z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49"/>
      <c r="V180" s="49"/>
      <c r="W180" s="49"/>
      <c r="X180" s="49"/>
      <c r="Y180" s="49"/>
      <c r="Z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49"/>
      <c r="V181" s="49"/>
      <c r="W181" s="49"/>
      <c r="X181" s="49"/>
      <c r="Y181" s="49"/>
      <c r="Z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49"/>
      <c r="V182" s="49"/>
      <c r="W182" s="49"/>
      <c r="X182" s="49"/>
      <c r="Y182" s="49"/>
      <c r="Z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49"/>
      <c r="V183" s="49"/>
      <c r="W183" s="49"/>
      <c r="X183" s="49"/>
      <c r="Y183" s="49"/>
      <c r="Z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49"/>
      <c r="V184" s="49"/>
      <c r="W184" s="49"/>
      <c r="X184" s="49"/>
      <c r="Y184" s="49"/>
      <c r="Z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49"/>
      <c r="V185" s="49"/>
      <c r="W185" s="49"/>
      <c r="X185" s="49"/>
      <c r="Y185" s="49"/>
      <c r="Z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49"/>
      <c r="V186" s="49"/>
      <c r="W186" s="49"/>
      <c r="X186" s="49"/>
      <c r="Y186" s="49"/>
      <c r="Z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49"/>
      <c r="V187" s="49"/>
      <c r="W187" s="49"/>
      <c r="X187" s="49"/>
      <c r="Y187" s="49"/>
      <c r="Z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49"/>
      <c r="V188" s="49"/>
      <c r="W188" s="49"/>
      <c r="X188" s="49"/>
      <c r="Y188" s="49"/>
      <c r="Z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49"/>
      <c r="V189" s="49"/>
      <c r="W189" s="49"/>
      <c r="X189" s="49"/>
      <c r="Y189" s="49"/>
      <c r="Z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49"/>
      <c r="V190" s="49"/>
      <c r="W190" s="49"/>
      <c r="X190" s="49"/>
      <c r="Y190" s="49"/>
      <c r="Z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49"/>
      <c r="V191" s="49"/>
      <c r="W191" s="49"/>
      <c r="X191" s="49"/>
      <c r="Y191" s="49"/>
      <c r="Z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49"/>
      <c r="V192" s="49"/>
      <c r="W192" s="49"/>
      <c r="X192" s="49"/>
      <c r="Y192" s="49"/>
      <c r="Z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49"/>
      <c r="V193" s="49"/>
      <c r="W193" s="49"/>
      <c r="X193" s="49"/>
      <c r="Y193" s="49"/>
      <c r="Z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49"/>
      <c r="V194" s="49"/>
      <c r="W194" s="49"/>
      <c r="X194" s="49"/>
      <c r="Y194" s="49"/>
      <c r="Z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49"/>
      <c r="V195" s="49"/>
      <c r="W195" s="49"/>
      <c r="X195" s="49"/>
      <c r="Y195" s="49"/>
      <c r="Z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49"/>
      <c r="V196" s="49"/>
      <c r="W196" s="49"/>
      <c r="X196" s="49"/>
      <c r="Y196" s="49"/>
      <c r="Z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49"/>
      <c r="V197" s="49"/>
      <c r="W197" s="49"/>
      <c r="X197" s="49"/>
      <c r="Y197" s="49"/>
      <c r="Z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49"/>
      <c r="V198" s="49"/>
      <c r="W198" s="49"/>
      <c r="X198" s="49"/>
      <c r="Y198" s="49"/>
      <c r="Z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49"/>
      <c r="V199" s="49"/>
      <c r="W199" s="49"/>
      <c r="X199" s="49"/>
      <c r="Y199" s="49"/>
      <c r="Z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49"/>
      <c r="V200" s="49"/>
      <c r="W200" s="49"/>
      <c r="X200" s="49"/>
      <c r="Y200" s="49"/>
      <c r="Z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49"/>
      <c r="V201" s="49"/>
      <c r="W201" s="49"/>
      <c r="X201" s="49"/>
      <c r="Y201" s="49"/>
      <c r="Z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49"/>
      <c r="V202" s="49"/>
      <c r="W202" s="49"/>
      <c r="X202" s="49"/>
      <c r="Y202" s="49"/>
      <c r="Z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49"/>
      <c r="V203" s="49"/>
      <c r="W203" s="49"/>
      <c r="X203" s="49"/>
      <c r="Y203" s="49"/>
      <c r="Z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49"/>
      <c r="V204" s="49"/>
      <c r="W204" s="49"/>
      <c r="X204" s="49"/>
      <c r="Y204" s="49"/>
      <c r="Z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49"/>
      <c r="V205" s="49"/>
      <c r="W205" s="49"/>
      <c r="X205" s="49"/>
      <c r="Y205" s="49"/>
      <c r="Z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49"/>
      <c r="V206" s="49"/>
      <c r="W206" s="49"/>
      <c r="X206" s="49"/>
      <c r="Y206" s="49"/>
      <c r="Z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49"/>
      <c r="V207" s="49"/>
      <c r="W207" s="49"/>
      <c r="X207" s="49"/>
      <c r="Y207" s="49"/>
      <c r="Z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49"/>
      <c r="V208" s="49"/>
      <c r="W208" s="49"/>
      <c r="X208" s="49"/>
      <c r="Y208" s="49"/>
      <c r="Z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49"/>
      <c r="V209" s="49"/>
      <c r="W209" s="49"/>
      <c r="X209" s="49"/>
      <c r="Y209" s="49"/>
      <c r="Z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49"/>
      <c r="V210" s="49"/>
      <c r="W210" s="49"/>
      <c r="X210" s="49"/>
      <c r="Y210" s="49"/>
      <c r="Z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49"/>
      <c r="V211" s="49"/>
      <c r="W211" s="49"/>
      <c r="X211" s="49"/>
      <c r="Y211" s="49"/>
      <c r="Z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49"/>
      <c r="V212" s="49"/>
      <c r="W212" s="49"/>
      <c r="X212" s="49"/>
      <c r="Y212" s="49"/>
      <c r="Z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49"/>
      <c r="V213" s="49"/>
      <c r="W213" s="49"/>
      <c r="X213" s="49"/>
      <c r="Y213" s="49"/>
      <c r="Z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49"/>
      <c r="V214" s="49"/>
      <c r="W214" s="49"/>
      <c r="X214" s="49"/>
      <c r="Y214" s="49"/>
      <c r="Z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49"/>
      <c r="V215" s="49"/>
      <c r="W215" s="49"/>
      <c r="X215" s="49"/>
      <c r="Y215" s="49"/>
      <c r="Z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49"/>
      <c r="V216" s="49"/>
      <c r="W216" s="49"/>
      <c r="X216" s="49"/>
      <c r="Y216" s="49"/>
      <c r="Z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49"/>
      <c r="V217" s="49"/>
      <c r="W217" s="49"/>
      <c r="X217" s="49"/>
      <c r="Y217" s="49"/>
      <c r="Z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49"/>
      <c r="V218" s="49"/>
      <c r="W218" s="49"/>
      <c r="X218" s="49"/>
      <c r="Y218" s="49"/>
      <c r="Z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49"/>
      <c r="V219" s="49"/>
      <c r="W219" s="49"/>
      <c r="X219" s="49"/>
      <c r="Y219" s="49"/>
      <c r="Z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49"/>
      <c r="V220" s="49"/>
      <c r="W220" s="49"/>
      <c r="X220" s="49"/>
      <c r="Y220" s="49"/>
      <c r="Z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49"/>
      <c r="V221" s="49"/>
      <c r="W221" s="49"/>
      <c r="X221" s="49"/>
      <c r="Y221" s="49"/>
      <c r="Z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49"/>
      <c r="V222" s="49"/>
      <c r="W222" s="49"/>
      <c r="X222" s="49"/>
      <c r="Y222" s="49"/>
      <c r="Z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49"/>
      <c r="V223" s="49"/>
      <c r="W223" s="49"/>
      <c r="X223" s="49"/>
      <c r="Y223" s="49"/>
      <c r="Z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49"/>
      <c r="V224" s="49"/>
      <c r="W224" s="49"/>
      <c r="X224" s="49"/>
      <c r="Y224" s="49"/>
      <c r="Z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49"/>
      <c r="V225" s="49"/>
      <c r="W225" s="49"/>
      <c r="X225" s="49"/>
      <c r="Y225" s="49"/>
      <c r="Z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49"/>
      <c r="V226" s="49"/>
      <c r="W226" s="49"/>
      <c r="X226" s="49"/>
      <c r="Y226" s="49"/>
      <c r="Z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49"/>
      <c r="V227" s="49"/>
      <c r="W227" s="49"/>
      <c r="X227" s="49"/>
      <c r="Y227" s="49"/>
      <c r="Z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49"/>
      <c r="V228" s="49"/>
      <c r="W228" s="49"/>
      <c r="X228" s="49"/>
      <c r="Y228" s="49"/>
      <c r="Z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49"/>
      <c r="V229" s="49"/>
      <c r="W229" s="49"/>
      <c r="X229" s="49"/>
      <c r="Y229" s="49"/>
      <c r="Z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49"/>
      <c r="V230" s="49"/>
      <c r="W230" s="49"/>
      <c r="X230" s="49"/>
      <c r="Y230" s="49"/>
      <c r="Z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49"/>
      <c r="V231" s="49"/>
      <c r="W231" s="49"/>
      <c r="X231" s="49"/>
      <c r="Y231" s="49"/>
      <c r="Z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49"/>
      <c r="V232" s="49"/>
      <c r="W232" s="49"/>
      <c r="X232" s="49"/>
      <c r="Y232" s="49"/>
      <c r="Z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49"/>
      <c r="V233" s="49"/>
      <c r="W233" s="49"/>
      <c r="X233" s="49"/>
      <c r="Y233" s="49"/>
      <c r="Z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49"/>
      <c r="V234" s="49"/>
      <c r="W234" s="49"/>
      <c r="X234" s="49"/>
      <c r="Y234" s="49"/>
      <c r="Z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49"/>
      <c r="V235" s="49"/>
      <c r="W235" s="49"/>
      <c r="X235" s="49"/>
      <c r="Y235" s="49"/>
      <c r="Z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49"/>
      <c r="V236" s="49"/>
      <c r="W236" s="49"/>
      <c r="X236" s="49"/>
      <c r="Y236" s="49"/>
      <c r="Z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49"/>
      <c r="V237" s="49"/>
      <c r="W237" s="49"/>
      <c r="X237" s="49"/>
      <c r="Y237" s="49"/>
      <c r="Z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49"/>
      <c r="V238" s="49"/>
      <c r="W238" s="49"/>
      <c r="X238" s="49"/>
      <c r="Y238" s="49"/>
      <c r="Z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49"/>
      <c r="V239" s="49"/>
      <c r="W239" s="49"/>
      <c r="X239" s="49"/>
      <c r="Y239" s="49"/>
      <c r="Z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49"/>
      <c r="V240" s="49"/>
      <c r="W240" s="49"/>
      <c r="X240" s="49"/>
      <c r="Y240" s="49"/>
      <c r="Z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49"/>
      <c r="V241" s="49"/>
      <c r="W241" s="49"/>
      <c r="X241" s="49"/>
      <c r="Y241" s="49"/>
      <c r="Z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49"/>
      <c r="V242" s="49"/>
      <c r="W242" s="49"/>
      <c r="X242" s="49"/>
      <c r="Y242" s="49"/>
      <c r="Z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49"/>
      <c r="V243" s="49"/>
      <c r="W243" s="49"/>
      <c r="X243" s="49"/>
      <c r="Y243" s="49"/>
      <c r="Z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49"/>
      <c r="V244" s="49"/>
      <c r="W244" s="49"/>
      <c r="X244" s="49"/>
      <c r="Y244" s="49"/>
      <c r="Z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49"/>
      <c r="V245" s="49"/>
      <c r="W245" s="49"/>
      <c r="X245" s="49"/>
      <c r="Y245" s="49"/>
      <c r="Z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49"/>
      <c r="V246" s="49"/>
      <c r="W246" s="49"/>
      <c r="X246" s="49"/>
      <c r="Y246" s="49"/>
      <c r="Z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49"/>
      <c r="V247" s="49"/>
      <c r="W247" s="49"/>
      <c r="X247" s="49"/>
      <c r="Y247" s="49"/>
      <c r="Z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49"/>
      <c r="V248" s="49"/>
      <c r="W248" s="49"/>
      <c r="X248" s="49"/>
      <c r="Y248" s="49"/>
      <c r="Z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49"/>
      <c r="V249" s="49"/>
      <c r="W249" s="49"/>
      <c r="X249" s="49"/>
      <c r="Y249" s="49"/>
      <c r="Z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49"/>
      <c r="V250" s="49"/>
      <c r="W250" s="49"/>
      <c r="X250" s="49"/>
      <c r="Y250" s="49"/>
      <c r="Z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49"/>
      <c r="V251" s="49"/>
      <c r="W251" s="49"/>
      <c r="X251" s="49"/>
      <c r="Y251" s="49"/>
      <c r="Z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49"/>
      <c r="V252" s="49"/>
      <c r="W252" s="49"/>
      <c r="X252" s="49"/>
      <c r="Y252" s="49"/>
      <c r="Z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49"/>
      <c r="V253" s="49"/>
      <c r="W253" s="49"/>
      <c r="X253" s="49"/>
      <c r="Y253" s="49"/>
      <c r="Z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49"/>
      <c r="V254" s="49"/>
      <c r="W254" s="49"/>
      <c r="X254" s="49"/>
      <c r="Y254" s="49"/>
      <c r="Z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49"/>
      <c r="V255" s="49"/>
      <c r="W255" s="49"/>
      <c r="X255" s="49"/>
      <c r="Y255" s="49"/>
      <c r="Z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49"/>
      <c r="V256" s="49"/>
      <c r="W256" s="49"/>
      <c r="X256" s="49"/>
      <c r="Y256" s="49"/>
      <c r="Z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3">
    <mergeCell ref="C8:G8"/>
    <mergeCell ref="I8:M8"/>
    <mergeCell ref="O8:S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10.0"/>
    <col customWidth="1" min="2" max="2" width="26.6"/>
    <col customWidth="1" min="3" max="3" width="7.9"/>
    <col customWidth="1" min="4" max="7" width="8.9"/>
    <col customWidth="1" min="8" max="26" width="10.5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1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7" t="s">
        <v>128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8"/>
      <c r="B7" s="38"/>
      <c r="C7" s="58">
        <v>2022.0</v>
      </c>
      <c r="D7" s="58">
        <v>2023.0</v>
      </c>
      <c r="E7" s="58">
        <v>2024.0</v>
      </c>
      <c r="F7" s="58">
        <v>2025.0</v>
      </c>
      <c r="G7" s="58">
        <v>2026.0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8"/>
      <c r="B8" s="78" t="s">
        <v>75</v>
      </c>
      <c r="C8" s="79">
        <v>0.35</v>
      </c>
      <c r="D8" s="79">
        <v>0.35</v>
      </c>
      <c r="E8" s="79">
        <v>0.35</v>
      </c>
      <c r="F8" s="79">
        <v>0.35</v>
      </c>
      <c r="G8" s="80">
        <v>0.35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/>
      <c r="B9" s="81" t="s">
        <v>129</v>
      </c>
      <c r="C9" s="82">
        <f>'CIFRAS HISTORICAS'!G10*(1+C8)</f>
        <v>918000</v>
      </c>
      <c r="D9" s="82">
        <f t="shared" ref="D9:G9" si="1">+C9*(1+D8)</f>
        <v>1239300</v>
      </c>
      <c r="E9" s="82">
        <f t="shared" si="1"/>
        <v>1673055</v>
      </c>
      <c r="F9" s="82">
        <f t="shared" si="1"/>
        <v>2258624.25</v>
      </c>
      <c r="G9" s="83">
        <f t="shared" si="1"/>
        <v>3049142.738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/>
      <c r="B10" s="81" t="s">
        <v>130</v>
      </c>
      <c r="C10" s="38">
        <v>215.0</v>
      </c>
      <c r="D10" s="38">
        <v>215.0</v>
      </c>
      <c r="E10" s="38">
        <v>215.0</v>
      </c>
      <c r="F10" s="38">
        <v>215.0</v>
      </c>
      <c r="G10" s="84">
        <v>215.0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8"/>
      <c r="B11" s="85" t="s">
        <v>131</v>
      </c>
      <c r="C11" s="86">
        <f t="shared" ref="C11:G11" si="2">+C9/C10</f>
        <v>4269.767442</v>
      </c>
      <c r="D11" s="86">
        <f t="shared" si="2"/>
        <v>5764.186047</v>
      </c>
      <c r="E11" s="86">
        <f t="shared" si="2"/>
        <v>7781.651163</v>
      </c>
      <c r="F11" s="86">
        <f t="shared" si="2"/>
        <v>10505.22907</v>
      </c>
      <c r="G11" s="87">
        <f t="shared" si="2"/>
        <v>14182.05924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35.7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5.6"/>
    <col customWidth="1" min="22" max="22" width="9.0"/>
    <col customWidth="1" min="23" max="26" width="9.6"/>
    <col customWidth="1" min="27" max="27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49"/>
    </row>
    <row r="3">
      <c r="A3" s="50"/>
      <c r="B3" s="7" t="s">
        <v>132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49"/>
    </row>
    <row r="5" ht="15.0" customHeight="1">
      <c r="A5" s="50"/>
      <c r="B5" s="9" t="s">
        <v>133</v>
      </c>
      <c r="C5" s="11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49"/>
    </row>
    <row r="6">
      <c r="A6" s="50"/>
      <c r="B6" s="12"/>
      <c r="C6" s="14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49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49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3">+C15/C$15</f>
        <v>1</v>
      </c>
      <c r="J15" s="60">
        <f t="shared" si="3"/>
        <v>1</v>
      </c>
      <c r="K15" s="60">
        <f t="shared" si="3"/>
        <v>1</v>
      </c>
      <c r="L15" s="60">
        <f t="shared" si="3"/>
        <v>1</v>
      </c>
      <c r="M15" s="60">
        <f t="shared" si="3"/>
        <v>1</v>
      </c>
      <c r="N15" s="50"/>
      <c r="O15" s="61">
        <f t="shared" ref="O15:O27" si="6">IFERROR(C15/C15,0)</f>
        <v>1</v>
      </c>
      <c r="P15" s="61">
        <f t="shared" ref="P15:S15" si="4">IFERROR(D15/$C15,0)</f>
        <v>1.266666667</v>
      </c>
      <c r="Q15" s="61">
        <f t="shared" si="4"/>
        <v>2.1</v>
      </c>
      <c r="R15" s="61">
        <f t="shared" si="4"/>
        <v>2.533333333</v>
      </c>
      <c r="S15" s="61">
        <f t="shared" si="4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5">+C16/C$15</f>
        <v>-0.5733333333</v>
      </c>
      <c r="J16" s="60">
        <f t="shared" si="5"/>
        <v>-0.6315789474</v>
      </c>
      <c r="K16" s="60">
        <f t="shared" si="5"/>
        <v>-0.4285714286</v>
      </c>
      <c r="L16" s="60">
        <f t="shared" si="5"/>
        <v>-0.3631578947</v>
      </c>
      <c r="M16" s="60">
        <f t="shared" si="5"/>
        <v>-0.4411764706</v>
      </c>
      <c r="N16" s="50"/>
      <c r="O16" s="61">
        <f t="shared" si="6"/>
        <v>1</v>
      </c>
      <c r="P16" s="61">
        <f t="shared" ref="P16:S16" si="7">IFERROR(D16/$C16,0)</f>
        <v>1.395348837</v>
      </c>
      <c r="Q16" s="61">
        <f t="shared" si="7"/>
        <v>1.569767442</v>
      </c>
      <c r="R16" s="61">
        <f t="shared" si="7"/>
        <v>1.604651163</v>
      </c>
      <c r="S16" s="61">
        <f t="shared" si="7"/>
        <v>3.488372093</v>
      </c>
      <c r="T16" s="61"/>
      <c r="U16" s="50" t="s">
        <v>92</v>
      </c>
      <c r="V16" s="50">
        <f t="shared" ref="V16:Z16" si="8">-V15*V4</f>
        <v>-403920</v>
      </c>
      <c r="W16" s="50">
        <f t="shared" si="8"/>
        <v>-545292</v>
      </c>
      <c r="X16" s="50">
        <f t="shared" si="8"/>
        <v>-702683.1</v>
      </c>
      <c r="Y16" s="50">
        <f t="shared" si="8"/>
        <v>-948622.185</v>
      </c>
      <c r="Z16" s="50">
        <f t="shared" si="8"/>
        <v>-1280639.95</v>
      </c>
      <c r="AA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9">+C17/C$15</f>
        <v>-0.06</v>
      </c>
      <c r="J17" s="96">
        <f t="shared" si="9"/>
        <v>-0.06315789474</v>
      </c>
      <c r="K17" s="96">
        <f t="shared" si="9"/>
        <v>-0.05238095238</v>
      </c>
      <c r="L17" s="96">
        <f t="shared" si="9"/>
        <v>-0.05657894737</v>
      </c>
      <c r="M17" s="96">
        <f t="shared" si="9"/>
        <v>-0.05661764706</v>
      </c>
      <c r="N17" s="50"/>
      <c r="O17" s="97">
        <f t="shared" si="6"/>
        <v>1</v>
      </c>
      <c r="P17" s="97">
        <f t="shared" ref="P17:S17" si="10">IFERROR(D17/$C17,0)</f>
        <v>1.333333333</v>
      </c>
      <c r="Q17" s="97">
        <f t="shared" si="10"/>
        <v>1.833333333</v>
      </c>
      <c r="R17" s="97">
        <f t="shared" si="10"/>
        <v>2.388888889</v>
      </c>
      <c r="S17" s="97">
        <f t="shared" si="10"/>
        <v>4.277777778</v>
      </c>
      <c r="T17" s="61"/>
      <c r="U17" s="50" t="s">
        <v>93</v>
      </c>
      <c r="V17" s="62">
        <f t="shared" ref="V17:Z17" si="11">-V15*6%*(1+V5)</f>
        <v>-60588</v>
      </c>
      <c r="W17" s="62">
        <f t="shared" si="11"/>
        <v>-85511.7</v>
      </c>
      <c r="X17" s="62">
        <f t="shared" si="11"/>
        <v>-115440.795</v>
      </c>
      <c r="Y17" s="62">
        <f t="shared" si="11"/>
        <v>-162620.946</v>
      </c>
      <c r="Z17" s="62">
        <f t="shared" si="11"/>
        <v>-228685.7053</v>
      </c>
      <c r="AA17" s="49"/>
    </row>
    <row r="18">
      <c r="A18" s="50"/>
      <c r="B18" s="63" t="s">
        <v>94</v>
      </c>
      <c r="C18" s="64">
        <f t="shared" ref="C18:G18" si="12">SUM(C15:C17)</f>
        <v>55000</v>
      </c>
      <c r="D18" s="64">
        <f t="shared" si="12"/>
        <v>58000</v>
      </c>
      <c r="E18" s="64">
        <f t="shared" si="12"/>
        <v>163500</v>
      </c>
      <c r="F18" s="64">
        <f t="shared" si="12"/>
        <v>220500</v>
      </c>
      <c r="G18" s="64">
        <f t="shared" si="12"/>
        <v>341500</v>
      </c>
      <c r="H18" s="50"/>
      <c r="I18" s="65">
        <f t="shared" ref="I18:M18" si="13">+C18/C$15</f>
        <v>0.3666666667</v>
      </c>
      <c r="J18" s="66">
        <f t="shared" si="13"/>
        <v>0.3052631579</v>
      </c>
      <c r="K18" s="66">
        <f t="shared" si="13"/>
        <v>0.519047619</v>
      </c>
      <c r="L18" s="66">
        <f t="shared" si="13"/>
        <v>0.5802631579</v>
      </c>
      <c r="M18" s="67">
        <f t="shared" si="13"/>
        <v>0.5022058824</v>
      </c>
      <c r="N18" s="50"/>
      <c r="O18" s="68">
        <f t="shared" si="6"/>
        <v>1</v>
      </c>
      <c r="P18" s="69">
        <f t="shared" ref="P18:S18" si="14">IFERROR(D18/$C18,0)</f>
        <v>1.054545455</v>
      </c>
      <c r="Q18" s="69">
        <f t="shared" si="14"/>
        <v>2.972727273</v>
      </c>
      <c r="R18" s="69">
        <f t="shared" si="14"/>
        <v>4.009090909</v>
      </c>
      <c r="S18" s="70">
        <f t="shared" si="14"/>
        <v>6.209090909</v>
      </c>
      <c r="T18" s="61"/>
      <c r="U18" s="63" t="s">
        <v>94</v>
      </c>
      <c r="V18" s="64">
        <f t="shared" ref="V18:Z18" si="15">SUM(V15:V17)</f>
        <v>453492</v>
      </c>
      <c r="W18" s="64">
        <f t="shared" si="15"/>
        <v>608496.3</v>
      </c>
      <c r="X18" s="64">
        <f t="shared" si="15"/>
        <v>854931.105</v>
      </c>
      <c r="Y18" s="64">
        <f t="shared" si="15"/>
        <v>1147381.119</v>
      </c>
      <c r="Z18" s="64">
        <f t="shared" si="15"/>
        <v>1539817.082</v>
      </c>
      <c r="AA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16">+C19/C$15</f>
        <v>-0.16</v>
      </c>
      <c r="J19" s="60">
        <f t="shared" si="16"/>
        <v>-0.1552631579</v>
      </c>
      <c r="K19" s="60">
        <f t="shared" si="16"/>
        <v>-0.1580952381</v>
      </c>
      <c r="L19" s="60">
        <f t="shared" si="16"/>
        <v>-0.1592105263</v>
      </c>
      <c r="M19" s="60">
        <f t="shared" si="16"/>
        <v>-0.1588235294</v>
      </c>
      <c r="N19" s="50"/>
      <c r="O19" s="61">
        <f t="shared" si="6"/>
        <v>1</v>
      </c>
      <c r="P19" s="61">
        <f t="shared" ref="P19:S19" si="17">IFERROR(D19/$C19,0)</f>
        <v>1.229166667</v>
      </c>
      <c r="Q19" s="61">
        <f t="shared" si="17"/>
        <v>2.075</v>
      </c>
      <c r="R19" s="61">
        <f t="shared" si="17"/>
        <v>2.520833333</v>
      </c>
      <c r="S19" s="61">
        <f t="shared" si="17"/>
        <v>4.5</v>
      </c>
      <c r="T19" s="61"/>
      <c r="U19" s="50" t="s">
        <v>95</v>
      </c>
      <c r="V19" s="50"/>
      <c r="W19" s="50"/>
      <c r="X19" s="50"/>
      <c r="Y19" s="50"/>
      <c r="Z19" s="50"/>
      <c r="AA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18">+C20/C$15</f>
        <v>-0.08</v>
      </c>
      <c r="J20" s="60">
        <f t="shared" si="18"/>
        <v>-0.09210526316</v>
      </c>
      <c r="K20" s="60">
        <f t="shared" si="18"/>
        <v>-0.09682539683</v>
      </c>
      <c r="L20" s="60">
        <f t="shared" si="18"/>
        <v>-0.09473684211</v>
      </c>
      <c r="M20" s="60">
        <f t="shared" si="18"/>
        <v>-0.09926470588</v>
      </c>
      <c r="N20" s="50"/>
      <c r="O20" s="61">
        <f t="shared" si="6"/>
        <v>1</v>
      </c>
      <c r="P20" s="61">
        <f t="shared" ref="P20:S20" si="19">IFERROR(D20/$C20,0)</f>
        <v>1.458333333</v>
      </c>
      <c r="Q20" s="61">
        <f t="shared" si="19"/>
        <v>2.541666667</v>
      </c>
      <c r="R20" s="61">
        <f t="shared" si="19"/>
        <v>3</v>
      </c>
      <c r="S20" s="61">
        <f t="shared" si="19"/>
        <v>5.625</v>
      </c>
      <c r="T20" s="61"/>
      <c r="U20" s="50" t="s">
        <v>96</v>
      </c>
      <c r="V20" s="50"/>
      <c r="W20" s="50"/>
      <c r="X20" s="50"/>
      <c r="Y20" s="50"/>
      <c r="Z20" s="50"/>
      <c r="AA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20">+C21/C$15</f>
        <v>-0.0006666666667</v>
      </c>
      <c r="J21" s="60">
        <f t="shared" si="20"/>
        <v>-0.0006315789474</v>
      </c>
      <c r="K21" s="60">
        <f t="shared" si="20"/>
        <v>-0.003111111111</v>
      </c>
      <c r="L21" s="60">
        <f t="shared" si="20"/>
        <v>-0.002894736842</v>
      </c>
      <c r="M21" s="60">
        <f t="shared" si="20"/>
        <v>-0.002794117647</v>
      </c>
      <c r="N21" s="50"/>
      <c r="O21" s="61">
        <f t="shared" si="6"/>
        <v>1</v>
      </c>
      <c r="P21" s="61">
        <f t="shared" ref="P21:S21" si="21">IFERROR(D21/$C21,0)</f>
        <v>1.2</v>
      </c>
      <c r="Q21" s="61">
        <f t="shared" si="21"/>
        <v>9.8</v>
      </c>
      <c r="R21" s="61">
        <f t="shared" si="21"/>
        <v>11</v>
      </c>
      <c r="S21" s="61">
        <f t="shared" si="21"/>
        <v>19</v>
      </c>
      <c r="T21" s="61"/>
      <c r="U21" s="50" t="s">
        <v>97</v>
      </c>
      <c r="V21" s="50"/>
      <c r="W21" s="50"/>
      <c r="X21" s="50"/>
      <c r="Y21" s="50"/>
      <c r="Z21" s="50"/>
      <c r="AA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22">+C22/C$15</f>
        <v>-0.003466666667</v>
      </c>
      <c r="J22" s="60">
        <f t="shared" si="22"/>
        <v>-0.003578947368</v>
      </c>
      <c r="K22" s="60">
        <f t="shared" si="22"/>
        <v>-0.01022222222</v>
      </c>
      <c r="L22" s="60">
        <f t="shared" si="22"/>
        <v>-0.008947368421</v>
      </c>
      <c r="M22" s="60">
        <f t="shared" si="22"/>
        <v>-0.0075</v>
      </c>
      <c r="N22" s="50"/>
      <c r="O22" s="61">
        <f t="shared" si="6"/>
        <v>1</v>
      </c>
      <c r="P22" s="61">
        <f t="shared" ref="P22:S22" si="23">IFERROR(D22/$C22,0)</f>
        <v>1.307692308</v>
      </c>
      <c r="Q22" s="61">
        <f t="shared" si="23"/>
        <v>6.192307692</v>
      </c>
      <c r="R22" s="61">
        <f t="shared" si="23"/>
        <v>6.538461538</v>
      </c>
      <c r="S22" s="61">
        <f t="shared" si="23"/>
        <v>9.807692308</v>
      </c>
      <c r="T22" s="61"/>
      <c r="U22" s="50" t="s">
        <v>98</v>
      </c>
      <c r="V22" s="62"/>
      <c r="W22" s="62"/>
      <c r="X22" s="62"/>
      <c r="Y22" s="62"/>
      <c r="Z22" s="62"/>
      <c r="AA22" s="49"/>
    </row>
    <row r="23" ht="15.75" customHeight="1">
      <c r="A23" s="50"/>
      <c r="B23" s="63" t="s">
        <v>99</v>
      </c>
      <c r="C23" s="64">
        <f t="shared" ref="C23:G23" si="24">SUM(C18:C22)</f>
        <v>18380</v>
      </c>
      <c r="D23" s="64">
        <f t="shared" si="24"/>
        <v>10200</v>
      </c>
      <c r="E23" s="64">
        <f t="shared" si="24"/>
        <v>79000</v>
      </c>
      <c r="F23" s="64">
        <f t="shared" si="24"/>
        <v>119500</v>
      </c>
      <c r="G23" s="64">
        <f t="shared" si="24"/>
        <v>159000</v>
      </c>
      <c r="H23" s="50"/>
      <c r="I23" s="65">
        <f t="shared" ref="I23:M23" si="25">+C23/C$15</f>
        <v>0.1225333333</v>
      </c>
      <c r="J23" s="66">
        <f t="shared" si="25"/>
        <v>0.05368421053</v>
      </c>
      <c r="K23" s="66">
        <f t="shared" si="25"/>
        <v>0.2507936508</v>
      </c>
      <c r="L23" s="66">
        <f t="shared" si="25"/>
        <v>0.3144736842</v>
      </c>
      <c r="M23" s="67">
        <f t="shared" si="25"/>
        <v>0.2338235294</v>
      </c>
      <c r="N23" s="50"/>
      <c r="O23" s="68">
        <f t="shared" si="6"/>
        <v>1</v>
      </c>
      <c r="P23" s="69">
        <f t="shared" ref="P23:S23" si="26">IFERROR(D23/$C23,0)</f>
        <v>0.5549510337</v>
      </c>
      <c r="Q23" s="69">
        <f t="shared" si="26"/>
        <v>4.298150163</v>
      </c>
      <c r="R23" s="69">
        <f t="shared" si="26"/>
        <v>6.501632209</v>
      </c>
      <c r="S23" s="70">
        <f t="shared" si="26"/>
        <v>8.650707291</v>
      </c>
      <c r="T23" s="71"/>
      <c r="U23" s="63" t="s">
        <v>99</v>
      </c>
      <c r="V23" s="64">
        <f t="shared" ref="V23:Z23" si="27">SUM(V18:V22)</f>
        <v>453492</v>
      </c>
      <c r="W23" s="64">
        <f t="shared" si="27"/>
        <v>608496.3</v>
      </c>
      <c r="X23" s="64">
        <f t="shared" si="27"/>
        <v>854931.105</v>
      </c>
      <c r="Y23" s="64">
        <f t="shared" si="27"/>
        <v>1147381.119</v>
      </c>
      <c r="Z23" s="64">
        <f t="shared" si="27"/>
        <v>1539817.082</v>
      </c>
      <c r="AA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28">+C24/C$15</f>
        <v>-0.005666666667</v>
      </c>
      <c r="J24" s="60">
        <f t="shared" si="28"/>
        <v>-0.006842105263</v>
      </c>
      <c r="K24" s="60">
        <f t="shared" si="28"/>
        <v>-0.007301587302</v>
      </c>
      <c r="L24" s="60">
        <f t="shared" si="28"/>
        <v>-0.008421052632</v>
      </c>
      <c r="M24" s="60">
        <f t="shared" si="28"/>
        <v>-0.00875</v>
      </c>
      <c r="N24" s="50"/>
      <c r="O24" s="61">
        <f t="shared" si="6"/>
        <v>1</v>
      </c>
      <c r="P24" s="61">
        <f t="shared" ref="P24:S24" si="29">IFERROR(D24/$C24,0)</f>
        <v>1.529411765</v>
      </c>
      <c r="Q24" s="61">
        <f t="shared" si="29"/>
        <v>2.705882353</v>
      </c>
      <c r="R24" s="61">
        <f t="shared" si="29"/>
        <v>3.764705882</v>
      </c>
      <c r="S24" s="61">
        <f t="shared" si="29"/>
        <v>7</v>
      </c>
      <c r="T24" s="61"/>
      <c r="U24" s="50" t="s">
        <v>100</v>
      </c>
      <c r="V24" s="62"/>
      <c r="W24" s="62"/>
      <c r="X24" s="62"/>
      <c r="Y24" s="62"/>
      <c r="Z24" s="62"/>
      <c r="AA24" s="49"/>
    </row>
    <row r="25" ht="15.75" customHeight="1">
      <c r="A25" s="50"/>
      <c r="B25" s="63" t="s">
        <v>101</v>
      </c>
      <c r="C25" s="64">
        <f t="shared" ref="C25:G25" si="30">SUM(C23:C24)</f>
        <v>17530</v>
      </c>
      <c r="D25" s="64">
        <f t="shared" si="30"/>
        <v>8900</v>
      </c>
      <c r="E25" s="64">
        <f t="shared" si="30"/>
        <v>76700</v>
      </c>
      <c r="F25" s="64">
        <f t="shared" si="30"/>
        <v>116300</v>
      </c>
      <c r="G25" s="64">
        <f t="shared" si="30"/>
        <v>153050</v>
      </c>
      <c r="H25" s="50"/>
      <c r="I25" s="65">
        <f t="shared" ref="I25:M25" si="31">+C25/C$15</f>
        <v>0.1168666667</v>
      </c>
      <c r="J25" s="66">
        <f t="shared" si="31"/>
        <v>0.04684210526</v>
      </c>
      <c r="K25" s="66">
        <f t="shared" si="31"/>
        <v>0.2434920635</v>
      </c>
      <c r="L25" s="66">
        <f t="shared" si="31"/>
        <v>0.3060526316</v>
      </c>
      <c r="M25" s="67">
        <f t="shared" si="31"/>
        <v>0.2250735294</v>
      </c>
      <c r="N25" s="50"/>
      <c r="O25" s="68">
        <f t="shared" si="6"/>
        <v>1</v>
      </c>
      <c r="P25" s="69">
        <f t="shared" ref="P25:S25" si="32">IFERROR(D25/$C25,0)</f>
        <v>0.5077010839</v>
      </c>
      <c r="Q25" s="69">
        <f t="shared" si="32"/>
        <v>4.375356532</v>
      </c>
      <c r="R25" s="69">
        <f t="shared" si="32"/>
        <v>6.634341129</v>
      </c>
      <c r="S25" s="70">
        <f t="shared" si="32"/>
        <v>8.73074729</v>
      </c>
      <c r="T25" s="71"/>
      <c r="U25" s="63" t="s">
        <v>101</v>
      </c>
      <c r="V25" s="64">
        <f t="shared" ref="V25:Z25" si="33">SUM(V23:V24)</f>
        <v>453492</v>
      </c>
      <c r="W25" s="64">
        <f t="shared" si="33"/>
        <v>608496.3</v>
      </c>
      <c r="X25" s="64">
        <f t="shared" si="33"/>
        <v>854931.105</v>
      </c>
      <c r="Y25" s="64">
        <f t="shared" si="33"/>
        <v>1147381.119</v>
      </c>
      <c r="Z25" s="64">
        <f t="shared" si="33"/>
        <v>1539817.082</v>
      </c>
      <c r="AA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34">+C26/C$15</f>
        <v>-0.1966666667</v>
      </c>
      <c r="J26" s="60">
        <f t="shared" si="34"/>
        <v>-0.2263157895</v>
      </c>
      <c r="K26" s="60">
        <f t="shared" si="34"/>
        <v>-0.1498412698</v>
      </c>
      <c r="L26" s="60">
        <f t="shared" si="34"/>
        <v>-0.07651315789</v>
      </c>
      <c r="M26" s="60">
        <f t="shared" si="34"/>
        <v>-0.1455882353</v>
      </c>
      <c r="N26" s="50"/>
      <c r="O26" s="61">
        <f t="shared" si="6"/>
        <v>1</v>
      </c>
      <c r="P26" s="61">
        <f t="shared" ref="P26:S26" si="35">IFERROR(D26/$C26,0)</f>
        <v>1.457627119</v>
      </c>
      <c r="Q26" s="61">
        <f t="shared" si="35"/>
        <v>1.6</v>
      </c>
      <c r="R26" s="61">
        <f t="shared" si="35"/>
        <v>0.9855932203</v>
      </c>
      <c r="S26" s="61">
        <f t="shared" si="35"/>
        <v>3.355932203</v>
      </c>
      <c r="T26" s="61"/>
      <c r="U26" s="50" t="s">
        <v>102</v>
      </c>
      <c r="V26" s="50"/>
      <c r="W26" s="50"/>
      <c r="X26" s="50"/>
      <c r="Y26" s="50"/>
      <c r="Z26" s="50"/>
      <c r="AA26" s="49"/>
    </row>
    <row r="27" ht="15.75" customHeight="1">
      <c r="A27" s="50"/>
      <c r="B27" s="63" t="s">
        <v>103</v>
      </c>
      <c r="C27" s="72">
        <f t="shared" ref="C27:G27" si="36">+C25+C26</f>
        <v>-11970</v>
      </c>
      <c r="D27" s="72">
        <f t="shared" si="36"/>
        <v>-34100</v>
      </c>
      <c r="E27" s="72">
        <f t="shared" si="36"/>
        <v>29500</v>
      </c>
      <c r="F27" s="72">
        <f t="shared" si="36"/>
        <v>87225</v>
      </c>
      <c r="G27" s="72">
        <f t="shared" si="36"/>
        <v>54050</v>
      </c>
      <c r="H27" s="50"/>
      <c r="I27" s="65">
        <f t="shared" ref="I27:M27" si="37">+C27/C$15</f>
        <v>-0.0798</v>
      </c>
      <c r="J27" s="66">
        <f t="shared" si="37"/>
        <v>-0.1794736842</v>
      </c>
      <c r="K27" s="66">
        <f t="shared" si="37"/>
        <v>0.09365079365</v>
      </c>
      <c r="L27" s="66">
        <f t="shared" si="37"/>
        <v>0.2295394737</v>
      </c>
      <c r="M27" s="67">
        <f t="shared" si="37"/>
        <v>0.07948529412</v>
      </c>
      <c r="N27" s="50"/>
      <c r="O27" s="68">
        <f t="shared" si="6"/>
        <v>1</v>
      </c>
      <c r="P27" s="69">
        <f t="shared" ref="P27:S27" si="38">IFERROR(D27/$C27,0)</f>
        <v>2.848788638</v>
      </c>
      <c r="Q27" s="69">
        <f t="shared" si="38"/>
        <v>-2.46449457</v>
      </c>
      <c r="R27" s="69">
        <f t="shared" si="38"/>
        <v>-7.286967419</v>
      </c>
      <c r="S27" s="70">
        <f t="shared" si="38"/>
        <v>-4.515455305</v>
      </c>
      <c r="T27" s="71"/>
      <c r="U27" s="63" t="s">
        <v>103</v>
      </c>
      <c r="V27" s="72">
        <f t="shared" ref="V27:Z27" si="39">+V25+V26</f>
        <v>453492</v>
      </c>
      <c r="W27" s="72">
        <f t="shared" si="39"/>
        <v>608496.3</v>
      </c>
      <c r="X27" s="72">
        <f t="shared" si="39"/>
        <v>854931.105</v>
      </c>
      <c r="Y27" s="72">
        <f t="shared" si="39"/>
        <v>1147381.119</v>
      </c>
      <c r="Z27" s="72">
        <f t="shared" si="39"/>
        <v>1539817.082</v>
      </c>
      <c r="AA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49"/>
    </row>
    <row r="29" ht="15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49"/>
    </row>
    <row r="30" ht="15.75" customHeight="1">
      <c r="A30" s="50"/>
      <c r="B30" s="53" t="s">
        <v>104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0"/>
      <c r="X30" s="50"/>
      <c r="Y30" s="50"/>
      <c r="Z30" s="50"/>
      <c r="AA30" s="49"/>
    </row>
    <row r="31" ht="15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49"/>
    </row>
    <row r="32" ht="15.75" customHeight="1">
      <c r="A32" s="50"/>
      <c r="B32" s="50"/>
      <c r="C32" s="59">
        <v>2017.0</v>
      </c>
      <c r="D32" s="59">
        <v>2018.0</v>
      </c>
      <c r="E32" s="59">
        <v>2019.0</v>
      </c>
      <c r="F32" s="59">
        <v>2020.0</v>
      </c>
      <c r="G32" s="59">
        <v>2021.0</v>
      </c>
      <c r="H32" s="50"/>
      <c r="I32" s="59">
        <f t="shared" ref="I32:M32" si="40">+C32</f>
        <v>2017</v>
      </c>
      <c r="J32" s="59">
        <f t="shared" si="40"/>
        <v>2018</v>
      </c>
      <c r="K32" s="59">
        <f t="shared" si="40"/>
        <v>2019</v>
      </c>
      <c r="L32" s="59">
        <f t="shared" si="40"/>
        <v>2020</v>
      </c>
      <c r="M32" s="59">
        <f t="shared" si="40"/>
        <v>2021</v>
      </c>
      <c r="N32" s="50"/>
      <c r="O32" s="59">
        <f t="shared" ref="O32:S32" si="41">+C32</f>
        <v>2017</v>
      </c>
      <c r="P32" s="59">
        <f t="shared" si="41"/>
        <v>2018</v>
      </c>
      <c r="Q32" s="59">
        <f t="shared" si="41"/>
        <v>2019</v>
      </c>
      <c r="R32" s="59">
        <f t="shared" si="41"/>
        <v>2020</v>
      </c>
      <c r="S32" s="59">
        <f t="shared" si="41"/>
        <v>2021</v>
      </c>
      <c r="T32" s="58"/>
      <c r="U32" s="50"/>
      <c r="V32" s="58"/>
      <c r="W32" s="58"/>
      <c r="X32" s="58"/>
      <c r="Y32" s="58"/>
      <c r="Z32" s="58"/>
      <c r="AA32" s="49"/>
    </row>
    <row r="33" ht="15.75" customHeight="1">
      <c r="A33" s="50"/>
      <c r="B33" s="50" t="s">
        <v>105</v>
      </c>
      <c r="C33" s="50">
        <v>4000.0</v>
      </c>
      <c r="D33" s="50">
        <v>12000.0</v>
      </c>
      <c r="E33" s="50">
        <v>21000.0</v>
      </c>
      <c r="F33" s="50">
        <v>36000.0</v>
      </c>
      <c r="G33" s="50">
        <v>52000.0</v>
      </c>
      <c r="H33" s="50"/>
      <c r="I33" s="60">
        <f t="shared" ref="I33:M33" si="42">C33/C$42</f>
        <v>0.05545538157</v>
      </c>
      <c r="J33" s="60">
        <f t="shared" si="42"/>
        <v>0.1493464971</v>
      </c>
      <c r="K33" s="60">
        <f t="shared" si="42"/>
        <v>0.06543481779</v>
      </c>
      <c r="L33" s="60">
        <f t="shared" si="42"/>
        <v>0.1025713907</v>
      </c>
      <c r="M33" s="60">
        <f t="shared" si="42"/>
        <v>0.1615781834</v>
      </c>
      <c r="N33" s="50"/>
      <c r="O33" s="61">
        <f t="shared" ref="O33:O42" si="45">IFERROR(C33/C33,0)</f>
        <v>1</v>
      </c>
      <c r="P33" s="61">
        <f t="shared" ref="P33:S33" si="43">IFERROR(D33/$C33,0)</f>
        <v>3</v>
      </c>
      <c r="Q33" s="61">
        <f t="shared" si="43"/>
        <v>5.25</v>
      </c>
      <c r="R33" s="61">
        <f t="shared" si="43"/>
        <v>9</v>
      </c>
      <c r="S33" s="61">
        <f t="shared" si="43"/>
        <v>13</v>
      </c>
      <c r="T33" s="61"/>
      <c r="U33" s="50"/>
      <c r="V33" s="50"/>
      <c r="W33" s="50"/>
      <c r="X33" s="50"/>
      <c r="Y33" s="50"/>
      <c r="Z33" s="50"/>
      <c r="AA33" s="49"/>
    </row>
    <row r="34" ht="15.75" customHeight="1">
      <c r="A34" s="50"/>
      <c r="B34" s="50" t="s">
        <v>106</v>
      </c>
      <c r="C34" s="50">
        <v>-100.0</v>
      </c>
      <c r="D34" s="50">
        <v>-220.0</v>
      </c>
      <c r="E34" s="50">
        <v>-1200.0</v>
      </c>
      <c r="F34" s="50">
        <v>-2300.0</v>
      </c>
      <c r="G34" s="50">
        <v>-4200.0</v>
      </c>
      <c r="H34" s="50"/>
      <c r="I34" s="60">
        <f t="shared" ref="I34:M34" si="44">C34/C$42</f>
        <v>-0.001386384539</v>
      </c>
      <c r="J34" s="60">
        <f t="shared" si="44"/>
        <v>-0.002738019113</v>
      </c>
      <c r="K34" s="60">
        <f t="shared" si="44"/>
        <v>-0.003739132445</v>
      </c>
      <c r="L34" s="60">
        <f t="shared" si="44"/>
        <v>-0.006553172183</v>
      </c>
      <c r="M34" s="60">
        <f t="shared" si="44"/>
        <v>-0.01305054558</v>
      </c>
      <c r="N34" s="50"/>
      <c r="O34" s="61">
        <f t="shared" si="45"/>
        <v>1</v>
      </c>
      <c r="P34" s="61">
        <f t="shared" ref="P34:S34" si="46">IFERROR(D34/$C34,0)</f>
        <v>2.2</v>
      </c>
      <c r="Q34" s="61">
        <f t="shared" si="46"/>
        <v>12</v>
      </c>
      <c r="R34" s="61">
        <f t="shared" si="46"/>
        <v>23</v>
      </c>
      <c r="S34" s="61">
        <f t="shared" si="46"/>
        <v>42</v>
      </c>
      <c r="T34" s="61"/>
      <c r="U34" s="50"/>
      <c r="V34" s="50"/>
      <c r="W34" s="50"/>
      <c r="X34" s="50"/>
      <c r="Y34" s="50"/>
      <c r="Z34" s="50"/>
      <c r="AA34" s="49"/>
    </row>
    <row r="35" ht="15.75" customHeight="1">
      <c r="A35" s="50"/>
      <c r="B35" s="50" t="s">
        <v>107</v>
      </c>
      <c r="C35" s="50">
        <v>10000.0</v>
      </c>
      <c r="D35" s="50">
        <v>20000.0</v>
      </c>
      <c r="E35" s="50">
        <v>50000.0</v>
      </c>
      <c r="F35" s="50">
        <v>11000.0</v>
      </c>
      <c r="G35" s="50">
        <v>125000.0</v>
      </c>
      <c r="H35" s="50"/>
      <c r="I35" s="60">
        <f t="shared" ref="I35:M35" si="47">C35/C$42</f>
        <v>0.1386384539</v>
      </c>
      <c r="J35" s="60">
        <f t="shared" si="47"/>
        <v>0.2489108284</v>
      </c>
      <c r="K35" s="60">
        <f t="shared" si="47"/>
        <v>0.1557971852</v>
      </c>
      <c r="L35" s="60">
        <f t="shared" si="47"/>
        <v>0.03134125826</v>
      </c>
      <c r="M35" s="60">
        <f t="shared" si="47"/>
        <v>0.3884090947</v>
      </c>
      <c r="N35" s="50"/>
      <c r="O35" s="61">
        <f t="shared" si="45"/>
        <v>1</v>
      </c>
      <c r="P35" s="61">
        <f t="shared" ref="P35:S35" si="48">IFERROR(D35/$C35,0)</f>
        <v>2</v>
      </c>
      <c r="Q35" s="61">
        <f t="shared" si="48"/>
        <v>5</v>
      </c>
      <c r="R35" s="61">
        <f t="shared" si="48"/>
        <v>1.1</v>
      </c>
      <c r="S35" s="61">
        <f t="shared" si="48"/>
        <v>12.5</v>
      </c>
      <c r="T35" s="61"/>
      <c r="U35" s="50"/>
      <c r="V35" s="50"/>
      <c r="W35" s="50"/>
      <c r="X35" s="50"/>
      <c r="Y35" s="50"/>
      <c r="Z35" s="50"/>
      <c r="AA35" s="49"/>
    </row>
    <row r="36" ht="15.75" customHeight="1">
      <c r="A36" s="50"/>
      <c r="B36" s="50" t="s">
        <v>108</v>
      </c>
      <c r="C36" s="62">
        <v>-520.0</v>
      </c>
      <c r="D36" s="62">
        <v>-1200.0</v>
      </c>
      <c r="E36" s="62">
        <v>-4420.0</v>
      </c>
      <c r="F36" s="62">
        <v>-7820.0</v>
      </c>
      <c r="G36" s="62">
        <v>-12920.0</v>
      </c>
      <c r="H36" s="50"/>
      <c r="I36" s="60">
        <f t="shared" ref="I36:M36" si="49">C36/C$42</f>
        <v>-0.007209199604</v>
      </c>
      <c r="J36" s="60">
        <f t="shared" si="49"/>
        <v>-0.01493464971</v>
      </c>
      <c r="K36" s="60">
        <f t="shared" si="49"/>
        <v>-0.01377247117</v>
      </c>
      <c r="L36" s="60">
        <f t="shared" si="49"/>
        <v>-0.02228078542</v>
      </c>
      <c r="M36" s="60">
        <f t="shared" si="49"/>
        <v>-0.04014596403</v>
      </c>
      <c r="N36" s="50"/>
      <c r="O36" s="61">
        <f t="shared" si="45"/>
        <v>1</v>
      </c>
      <c r="P36" s="61">
        <f t="shared" ref="P36:S36" si="50">IFERROR(D36/$C36,0)</f>
        <v>2.307692308</v>
      </c>
      <c r="Q36" s="61">
        <f t="shared" si="50"/>
        <v>8.5</v>
      </c>
      <c r="R36" s="61">
        <f t="shared" si="50"/>
        <v>15.03846154</v>
      </c>
      <c r="S36" s="61">
        <f t="shared" si="50"/>
        <v>24.84615385</v>
      </c>
      <c r="T36" s="61"/>
      <c r="U36" s="50"/>
      <c r="V36" s="50"/>
      <c r="W36" s="50"/>
      <c r="X36" s="50"/>
      <c r="Y36" s="50"/>
      <c r="Z36" s="50"/>
      <c r="AA36" s="49"/>
    </row>
    <row r="37" ht="15.75" customHeight="1">
      <c r="A37" s="50"/>
      <c r="B37" s="63" t="s">
        <v>109</v>
      </c>
      <c r="C37" s="64">
        <f t="shared" ref="C37:G37" si="51">SUM(C33:C36)</f>
        <v>13380</v>
      </c>
      <c r="D37" s="64">
        <f t="shared" si="51"/>
        <v>30580</v>
      </c>
      <c r="E37" s="64">
        <f t="shared" si="51"/>
        <v>65380</v>
      </c>
      <c r="F37" s="64">
        <f t="shared" si="51"/>
        <v>36880</v>
      </c>
      <c r="G37" s="64">
        <f t="shared" si="51"/>
        <v>159880</v>
      </c>
      <c r="H37" s="50"/>
      <c r="I37" s="65">
        <f t="shared" ref="I37:M37" si="52">C37/C$42</f>
        <v>0.1854982514</v>
      </c>
      <c r="J37" s="66">
        <f t="shared" si="52"/>
        <v>0.3805846567</v>
      </c>
      <c r="K37" s="66">
        <f t="shared" si="52"/>
        <v>0.2037203994</v>
      </c>
      <c r="L37" s="66">
        <f t="shared" si="52"/>
        <v>0.1050786913</v>
      </c>
      <c r="M37" s="67">
        <f t="shared" si="52"/>
        <v>0.4967907685</v>
      </c>
      <c r="N37" s="50"/>
      <c r="O37" s="68">
        <f t="shared" si="45"/>
        <v>1</v>
      </c>
      <c r="P37" s="69">
        <f t="shared" ref="P37:S37" si="53">IFERROR(D37/$C37,0)</f>
        <v>2.285500747</v>
      </c>
      <c r="Q37" s="69">
        <f t="shared" si="53"/>
        <v>4.886397608</v>
      </c>
      <c r="R37" s="69">
        <f t="shared" si="53"/>
        <v>2.756352765</v>
      </c>
      <c r="S37" s="70">
        <f t="shared" si="53"/>
        <v>11.94917788</v>
      </c>
      <c r="T37" s="71"/>
      <c r="U37" s="63"/>
      <c r="V37" s="64"/>
      <c r="W37" s="64"/>
      <c r="X37" s="64"/>
      <c r="Y37" s="64"/>
      <c r="Z37" s="64"/>
      <c r="AA37" s="49"/>
    </row>
    <row r="38" ht="15.75" customHeight="1">
      <c r="A38" s="50"/>
      <c r="B38" s="50" t="s">
        <v>110</v>
      </c>
      <c r="C38" s="50">
        <v>0.0</v>
      </c>
      <c r="D38" s="50">
        <v>6350.0</v>
      </c>
      <c r="E38" s="50">
        <v>11800.0</v>
      </c>
      <c r="F38" s="50">
        <v>12000.0</v>
      </c>
      <c r="G38" s="50">
        <v>49500.0</v>
      </c>
      <c r="H38" s="50"/>
      <c r="I38" s="60">
        <f t="shared" ref="I38:M38" si="54">C38/C$42</f>
        <v>0</v>
      </c>
      <c r="J38" s="60">
        <f t="shared" si="54"/>
        <v>0.07902918803</v>
      </c>
      <c r="K38" s="60">
        <f t="shared" si="54"/>
        <v>0.03676813571</v>
      </c>
      <c r="L38" s="60">
        <f t="shared" si="54"/>
        <v>0.03419046356</v>
      </c>
      <c r="M38" s="60">
        <f t="shared" si="54"/>
        <v>0.1538100015</v>
      </c>
      <c r="N38" s="50"/>
      <c r="O38" s="61">
        <f t="shared" si="45"/>
        <v>0</v>
      </c>
      <c r="P38" s="61">
        <f t="shared" ref="P38:S38" si="55">IFERROR(D38/$C38,0)</f>
        <v>0</v>
      </c>
      <c r="Q38" s="61">
        <f t="shared" si="55"/>
        <v>0</v>
      </c>
      <c r="R38" s="61">
        <f t="shared" si="55"/>
        <v>0</v>
      </c>
      <c r="S38" s="61">
        <f t="shared" si="55"/>
        <v>0</v>
      </c>
      <c r="T38" s="61"/>
      <c r="U38" s="50"/>
      <c r="V38" s="50"/>
      <c r="W38" s="50"/>
      <c r="X38" s="50"/>
      <c r="Y38" s="50"/>
      <c r="Z38" s="50"/>
      <c r="AA38" s="49"/>
    </row>
    <row r="39" ht="15.75" customHeight="1">
      <c r="A39" s="50"/>
      <c r="B39" s="50" t="s">
        <v>111</v>
      </c>
      <c r="C39" s="50">
        <v>1576.45</v>
      </c>
      <c r="D39" s="50">
        <v>11051.41</v>
      </c>
      <c r="E39" s="50">
        <v>22000.0</v>
      </c>
      <c r="F39" s="50">
        <v>18000.0</v>
      </c>
      <c r="G39" s="50">
        <v>8000.0</v>
      </c>
      <c r="H39" s="50"/>
      <c r="I39" s="60">
        <f t="shared" ref="I39:M39" si="56">C39/C$42</f>
        <v>0.02185565907</v>
      </c>
      <c r="J39" s="60">
        <f t="shared" si="56"/>
        <v>0.1375407809</v>
      </c>
      <c r="K39" s="60">
        <f t="shared" si="56"/>
        <v>0.0685507615</v>
      </c>
      <c r="L39" s="60">
        <f t="shared" si="56"/>
        <v>0.05128569534</v>
      </c>
      <c r="M39" s="60">
        <f t="shared" si="56"/>
        <v>0.02485818206</v>
      </c>
      <c r="N39" s="50"/>
      <c r="O39" s="61">
        <f t="shared" si="45"/>
        <v>1</v>
      </c>
      <c r="P39" s="61">
        <f t="shared" ref="P39:S39" si="57">IFERROR(D39/$C39,0)</f>
        <v>7.010314314</v>
      </c>
      <c r="Q39" s="61">
        <f t="shared" si="57"/>
        <v>13.95540613</v>
      </c>
      <c r="R39" s="61">
        <f t="shared" si="57"/>
        <v>11.41805956</v>
      </c>
      <c r="S39" s="61">
        <f t="shared" si="57"/>
        <v>5.07469314</v>
      </c>
      <c r="T39" s="61"/>
      <c r="U39" s="50"/>
      <c r="V39" s="50"/>
      <c r="W39" s="50"/>
      <c r="X39" s="50"/>
      <c r="Y39" s="50"/>
      <c r="Z39" s="50"/>
      <c r="AA39" s="49"/>
    </row>
    <row r="40" ht="15.75" customHeight="1">
      <c r="A40" s="50"/>
      <c r="B40" s="50" t="s">
        <v>112</v>
      </c>
      <c r="C40" s="62">
        <v>57173.61</v>
      </c>
      <c r="D40" s="62">
        <v>32368.649999999994</v>
      </c>
      <c r="E40" s="62">
        <v>221750.06</v>
      </c>
      <c r="F40" s="62">
        <v>284095.06</v>
      </c>
      <c r="G40" s="62">
        <v>104445.62585321383</v>
      </c>
      <c r="H40" s="50"/>
      <c r="I40" s="60">
        <f t="shared" ref="I40:M40" si="58">C40/C$42</f>
        <v>0.7926460896</v>
      </c>
      <c r="J40" s="60">
        <f t="shared" si="58"/>
        <v>0.4028453744</v>
      </c>
      <c r="K40" s="60">
        <f t="shared" si="58"/>
        <v>0.6909607034</v>
      </c>
      <c r="L40" s="60">
        <f t="shared" si="58"/>
        <v>0.8094451497</v>
      </c>
      <c r="M40" s="60">
        <f t="shared" si="58"/>
        <v>0.3245410479</v>
      </c>
      <c r="N40" s="50"/>
      <c r="O40" s="61">
        <f t="shared" si="45"/>
        <v>1</v>
      </c>
      <c r="P40" s="61">
        <f t="shared" ref="P40:S40" si="59">IFERROR(D40/$C40,0)</f>
        <v>0.566146689</v>
      </c>
      <c r="Q40" s="61">
        <f t="shared" si="59"/>
        <v>3.878538717</v>
      </c>
      <c r="R40" s="61">
        <f t="shared" si="59"/>
        <v>4.968989364</v>
      </c>
      <c r="S40" s="61">
        <f t="shared" si="59"/>
        <v>1.826815306</v>
      </c>
      <c r="T40" s="61"/>
      <c r="U40" s="50"/>
      <c r="V40" s="50"/>
      <c r="W40" s="50"/>
      <c r="X40" s="50"/>
      <c r="Y40" s="50"/>
      <c r="Z40" s="50"/>
      <c r="AA40" s="49"/>
    </row>
    <row r="41" ht="15.75" customHeight="1">
      <c r="A41" s="50"/>
      <c r="B41" s="63" t="s">
        <v>113</v>
      </c>
      <c r="C41" s="74">
        <f t="shared" ref="C41:G41" si="60">SUM(C38:C40)</f>
        <v>58750.06</v>
      </c>
      <c r="D41" s="74">
        <f t="shared" si="60"/>
        <v>49770.06</v>
      </c>
      <c r="E41" s="74">
        <f t="shared" si="60"/>
        <v>255550.06</v>
      </c>
      <c r="F41" s="74">
        <f t="shared" si="60"/>
        <v>314095.06</v>
      </c>
      <c r="G41" s="74">
        <f t="shared" si="60"/>
        <v>161945.6259</v>
      </c>
      <c r="H41" s="50"/>
      <c r="I41" s="75">
        <f t="shared" ref="I41:M41" si="61">C41/C$42</f>
        <v>0.8145017486</v>
      </c>
      <c r="J41" s="75">
        <f t="shared" si="61"/>
        <v>0.6194153433</v>
      </c>
      <c r="K41" s="75">
        <f t="shared" si="61"/>
        <v>0.7962796006</v>
      </c>
      <c r="L41" s="75">
        <f t="shared" si="61"/>
        <v>0.8949213087</v>
      </c>
      <c r="M41" s="75">
        <f t="shared" si="61"/>
        <v>0.5032092315</v>
      </c>
      <c r="N41" s="50"/>
      <c r="O41" s="61">
        <f t="shared" si="45"/>
        <v>1</v>
      </c>
      <c r="P41" s="61">
        <f t="shared" ref="P41:S41" si="62">IFERROR(D41/$C41,0)</f>
        <v>0.8471490923</v>
      </c>
      <c r="Q41" s="61">
        <f t="shared" si="62"/>
        <v>4.349783813</v>
      </c>
      <c r="R41" s="61">
        <f t="shared" si="62"/>
        <v>5.346293434</v>
      </c>
      <c r="S41" s="61">
        <f t="shared" si="62"/>
        <v>2.756518476</v>
      </c>
      <c r="T41" s="61"/>
      <c r="U41" s="63"/>
      <c r="V41" s="64"/>
      <c r="W41" s="64"/>
      <c r="X41" s="64"/>
      <c r="Y41" s="64"/>
      <c r="Z41" s="64"/>
      <c r="AA41" s="49"/>
    </row>
    <row r="42" ht="15.75" customHeight="1">
      <c r="A42" s="50"/>
      <c r="B42" s="63" t="s">
        <v>114</v>
      </c>
      <c r="C42" s="72">
        <f t="shared" ref="C42:G42" si="63">+C37+C41</f>
        <v>72130.06</v>
      </c>
      <c r="D42" s="72">
        <f t="shared" si="63"/>
        <v>80350.06</v>
      </c>
      <c r="E42" s="72">
        <f t="shared" si="63"/>
        <v>320930.06</v>
      </c>
      <c r="F42" s="72">
        <f t="shared" si="63"/>
        <v>350975.06</v>
      </c>
      <c r="G42" s="72">
        <f t="shared" si="63"/>
        <v>321825.6259</v>
      </c>
      <c r="H42" s="50"/>
      <c r="I42" s="65">
        <f t="shared" ref="I42:M42" si="64">C42/C$42</f>
        <v>1</v>
      </c>
      <c r="J42" s="66">
        <f t="shared" si="64"/>
        <v>1</v>
      </c>
      <c r="K42" s="66">
        <f t="shared" si="64"/>
        <v>1</v>
      </c>
      <c r="L42" s="66">
        <f t="shared" si="64"/>
        <v>1</v>
      </c>
      <c r="M42" s="67">
        <f t="shared" si="64"/>
        <v>1</v>
      </c>
      <c r="N42" s="50"/>
      <c r="O42" s="68">
        <f t="shared" si="45"/>
        <v>1</v>
      </c>
      <c r="P42" s="69">
        <f t="shared" ref="P42:S42" si="65">IFERROR(D42/$C42,0)</f>
        <v>1.113960809</v>
      </c>
      <c r="Q42" s="69">
        <f t="shared" si="65"/>
        <v>4.449324734</v>
      </c>
      <c r="R42" s="69">
        <f t="shared" si="65"/>
        <v>4.865863969</v>
      </c>
      <c r="S42" s="70">
        <f t="shared" si="65"/>
        <v>4.46174072</v>
      </c>
      <c r="T42" s="71"/>
      <c r="U42" s="63"/>
      <c r="V42" s="64"/>
      <c r="W42" s="64"/>
      <c r="X42" s="64"/>
      <c r="Y42" s="64"/>
      <c r="Z42" s="64"/>
      <c r="AA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60"/>
      <c r="J43" s="60"/>
      <c r="K43" s="60"/>
      <c r="L43" s="60"/>
      <c r="M43" s="60"/>
      <c r="N43" s="50"/>
      <c r="O43" s="61"/>
      <c r="P43" s="61"/>
      <c r="Q43" s="61"/>
      <c r="R43" s="61"/>
      <c r="S43" s="61"/>
      <c r="T43" s="61"/>
      <c r="U43" s="50"/>
      <c r="V43" s="50"/>
      <c r="W43" s="50"/>
      <c r="X43" s="50"/>
      <c r="Y43" s="50"/>
      <c r="Z43" s="50"/>
      <c r="AA43" s="49"/>
    </row>
    <row r="44" ht="15.75" customHeight="1">
      <c r="A44" s="50"/>
      <c r="B44" s="50" t="s">
        <v>115</v>
      </c>
      <c r="C44" s="50">
        <v>80000.0</v>
      </c>
      <c r="D44" s="50">
        <v>120000.0</v>
      </c>
      <c r="E44" s="50">
        <v>80000.0</v>
      </c>
      <c r="F44" s="50">
        <v>60000.0</v>
      </c>
      <c r="G44" s="50">
        <v>30000.0</v>
      </c>
      <c r="H44" s="50"/>
      <c r="I44" s="60">
        <f t="shared" ref="I44:M44" si="66">C44/C$42</f>
        <v>1.109107631</v>
      </c>
      <c r="J44" s="60">
        <f t="shared" si="66"/>
        <v>1.493464971</v>
      </c>
      <c r="K44" s="60">
        <f t="shared" si="66"/>
        <v>0.2492754963</v>
      </c>
      <c r="L44" s="60">
        <f t="shared" si="66"/>
        <v>0.1709523178</v>
      </c>
      <c r="M44" s="60">
        <f t="shared" si="66"/>
        <v>0.09321818274</v>
      </c>
      <c r="N44" s="50"/>
      <c r="O44" s="61">
        <f t="shared" ref="O44:O48" si="69">IFERROR(C44/C44,0)</f>
        <v>1</v>
      </c>
      <c r="P44" s="61">
        <f t="shared" ref="P44:S44" si="67">IFERROR(D44/$C44,0)</f>
        <v>1.5</v>
      </c>
      <c r="Q44" s="61">
        <f t="shared" si="67"/>
        <v>1</v>
      </c>
      <c r="R44" s="61">
        <f t="shared" si="67"/>
        <v>0.75</v>
      </c>
      <c r="S44" s="61">
        <f t="shared" si="67"/>
        <v>0.375</v>
      </c>
      <c r="T44" s="61"/>
      <c r="U44" s="50"/>
      <c r="V44" s="50"/>
      <c r="W44" s="50"/>
      <c r="X44" s="50"/>
      <c r="Y44" s="50"/>
      <c r="Z44" s="50"/>
      <c r="AA44" s="49"/>
    </row>
    <row r="45" ht="15.75" customHeight="1">
      <c r="A45" s="50"/>
      <c r="B45" s="50" t="s">
        <v>116</v>
      </c>
      <c r="C45" s="50">
        <v>0.0</v>
      </c>
      <c r="D45" s="50">
        <v>2500.0</v>
      </c>
      <c r="E45" s="50">
        <v>3200.0</v>
      </c>
      <c r="F45" s="50">
        <v>15000.0</v>
      </c>
      <c r="G45" s="50">
        <v>25000.0</v>
      </c>
      <c r="H45" s="50"/>
      <c r="I45" s="60">
        <f t="shared" ref="I45:M45" si="68">C45/C$42</f>
        <v>0</v>
      </c>
      <c r="J45" s="60">
        <f t="shared" si="68"/>
        <v>0.03111385356</v>
      </c>
      <c r="K45" s="60">
        <f t="shared" si="68"/>
        <v>0.009971019854</v>
      </c>
      <c r="L45" s="60">
        <f t="shared" si="68"/>
        <v>0.04273807945</v>
      </c>
      <c r="M45" s="60">
        <f t="shared" si="68"/>
        <v>0.07768181895</v>
      </c>
      <c r="N45" s="50"/>
      <c r="O45" s="61">
        <f t="shared" si="69"/>
        <v>0</v>
      </c>
      <c r="P45" s="61">
        <f t="shared" ref="P45:S45" si="70">IFERROR(D45/$C45,0)</f>
        <v>0</v>
      </c>
      <c r="Q45" s="61">
        <f t="shared" si="70"/>
        <v>0</v>
      </c>
      <c r="R45" s="61">
        <f t="shared" si="70"/>
        <v>0</v>
      </c>
      <c r="S45" s="61">
        <f t="shared" si="70"/>
        <v>0</v>
      </c>
      <c r="T45" s="61"/>
      <c r="U45" s="50"/>
      <c r="V45" s="50"/>
      <c r="W45" s="50"/>
      <c r="X45" s="50"/>
      <c r="Y45" s="50"/>
      <c r="Z45" s="50"/>
      <c r="AA45" s="49"/>
    </row>
    <row r="46" ht="15.75" customHeight="1">
      <c r="A46" s="50"/>
      <c r="B46" s="50" t="s">
        <v>117</v>
      </c>
      <c r="C46" s="50">
        <v>300.0</v>
      </c>
      <c r="D46" s="50">
        <v>120.0</v>
      </c>
      <c r="E46" s="50">
        <v>250.0</v>
      </c>
      <c r="F46" s="50">
        <v>320.0</v>
      </c>
      <c r="G46" s="50">
        <v>650.0</v>
      </c>
      <c r="H46" s="50"/>
      <c r="I46" s="60">
        <f t="shared" ref="I46:M46" si="71">C46/C$42</f>
        <v>0.004159153618</v>
      </c>
      <c r="J46" s="60">
        <f t="shared" si="71"/>
        <v>0.001493464971</v>
      </c>
      <c r="K46" s="60">
        <f t="shared" si="71"/>
        <v>0.0007789859261</v>
      </c>
      <c r="L46" s="60">
        <f t="shared" si="71"/>
        <v>0.000911745695</v>
      </c>
      <c r="M46" s="60">
        <f t="shared" si="71"/>
        <v>0.002019727293</v>
      </c>
      <c r="N46" s="50"/>
      <c r="O46" s="61">
        <f t="shared" si="69"/>
        <v>1</v>
      </c>
      <c r="P46" s="61">
        <f t="shared" ref="P46:S46" si="72">IFERROR(D46/$C46,0)</f>
        <v>0.4</v>
      </c>
      <c r="Q46" s="61">
        <f t="shared" si="72"/>
        <v>0.8333333333</v>
      </c>
      <c r="R46" s="61">
        <f t="shared" si="72"/>
        <v>1.066666667</v>
      </c>
      <c r="S46" s="61">
        <f t="shared" si="72"/>
        <v>2.166666667</v>
      </c>
      <c r="T46" s="61"/>
      <c r="U46" s="50"/>
      <c r="V46" s="50"/>
      <c r="W46" s="50"/>
      <c r="X46" s="50"/>
      <c r="Y46" s="50"/>
      <c r="Z46" s="50"/>
      <c r="AA46" s="49"/>
    </row>
    <row r="47" ht="15.75" customHeight="1">
      <c r="A47" s="50"/>
      <c r="B47" s="50" t="s">
        <v>118</v>
      </c>
      <c r="C47" s="62">
        <v>0.0</v>
      </c>
      <c r="D47" s="62">
        <v>0.0</v>
      </c>
      <c r="E47" s="62">
        <v>250.0</v>
      </c>
      <c r="F47" s="62">
        <v>1200.0</v>
      </c>
      <c r="G47" s="62">
        <v>2350.0</v>
      </c>
      <c r="H47" s="50"/>
      <c r="I47" s="60">
        <f t="shared" ref="I47:M47" si="73">C47/C$42</f>
        <v>0</v>
      </c>
      <c r="J47" s="60">
        <f t="shared" si="73"/>
        <v>0</v>
      </c>
      <c r="K47" s="60">
        <f t="shared" si="73"/>
        <v>0.0007789859261</v>
      </c>
      <c r="L47" s="60">
        <f t="shared" si="73"/>
        <v>0.003419046356</v>
      </c>
      <c r="M47" s="60">
        <f t="shared" si="73"/>
        <v>0.007302090981</v>
      </c>
      <c r="N47" s="50"/>
      <c r="O47" s="61">
        <f t="shared" si="69"/>
        <v>0</v>
      </c>
      <c r="P47" s="61">
        <f t="shared" ref="P47:S47" si="74">IFERROR(D47/$C47,0)</f>
        <v>0</v>
      </c>
      <c r="Q47" s="61">
        <f t="shared" si="74"/>
        <v>0</v>
      </c>
      <c r="R47" s="61">
        <f t="shared" si="74"/>
        <v>0</v>
      </c>
      <c r="S47" s="61">
        <f t="shared" si="74"/>
        <v>0</v>
      </c>
      <c r="T47" s="61"/>
      <c r="U47" s="50"/>
      <c r="V47" s="50"/>
      <c r="W47" s="50"/>
      <c r="X47" s="50"/>
      <c r="Y47" s="50"/>
      <c r="Z47" s="50"/>
      <c r="AA47" s="49"/>
    </row>
    <row r="48" ht="15.75" customHeight="1">
      <c r="A48" s="50"/>
      <c r="B48" s="63" t="s">
        <v>119</v>
      </c>
      <c r="C48" s="76">
        <f t="shared" ref="C48:G48" si="75">SUM(C44:C47)</f>
        <v>80300</v>
      </c>
      <c r="D48" s="76">
        <f t="shared" si="75"/>
        <v>122620</v>
      </c>
      <c r="E48" s="76">
        <f t="shared" si="75"/>
        <v>83700</v>
      </c>
      <c r="F48" s="76">
        <f t="shared" si="75"/>
        <v>76520</v>
      </c>
      <c r="G48" s="76">
        <f t="shared" si="75"/>
        <v>58000</v>
      </c>
      <c r="H48" s="50"/>
      <c r="I48" s="65">
        <f t="shared" ref="I48:M48" si="76">C48/C$42</f>
        <v>1.113266785</v>
      </c>
      <c r="J48" s="66">
        <f t="shared" si="76"/>
        <v>1.526072289</v>
      </c>
      <c r="K48" s="66">
        <f t="shared" si="76"/>
        <v>0.2608044881</v>
      </c>
      <c r="L48" s="66">
        <f t="shared" si="76"/>
        <v>0.2180211893</v>
      </c>
      <c r="M48" s="67">
        <f t="shared" si="76"/>
        <v>0.18022182</v>
      </c>
      <c r="N48" s="50"/>
      <c r="O48" s="68">
        <f t="shared" si="69"/>
        <v>1</v>
      </c>
      <c r="P48" s="69">
        <f t="shared" ref="P48:S48" si="77">IFERROR(D48/$C48,0)</f>
        <v>1.527023661</v>
      </c>
      <c r="Q48" s="69">
        <f t="shared" si="77"/>
        <v>1.04234122</v>
      </c>
      <c r="R48" s="69">
        <f t="shared" si="77"/>
        <v>0.9529265255</v>
      </c>
      <c r="S48" s="70">
        <f t="shared" si="77"/>
        <v>0.7222914072</v>
      </c>
      <c r="T48" s="61"/>
      <c r="U48" s="63"/>
      <c r="V48" s="64"/>
      <c r="W48" s="64"/>
      <c r="X48" s="64"/>
      <c r="Y48" s="64"/>
      <c r="Z48" s="64"/>
      <c r="AA48" s="49"/>
    </row>
    <row r="49" ht="15.75" customHeight="1">
      <c r="A49" s="50"/>
      <c r="B49" s="63"/>
      <c r="C49" s="64"/>
      <c r="D49" s="64"/>
      <c r="E49" s="64"/>
      <c r="F49" s="64"/>
      <c r="G49" s="64"/>
      <c r="H49" s="50"/>
      <c r="I49" s="50"/>
      <c r="J49" s="50"/>
      <c r="K49" s="50"/>
      <c r="L49" s="50"/>
      <c r="M49" s="50"/>
      <c r="N49" s="50"/>
      <c r="O49" s="61"/>
      <c r="P49" s="61"/>
      <c r="Q49" s="61"/>
      <c r="R49" s="61"/>
      <c r="S49" s="61"/>
      <c r="T49" s="61"/>
      <c r="U49" s="63"/>
      <c r="V49" s="64"/>
      <c r="W49" s="64"/>
      <c r="X49" s="64"/>
      <c r="Y49" s="64"/>
      <c r="Z49" s="64"/>
      <c r="AA49" s="49"/>
    </row>
    <row r="50" ht="15.75" customHeight="1">
      <c r="A50" s="50"/>
      <c r="B50" s="50" t="s">
        <v>120</v>
      </c>
      <c r="C50" s="50">
        <v>0.0</v>
      </c>
      <c r="D50" s="50">
        <v>0.0</v>
      </c>
      <c r="E50" s="50">
        <v>250000.0</v>
      </c>
      <c r="F50" s="50">
        <v>200000.0</v>
      </c>
      <c r="G50" s="50">
        <v>135320.56585321383</v>
      </c>
      <c r="H50" s="50"/>
      <c r="I50" s="60">
        <f t="shared" ref="I50:M50" si="78">C50/C$42</f>
        <v>0</v>
      </c>
      <c r="J50" s="60">
        <f t="shared" si="78"/>
        <v>0</v>
      </c>
      <c r="K50" s="60">
        <f t="shared" si="78"/>
        <v>0.7789859261</v>
      </c>
      <c r="L50" s="60">
        <f t="shared" si="78"/>
        <v>0.5698410594</v>
      </c>
      <c r="M50" s="60">
        <f t="shared" si="78"/>
        <v>0.4204779079</v>
      </c>
      <c r="N50" s="50"/>
      <c r="O50" s="61">
        <f>IFERROR(C50/C50,0)</f>
        <v>0</v>
      </c>
      <c r="P50" s="61">
        <f t="shared" ref="P50:S50" si="79">IFERROR(D50/$C50,0)</f>
        <v>0</v>
      </c>
      <c r="Q50" s="61">
        <f t="shared" si="79"/>
        <v>0</v>
      </c>
      <c r="R50" s="61">
        <f t="shared" si="79"/>
        <v>0</v>
      </c>
      <c r="S50" s="61">
        <f t="shared" si="79"/>
        <v>0</v>
      </c>
      <c r="T50" s="61"/>
      <c r="U50" s="50"/>
      <c r="V50" s="50"/>
      <c r="W50" s="50"/>
      <c r="X50" s="50"/>
      <c r="Y50" s="50"/>
      <c r="Z50" s="50"/>
      <c r="AA50" s="49"/>
    </row>
    <row r="51" ht="15.75" customHeight="1">
      <c r="A51" s="50"/>
      <c r="B51" s="63"/>
      <c r="C51" s="74"/>
      <c r="D51" s="74"/>
      <c r="E51" s="74"/>
      <c r="F51" s="74"/>
      <c r="G51" s="74"/>
      <c r="H51" s="50"/>
      <c r="I51" s="75"/>
      <c r="J51" s="75"/>
      <c r="K51" s="75"/>
      <c r="L51" s="75"/>
      <c r="M51" s="75"/>
      <c r="N51" s="50"/>
      <c r="O51" s="61"/>
      <c r="P51" s="61"/>
      <c r="Q51" s="61"/>
      <c r="R51" s="61"/>
      <c r="S51" s="61"/>
      <c r="T51" s="61"/>
      <c r="U51" s="63"/>
      <c r="V51" s="64"/>
      <c r="W51" s="64"/>
      <c r="X51" s="64"/>
      <c r="Y51" s="64"/>
      <c r="Z51" s="64"/>
      <c r="AA51" s="49"/>
    </row>
    <row r="52" ht="15.75" customHeight="1">
      <c r="A52" s="50"/>
      <c r="B52" s="63" t="s">
        <v>121</v>
      </c>
      <c r="C52" s="64">
        <f t="shared" ref="C52:G52" si="80">+C50+C48</f>
        <v>80300</v>
      </c>
      <c r="D52" s="64">
        <f t="shared" si="80"/>
        <v>122620</v>
      </c>
      <c r="E52" s="64">
        <f t="shared" si="80"/>
        <v>333700</v>
      </c>
      <c r="F52" s="64">
        <f t="shared" si="80"/>
        <v>276520</v>
      </c>
      <c r="G52" s="64">
        <f t="shared" si="80"/>
        <v>193320.5659</v>
      </c>
      <c r="H52" s="50"/>
      <c r="I52" s="65">
        <f t="shared" ref="I52:M52" si="81">C52/C$42</f>
        <v>1.113266785</v>
      </c>
      <c r="J52" s="66">
        <f t="shared" si="81"/>
        <v>1.526072289</v>
      </c>
      <c r="K52" s="66">
        <f t="shared" si="81"/>
        <v>1.039790414</v>
      </c>
      <c r="L52" s="66">
        <f t="shared" si="81"/>
        <v>0.7878622487</v>
      </c>
      <c r="M52" s="67">
        <f t="shared" si="81"/>
        <v>0.6006997278</v>
      </c>
      <c r="N52" s="50"/>
      <c r="O52" s="68">
        <f>IFERROR(C52/C52,0)</f>
        <v>1</v>
      </c>
      <c r="P52" s="69">
        <f t="shared" ref="P52:S52" si="82">IFERROR(D52/$C52,0)</f>
        <v>1.527023661</v>
      </c>
      <c r="Q52" s="69">
        <f t="shared" si="82"/>
        <v>4.155666252</v>
      </c>
      <c r="R52" s="69">
        <f t="shared" si="82"/>
        <v>3.44358655</v>
      </c>
      <c r="S52" s="70">
        <f t="shared" si="82"/>
        <v>2.407479027</v>
      </c>
      <c r="T52" s="71"/>
      <c r="U52" s="63"/>
      <c r="V52" s="64"/>
      <c r="W52" s="64"/>
      <c r="X52" s="64"/>
      <c r="Y52" s="64"/>
      <c r="Z52" s="64"/>
      <c r="AA52" s="49"/>
    </row>
    <row r="53" ht="15.75" customHeight="1">
      <c r="A53" s="50"/>
      <c r="B53" s="63"/>
      <c r="C53" s="64"/>
      <c r="D53" s="64"/>
      <c r="E53" s="64"/>
      <c r="F53" s="64"/>
      <c r="G53" s="64"/>
      <c r="H53" s="50"/>
      <c r="I53" s="75"/>
      <c r="J53" s="75"/>
      <c r="K53" s="75"/>
      <c r="L53" s="75"/>
      <c r="M53" s="75"/>
      <c r="N53" s="50"/>
      <c r="O53" s="71"/>
      <c r="P53" s="71"/>
      <c r="Q53" s="71"/>
      <c r="R53" s="71"/>
      <c r="S53" s="71"/>
      <c r="T53" s="71"/>
      <c r="U53" s="63"/>
      <c r="V53" s="64"/>
      <c r="W53" s="64"/>
      <c r="X53" s="64"/>
      <c r="Y53" s="64"/>
      <c r="Z53" s="64"/>
      <c r="AA53" s="49"/>
    </row>
    <row r="54" ht="15.75" customHeight="1">
      <c r="A54" s="50"/>
      <c r="B54" s="50" t="s">
        <v>122</v>
      </c>
      <c r="C54" s="50">
        <v>3000.06</v>
      </c>
      <c r="D54" s="50">
        <v>3000.06</v>
      </c>
      <c r="E54" s="50">
        <v>3000.06</v>
      </c>
      <c r="F54" s="50">
        <v>3000.06</v>
      </c>
      <c r="G54" s="50">
        <v>3000.06</v>
      </c>
      <c r="H54" s="50"/>
      <c r="I54" s="60">
        <f t="shared" ref="I54:M54" si="83">C54/C$42</f>
        <v>0.04159236801</v>
      </c>
      <c r="J54" s="60">
        <f t="shared" si="83"/>
        <v>0.037337371</v>
      </c>
      <c r="K54" s="60">
        <f t="shared" si="83"/>
        <v>0.00934801807</v>
      </c>
      <c r="L54" s="60">
        <f t="shared" si="83"/>
        <v>0.008547786843</v>
      </c>
      <c r="M54" s="60">
        <f t="shared" si="83"/>
        <v>0.00932200471</v>
      </c>
      <c r="N54" s="50"/>
      <c r="O54" s="61">
        <f t="shared" ref="O54:O58" si="86">IFERROR(C54/C54,0)</f>
        <v>1</v>
      </c>
      <c r="P54" s="61">
        <f t="shared" ref="P54:S54" si="84">IFERROR(D54/$C54,0)</f>
        <v>1</v>
      </c>
      <c r="Q54" s="61">
        <f t="shared" si="84"/>
        <v>1</v>
      </c>
      <c r="R54" s="61">
        <f t="shared" si="84"/>
        <v>1</v>
      </c>
      <c r="S54" s="61">
        <f t="shared" si="84"/>
        <v>1</v>
      </c>
      <c r="T54" s="61"/>
      <c r="U54" s="50"/>
      <c r="V54" s="50"/>
      <c r="W54" s="50"/>
      <c r="X54" s="50"/>
      <c r="Y54" s="50"/>
      <c r="Z54" s="50"/>
      <c r="AA54" s="49"/>
    </row>
    <row r="55" ht="15.75" customHeight="1">
      <c r="A55" s="50"/>
      <c r="B55" s="50" t="s">
        <v>123</v>
      </c>
      <c r="C55" s="50">
        <v>800.0</v>
      </c>
      <c r="D55" s="50">
        <v>800.0</v>
      </c>
      <c r="E55" s="50">
        <v>800.0</v>
      </c>
      <c r="F55" s="50">
        <v>800.0</v>
      </c>
      <c r="G55" s="50">
        <v>800.0</v>
      </c>
      <c r="H55" s="50"/>
      <c r="I55" s="60">
        <f t="shared" ref="I55:M55" si="85">C55/C$42</f>
        <v>0.01109107631</v>
      </c>
      <c r="J55" s="60">
        <f t="shared" si="85"/>
        <v>0.009956433138</v>
      </c>
      <c r="K55" s="60">
        <f t="shared" si="85"/>
        <v>0.002492754963</v>
      </c>
      <c r="L55" s="60">
        <f t="shared" si="85"/>
        <v>0.002279364237</v>
      </c>
      <c r="M55" s="60">
        <f t="shared" si="85"/>
        <v>0.002485818206</v>
      </c>
      <c r="N55" s="50"/>
      <c r="O55" s="61">
        <f t="shared" si="86"/>
        <v>1</v>
      </c>
      <c r="P55" s="61">
        <f t="shared" ref="P55:S55" si="87">IFERROR(D55/$C55,0)</f>
        <v>1</v>
      </c>
      <c r="Q55" s="61">
        <f t="shared" si="87"/>
        <v>1</v>
      </c>
      <c r="R55" s="61">
        <f t="shared" si="87"/>
        <v>1</v>
      </c>
      <c r="S55" s="61">
        <f t="shared" si="87"/>
        <v>1</v>
      </c>
      <c r="T55" s="61"/>
      <c r="U55" s="50"/>
      <c r="V55" s="50"/>
      <c r="W55" s="50"/>
      <c r="X55" s="50"/>
      <c r="Y55" s="50"/>
      <c r="Z55" s="50"/>
      <c r="AA55" s="49"/>
    </row>
    <row r="56" ht="15.75" customHeight="1">
      <c r="A56" s="50"/>
      <c r="B56" s="50" t="s">
        <v>124</v>
      </c>
      <c r="C56" s="50">
        <v>0.0</v>
      </c>
      <c r="D56" s="50">
        <f t="shared" ref="D56:G56" si="88">+C56+C57</f>
        <v>-11970</v>
      </c>
      <c r="E56" s="50">
        <f t="shared" si="88"/>
        <v>-46070</v>
      </c>
      <c r="F56" s="50">
        <f t="shared" si="88"/>
        <v>-16570</v>
      </c>
      <c r="G56" s="50">
        <f t="shared" si="88"/>
        <v>70655</v>
      </c>
      <c r="H56" s="50"/>
      <c r="I56" s="60">
        <f t="shared" ref="I56:M56" si="89">C56/C$42</f>
        <v>0</v>
      </c>
      <c r="J56" s="60">
        <f t="shared" si="89"/>
        <v>-0.1489731308</v>
      </c>
      <c r="K56" s="60">
        <f t="shared" si="89"/>
        <v>-0.1435515265</v>
      </c>
      <c r="L56" s="60">
        <f t="shared" si="89"/>
        <v>-0.04721133177</v>
      </c>
      <c r="M56" s="60">
        <f t="shared" si="89"/>
        <v>0.2195443567</v>
      </c>
      <c r="N56" s="50"/>
      <c r="O56" s="61">
        <f t="shared" si="86"/>
        <v>0</v>
      </c>
      <c r="P56" s="61">
        <f t="shared" ref="P56:S56" si="90">IFERROR(D56/$C56,0)</f>
        <v>0</v>
      </c>
      <c r="Q56" s="61">
        <f t="shared" si="90"/>
        <v>0</v>
      </c>
      <c r="R56" s="61">
        <f t="shared" si="90"/>
        <v>0</v>
      </c>
      <c r="S56" s="61">
        <f t="shared" si="90"/>
        <v>0</v>
      </c>
      <c r="T56" s="61"/>
      <c r="U56" s="50"/>
      <c r="V56" s="50"/>
      <c r="W56" s="50"/>
      <c r="X56" s="50"/>
      <c r="Y56" s="50"/>
      <c r="Z56" s="50"/>
      <c r="AA56" s="49"/>
    </row>
    <row r="57" ht="15.75" customHeight="1">
      <c r="A57" s="50"/>
      <c r="B57" s="50" t="s">
        <v>125</v>
      </c>
      <c r="C57" s="62">
        <f t="shared" ref="C57:G57" si="91">+C27</f>
        <v>-11970</v>
      </c>
      <c r="D57" s="62">
        <f t="shared" si="91"/>
        <v>-34100</v>
      </c>
      <c r="E57" s="62">
        <f t="shared" si="91"/>
        <v>29500</v>
      </c>
      <c r="F57" s="62">
        <f t="shared" si="91"/>
        <v>87225</v>
      </c>
      <c r="G57" s="62">
        <f t="shared" si="91"/>
        <v>54050</v>
      </c>
      <c r="H57" s="50"/>
      <c r="I57" s="60">
        <f t="shared" ref="I57:M57" si="92">C57/C$42</f>
        <v>-0.1659502293</v>
      </c>
      <c r="J57" s="60">
        <f t="shared" si="92"/>
        <v>-0.4243929625</v>
      </c>
      <c r="K57" s="60">
        <f t="shared" si="92"/>
        <v>0.09192033928</v>
      </c>
      <c r="L57" s="60">
        <f t="shared" si="92"/>
        <v>0.248521932</v>
      </c>
      <c r="M57" s="60">
        <f t="shared" si="92"/>
        <v>0.1679480926</v>
      </c>
      <c r="N57" s="50"/>
      <c r="O57" s="61">
        <f t="shared" si="86"/>
        <v>1</v>
      </c>
      <c r="P57" s="61">
        <f t="shared" ref="P57:S57" si="93">IFERROR(D57/$C57,0)</f>
        <v>2.848788638</v>
      </c>
      <c r="Q57" s="61">
        <f t="shared" si="93"/>
        <v>-2.46449457</v>
      </c>
      <c r="R57" s="61">
        <f t="shared" si="93"/>
        <v>-7.286967419</v>
      </c>
      <c r="S57" s="61">
        <f t="shared" si="93"/>
        <v>-4.515455305</v>
      </c>
      <c r="T57" s="61"/>
      <c r="U57" s="50"/>
      <c r="V57" s="50"/>
      <c r="W57" s="50"/>
      <c r="X57" s="50"/>
      <c r="Y57" s="50"/>
      <c r="Z57" s="50"/>
      <c r="AA57" s="49"/>
    </row>
    <row r="58" ht="15.75" customHeight="1">
      <c r="A58" s="50"/>
      <c r="B58" s="63" t="s">
        <v>126</v>
      </c>
      <c r="C58" s="64">
        <f t="shared" ref="C58:G58" si="94">SUM(C54:C57)</f>
        <v>-8169.94</v>
      </c>
      <c r="D58" s="64">
        <f t="shared" si="94"/>
        <v>-42269.94</v>
      </c>
      <c r="E58" s="64">
        <f t="shared" si="94"/>
        <v>-12769.94</v>
      </c>
      <c r="F58" s="64">
        <f t="shared" si="94"/>
        <v>74455.06</v>
      </c>
      <c r="G58" s="64">
        <f t="shared" si="94"/>
        <v>128505.06</v>
      </c>
      <c r="H58" s="50"/>
      <c r="I58" s="65">
        <f t="shared" ref="I58:M58" si="95">C58/C$42</f>
        <v>-0.113266785</v>
      </c>
      <c r="J58" s="66">
        <f t="shared" si="95"/>
        <v>-0.5260722892</v>
      </c>
      <c r="K58" s="66">
        <f t="shared" si="95"/>
        <v>-0.03979041415</v>
      </c>
      <c r="L58" s="66">
        <f t="shared" si="95"/>
        <v>0.2121377513</v>
      </c>
      <c r="M58" s="67">
        <f t="shared" si="95"/>
        <v>0.3993002722</v>
      </c>
      <c r="N58" s="50"/>
      <c r="O58" s="68">
        <f t="shared" si="86"/>
        <v>1</v>
      </c>
      <c r="P58" s="69">
        <f t="shared" ref="P58:S58" si="96">IFERROR(D58/$C58,0)</f>
        <v>5.173837262</v>
      </c>
      <c r="Q58" s="69">
        <f t="shared" si="96"/>
        <v>1.563039631</v>
      </c>
      <c r="R58" s="69">
        <f t="shared" si="96"/>
        <v>-9.113293366</v>
      </c>
      <c r="S58" s="70">
        <f t="shared" si="96"/>
        <v>-15.72900903</v>
      </c>
      <c r="T58" s="71"/>
      <c r="U58" s="63"/>
      <c r="V58" s="64"/>
      <c r="W58" s="64"/>
      <c r="X58" s="64"/>
      <c r="Y58" s="64"/>
      <c r="Z58" s="64"/>
      <c r="AA58" s="49"/>
    </row>
    <row r="59" ht="15.75" customHeight="1">
      <c r="A59" s="50"/>
      <c r="B59" s="63"/>
      <c r="C59" s="64"/>
      <c r="D59" s="64"/>
      <c r="E59" s="64"/>
      <c r="F59" s="64"/>
      <c r="G59" s="64"/>
      <c r="H59" s="50"/>
      <c r="I59" s="75"/>
      <c r="J59" s="75"/>
      <c r="K59" s="75"/>
      <c r="L59" s="75"/>
      <c r="M59" s="75"/>
      <c r="N59" s="50"/>
      <c r="O59" s="61"/>
      <c r="P59" s="61"/>
      <c r="Q59" s="61"/>
      <c r="R59" s="61"/>
      <c r="S59" s="61"/>
      <c r="T59" s="61"/>
      <c r="U59" s="63"/>
      <c r="V59" s="64"/>
      <c r="W59" s="64"/>
      <c r="X59" s="64"/>
      <c r="Y59" s="64"/>
      <c r="Z59" s="64"/>
      <c r="AA59" s="49"/>
    </row>
    <row r="60" ht="15.75" customHeight="1">
      <c r="A60" s="50"/>
      <c r="B60" s="63" t="s">
        <v>127</v>
      </c>
      <c r="C60" s="72">
        <f t="shared" ref="C60:G60" si="97">+C58+C52</f>
        <v>72130.06</v>
      </c>
      <c r="D60" s="72">
        <f t="shared" si="97"/>
        <v>80350.06</v>
      </c>
      <c r="E60" s="72">
        <f t="shared" si="97"/>
        <v>320930.06</v>
      </c>
      <c r="F60" s="72">
        <f t="shared" si="97"/>
        <v>350975.06</v>
      </c>
      <c r="G60" s="72">
        <f t="shared" si="97"/>
        <v>321825.6259</v>
      </c>
      <c r="H60" s="50"/>
      <c r="I60" s="65">
        <f t="shared" ref="I60:M60" si="98">C60/C$42</f>
        <v>1</v>
      </c>
      <c r="J60" s="66">
        <f t="shared" si="98"/>
        <v>1</v>
      </c>
      <c r="K60" s="66">
        <f t="shared" si="98"/>
        <v>1</v>
      </c>
      <c r="L60" s="66">
        <f t="shared" si="98"/>
        <v>1</v>
      </c>
      <c r="M60" s="67">
        <f t="shared" si="98"/>
        <v>1</v>
      </c>
      <c r="N60" s="50"/>
      <c r="O60" s="68">
        <f>IFERROR(C60/C60,0)</f>
        <v>1</v>
      </c>
      <c r="P60" s="69">
        <f t="shared" ref="P60:S60" si="99">IFERROR(D60/$C60,0)</f>
        <v>1.113960809</v>
      </c>
      <c r="Q60" s="69">
        <f t="shared" si="99"/>
        <v>4.449324734</v>
      </c>
      <c r="R60" s="69">
        <f t="shared" si="99"/>
        <v>4.865863969</v>
      </c>
      <c r="S60" s="70">
        <f t="shared" si="99"/>
        <v>4.46174072</v>
      </c>
      <c r="T60" s="71"/>
      <c r="U60" s="63"/>
      <c r="V60" s="64"/>
      <c r="W60" s="64"/>
      <c r="X60" s="64"/>
      <c r="Y60" s="64"/>
      <c r="Z60" s="64"/>
      <c r="AA60" s="49"/>
    </row>
    <row r="61" ht="15.75" customHeight="1">
      <c r="A61" s="50"/>
      <c r="B61" s="50"/>
      <c r="C61" s="77">
        <f t="shared" ref="C61:G61" si="100">+C60-C42</f>
        <v>0</v>
      </c>
      <c r="D61" s="77">
        <f t="shared" si="100"/>
        <v>0</v>
      </c>
      <c r="E61" s="77">
        <f t="shared" si="100"/>
        <v>0</v>
      </c>
      <c r="F61" s="77">
        <f t="shared" si="100"/>
        <v>0</v>
      </c>
      <c r="G61" s="77">
        <f t="shared" si="100"/>
        <v>0</v>
      </c>
      <c r="H61" s="50"/>
      <c r="I61" s="64"/>
      <c r="J61" s="64"/>
      <c r="K61" s="64"/>
      <c r="L61" s="64"/>
      <c r="M61" s="64"/>
      <c r="N61" s="50"/>
      <c r="O61" s="50"/>
      <c r="P61" s="50"/>
      <c r="Q61" s="50"/>
      <c r="R61" s="50"/>
      <c r="S61" s="50"/>
      <c r="T61" s="50"/>
      <c r="U61" s="50"/>
      <c r="V61" s="77"/>
      <c r="W61" s="77"/>
      <c r="X61" s="77"/>
      <c r="Y61" s="77"/>
      <c r="Z61" s="77"/>
      <c r="AA61" s="49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49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49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49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49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49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49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49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49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49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49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49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5">
    <mergeCell ref="B5:C6"/>
    <mergeCell ref="C13:G13"/>
    <mergeCell ref="I13:M13"/>
    <mergeCell ref="O13:S13"/>
    <mergeCell ref="V13:Z1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35.7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5.6"/>
    <col customWidth="1" min="22" max="22" width="9.0"/>
    <col customWidth="1" min="23" max="26" width="9.6"/>
    <col customWidth="1" min="27" max="27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49"/>
    </row>
    <row r="3">
      <c r="A3" s="50"/>
      <c r="B3" s="7" t="s">
        <v>136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49"/>
    </row>
    <row r="5" ht="15.0" customHeight="1">
      <c r="A5" s="50"/>
      <c r="B5" s="9" t="s">
        <v>137</v>
      </c>
      <c r="C5" s="11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49"/>
    </row>
    <row r="6">
      <c r="A6" s="50"/>
      <c r="B6" s="15"/>
      <c r="C6" s="16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49"/>
    </row>
    <row r="7">
      <c r="A7" s="50"/>
      <c r="B7" s="12"/>
      <c r="C7" s="14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49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3">+C15/C$15</f>
        <v>1</v>
      </c>
      <c r="J15" s="60">
        <f t="shared" si="3"/>
        <v>1</v>
      </c>
      <c r="K15" s="60">
        <f t="shared" si="3"/>
        <v>1</v>
      </c>
      <c r="L15" s="60">
        <f t="shared" si="3"/>
        <v>1</v>
      </c>
      <c r="M15" s="60">
        <f t="shared" si="3"/>
        <v>1</v>
      </c>
      <c r="N15" s="50"/>
      <c r="O15" s="61">
        <f t="shared" ref="O15:O27" si="6">IFERROR(C15/C15,0)</f>
        <v>1</v>
      </c>
      <c r="P15" s="61">
        <f t="shared" ref="P15:S15" si="4">IFERROR(D15/$C15,0)</f>
        <v>1.266666667</v>
      </c>
      <c r="Q15" s="61">
        <f t="shared" si="4"/>
        <v>2.1</v>
      </c>
      <c r="R15" s="61">
        <f t="shared" si="4"/>
        <v>2.533333333</v>
      </c>
      <c r="S15" s="61">
        <f t="shared" si="4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5">+C16/C$15</f>
        <v>-0.5733333333</v>
      </c>
      <c r="J16" s="60">
        <f t="shared" si="5"/>
        <v>-0.6315789474</v>
      </c>
      <c r="K16" s="60">
        <f t="shared" si="5"/>
        <v>-0.4285714286</v>
      </c>
      <c r="L16" s="60">
        <f t="shared" si="5"/>
        <v>-0.3631578947</v>
      </c>
      <c r="M16" s="60">
        <f t="shared" si="5"/>
        <v>-0.4411764706</v>
      </c>
      <c r="N16" s="50"/>
      <c r="O16" s="61">
        <f t="shared" si="6"/>
        <v>1</v>
      </c>
      <c r="P16" s="61">
        <f t="shared" ref="P16:S16" si="7">IFERROR(D16/$C16,0)</f>
        <v>1.395348837</v>
      </c>
      <c r="Q16" s="61">
        <f t="shared" si="7"/>
        <v>1.569767442</v>
      </c>
      <c r="R16" s="61">
        <f t="shared" si="7"/>
        <v>1.604651163</v>
      </c>
      <c r="S16" s="61">
        <f t="shared" si="7"/>
        <v>3.488372093</v>
      </c>
      <c r="T16" s="61"/>
      <c r="U16" s="50" t="s">
        <v>92</v>
      </c>
      <c r="V16" s="50">
        <f t="shared" ref="V16:Z16" si="8">-V15*V4</f>
        <v>-403920</v>
      </c>
      <c r="W16" s="50">
        <f t="shared" si="8"/>
        <v>-545292</v>
      </c>
      <c r="X16" s="50">
        <f t="shared" si="8"/>
        <v>-702683.1</v>
      </c>
      <c r="Y16" s="50">
        <f t="shared" si="8"/>
        <v>-948622.185</v>
      </c>
      <c r="Z16" s="50">
        <f t="shared" si="8"/>
        <v>-1280639.95</v>
      </c>
      <c r="AA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9">+C17/C$15</f>
        <v>-0.06</v>
      </c>
      <c r="J17" s="96">
        <f t="shared" si="9"/>
        <v>-0.06315789474</v>
      </c>
      <c r="K17" s="96">
        <f t="shared" si="9"/>
        <v>-0.05238095238</v>
      </c>
      <c r="L17" s="96">
        <f t="shared" si="9"/>
        <v>-0.05657894737</v>
      </c>
      <c r="M17" s="96">
        <f t="shared" si="9"/>
        <v>-0.05661764706</v>
      </c>
      <c r="N17" s="50"/>
      <c r="O17" s="97">
        <f t="shared" si="6"/>
        <v>1</v>
      </c>
      <c r="P17" s="97">
        <f t="shared" ref="P17:S17" si="10">IFERROR(D17/$C17,0)</f>
        <v>1.333333333</v>
      </c>
      <c r="Q17" s="97">
        <f t="shared" si="10"/>
        <v>1.833333333</v>
      </c>
      <c r="R17" s="97">
        <f t="shared" si="10"/>
        <v>2.388888889</v>
      </c>
      <c r="S17" s="97">
        <f t="shared" si="10"/>
        <v>4.277777778</v>
      </c>
      <c r="T17" s="61"/>
      <c r="U17" s="50" t="s">
        <v>93</v>
      </c>
      <c r="V17" s="62">
        <f t="shared" ref="V17:Z17" si="11">-V15*6%*(1+V5)</f>
        <v>-60588</v>
      </c>
      <c r="W17" s="62">
        <f t="shared" si="11"/>
        <v>-85511.7</v>
      </c>
      <c r="X17" s="62">
        <f t="shared" si="11"/>
        <v>-115440.795</v>
      </c>
      <c r="Y17" s="62">
        <f t="shared" si="11"/>
        <v>-162620.946</v>
      </c>
      <c r="Z17" s="62">
        <f t="shared" si="11"/>
        <v>-228685.7053</v>
      </c>
      <c r="AA17" s="49"/>
    </row>
    <row r="18">
      <c r="A18" s="50"/>
      <c r="B18" s="63" t="s">
        <v>94</v>
      </c>
      <c r="C18" s="64">
        <f t="shared" ref="C18:G18" si="12">SUM(C15:C17)</f>
        <v>55000</v>
      </c>
      <c r="D18" s="64">
        <f t="shared" si="12"/>
        <v>58000</v>
      </c>
      <c r="E18" s="64">
        <f t="shared" si="12"/>
        <v>163500</v>
      </c>
      <c r="F18" s="64">
        <f t="shared" si="12"/>
        <v>220500</v>
      </c>
      <c r="G18" s="64">
        <f t="shared" si="12"/>
        <v>341500</v>
      </c>
      <c r="H18" s="50"/>
      <c r="I18" s="65">
        <f t="shared" ref="I18:M18" si="13">+C18/C$15</f>
        <v>0.3666666667</v>
      </c>
      <c r="J18" s="66">
        <f t="shared" si="13"/>
        <v>0.3052631579</v>
      </c>
      <c r="K18" s="66">
        <f t="shared" si="13"/>
        <v>0.519047619</v>
      </c>
      <c r="L18" s="66">
        <f t="shared" si="13"/>
        <v>0.5802631579</v>
      </c>
      <c r="M18" s="67">
        <f t="shared" si="13"/>
        <v>0.5022058824</v>
      </c>
      <c r="N18" s="50"/>
      <c r="O18" s="68">
        <f t="shared" si="6"/>
        <v>1</v>
      </c>
      <c r="P18" s="69">
        <f t="shared" ref="P18:S18" si="14">IFERROR(D18/$C18,0)</f>
        <v>1.054545455</v>
      </c>
      <c r="Q18" s="69">
        <f t="shared" si="14"/>
        <v>2.972727273</v>
      </c>
      <c r="R18" s="69">
        <f t="shared" si="14"/>
        <v>4.009090909</v>
      </c>
      <c r="S18" s="70">
        <f t="shared" si="14"/>
        <v>6.209090909</v>
      </c>
      <c r="T18" s="61"/>
      <c r="U18" s="63" t="s">
        <v>94</v>
      </c>
      <c r="V18" s="64">
        <f t="shared" ref="V18:Z18" si="15">SUM(V15:V17)</f>
        <v>453492</v>
      </c>
      <c r="W18" s="64">
        <f t="shared" si="15"/>
        <v>608496.3</v>
      </c>
      <c r="X18" s="64">
        <f t="shared" si="15"/>
        <v>854931.105</v>
      </c>
      <c r="Y18" s="64">
        <f t="shared" si="15"/>
        <v>1147381.119</v>
      </c>
      <c r="Z18" s="64">
        <f t="shared" si="15"/>
        <v>1539817.082</v>
      </c>
      <c r="AA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16">+C19/C$15</f>
        <v>-0.16</v>
      </c>
      <c r="J19" s="60">
        <f t="shared" si="16"/>
        <v>-0.1552631579</v>
      </c>
      <c r="K19" s="60">
        <f t="shared" si="16"/>
        <v>-0.1580952381</v>
      </c>
      <c r="L19" s="60">
        <f t="shared" si="16"/>
        <v>-0.1592105263</v>
      </c>
      <c r="M19" s="60">
        <f t="shared" si="16"/>
        <v>-0.1588235294</v>
      </c>
      <c r="N19" s="50"/>
      <c r="O19" s="61">
        <f t="shared" si="6"/>
        <v>1</v>
      </c>
      <c r="P19" s="61">
        <f t="shared" ref="P19:S19" si="17">IFERROR(D19/$C19,0)</f>
        <v>1.229166667</v>
      </c>
      <c r="Q19" s="61">
        <f t="shared" si="17"/>
        <v>2.075</v>
      </c>
      <c r="R19" s="61">
        <f t="shared" si="17"/>
        <v>2.520833333</v>
      </c>
      <c r="S19" s="61">
        <f t="shared" si="17"/>
        <v>4.5</v>
      </c>
      <c r="T19" s="61"/>
      <c r="U19" s="50" t="s">
        <v>95</v>
      </c>
      <c r="V19" s="50">
        <f>G19*(1+V5)</f>
        <v>-118800</v>
      </c>
      <c r="W19" s="50">
        <f t="shared" ref="W19:Z19" si="18">+V19*(1+W5)</f>
        <v>-136620</v>
      </c>
      <c r="X19" s="50">
        <f t="shared" si="18"/>
        <v>-157113</v>
      </c>
      <c r="Y19" s="50">
        <f t="shared" si="18"/>
        <v>-188535.6</v>
      </c>
      <c r="Z19" s="50">
        <f t="shared" si="18"/>
        <v>-235669.5</v>
      </c>
      <c r="AA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19">+C20/C$15</f>
        <v>-0.08</v>
      </c>
      <c r="J20" s="60">
        <f t="shared" si="19"/>
        <v>-0.09210526316</v>
      </c>
      <c r="K20" s="60">
        <f t="shared" si="19"/>
        <v>-0.09682539683</v>
      </c>
      <c r="L20" s="60">
        <f t="shared" si="19"/>
        <v>-0.09473684211</v>
      </c>
      <c r="M20" s="60">
        <f t="shared" si="19"/>
        <v>-0.09926470588</v>
      </c>
      <c r="N20" s="50"/>
      <c r="O20" s="61">
        <f t="shared" si="6"/>
        <v>1</v>
      </c>
      <c r="P20" s="61">
        <f t="shared" ref="P20:S20" si="20">IFERROR(D20/$C20,0)</f>
        <v>1.458333333</v>
      </c>
      <c r="Q20" s="61">
        <f t="shared" si="20"/>
        <v>2.541666667</v>
      </c>
      <c r="R20" s="61">
        <f t="shared" si="20"/>
        <v>3</v>
      </c>
      <c r="S20" s="61">
        <f t="shared" si="20"/>
        <v>5.625</v>
      </c>
      <c r="T20" s="61"/>
      <c r="U20" s="50" t="s">
        <v>96</v>
      </c>
      <c r="V20" s="50">
        <f>+G20*(1+V6)</f>
        <v>-74250</v>
      </c>
      <c r="W20" s="50">
        <f t="shared" ref="W20:Z20" si="21">+V20*(1+W6)</f>
        <v>-85387.5</v>
      </c>
      <c r="X20" s="50">
        <f t="shared" si="21"/>
        <v>-98195.625</v>
      </c>
      <c r="Y20" s="50">
        <f t="shared" si="21"/>
        <v>-117834.75</v>
      </c>
      <c r="Z20" s="50">
        <f t="shared" si="21"/>
        <v>-147293.4375</v>
      </c>
      <c r="AA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22">+C21/C$15</f>
        <v>-0.0006666666667</v>
      </c>
      <c r="J21" s="60">
        <f t="shared" si="22"/>
        <v>-0.0006315789474</v>
      </c>
      <c r="K21" s="60">
        <f t="shared" si="22"/>
        <v>-0.003111111111</v>
      </c>
      <c r="L21" s="60">
        <f t="shared" si="22"/>
        <v>-0.002894736842</v>
      </c>
      <c r="M21" s="60">
        <f t="shared" si="22"/>
        <v>-0.002794117647</v>
      </c>
      <c r="N21" s="50"/>
      <c r="O21" s="61">
        <f t="shared" si="6"/>
        <v>1</v>
      </c>
      <c r="P21" s="61">
        <f t="shared" ref="P21:S21" si="23">IFERROR(D21/$C21,0)</f>
        <v>1.2</v>
      </c>
      <c r="Q21" s="61">
        <f t="shared" si="23"/>
        <v>9.8</v>
      </c>
      <c r="R21" s="61">
        <f t="shared" si="23"/>
        <v>11</v>
      </c>
      <c r="S21" s="61">
        <f t="shared" si="23"/>
        <v>19</v>
      </c>
      <c r="T21" s="61"/>
      <c r="U21" s="50" t="s">
        <v>97</v>
      </c>
      <c r="V21" s="50">
        <f t="shared" ref="V21:Z21" si="24">-V15*V7/2</f>
        <v>-4590</v>
      </c>
      <c r="W21" s="50">
        <f t="shared" si="24"/>
        <v>-6196.5</v>
      </c>
      <c r="X21" s="50">
        <f t="shared" si="24"/>
        <v>-8365.275</v>
      </c>
      <c r="Y21" s="50">
        <f t="shared" si="24"/>
        <v>-11293.12125</v>
      </c>
      <c r="Z21" s="50">
        <f t="shared" si="24"/>
        <v>-15245.71369</v>
      </c>
      <c r="AA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25">+C22/C$15</f>
        <v>-0.003466666667</v>
      </c>
      <c r="J22" s="60">
        <f t="shared" si="25"/>
        <v>-0.003578947368</v>
      </c>
      <c r="K22" s="60">
        <f t="shared" si="25"/>
        <v>-0.01022222222</v>
      </c>
      <c r="L22" s="60">
        <f t="shared" si="25"/>
        <v>-0.008947368421</v>
      </c>
      <c r="M22" s="60">
        <f t="shared" si="25"/>
        <v>-0.0075</v>
      </c>
      <c r="N22" s="50"/>
      <c r="O22" s="61">
        <f t="shared" si="6"/>
        <v>1</v>
      </c>
      <c r="P22" s="61">
        <f t="shared" ref="P22:S22" si="26">IFERROR(D22/$C22,0)</f>
        <v>1.307692308</v>
      </c>
      <c r="Q22" s="61">
        <f t="shared" si="26"/>
        <v>6.192307692</v>
      </c>
      <c r="R22" s="61">
        <f t="shared" si="26"/>
        <v>6.538461538</v>
      </c>
      <c r="S22" s="61">
        <f t="shared" si="26"/>
        <v>9.807692308</v>
      </c>
      <c r="T22" s="61"/>
      <c r="U22" s="50" t="s">
        <v>98</v>
      </c>
      <c r="V22" s="62">
        <f t="shared" ref="V22:Z22" si="27">-V15*V7/2</f>
        <v>-4590</v>
      </c>
      <c r="W22" s="62">
        <f t="shared" si="27"/>
        <v>-6196.5</v>
      </c>
      <c r="X22" s="62">
        <f t="shared" si="27"/>
        <v>-8365.275</v>
      </c>
      <c r="Y22" s="62">
        <f t="shared" si="27"/>
        <v>-11293.12125</v>
      </c>
      <c r="Z22" s="62">
        <f t="shared" si="27"/>
        <v>-15245.71369</v>
      </c>
      <c r="AA22" s="49"/>
    </row>
    <row r="23" ht="15.75" customHeight="1">
      <c r="A23" s="50"/>
      <c r="B23" s="63" t="s">
        <v>99</v>
      </c>
      <c r="C23" s="64">
        <f t="shared" ref="C23:G23" si="28">SUM(C18:C22)</f>
        <v>18380</v>
      </c>
      <c r="D23" s="64">
        <f t="shared" si="28"/>
        <v>10200</v>
      </c>
      <c r="E23" s="64">
        <f t="shared" si="28"/>
        <v>79000</v>
      </c>
      <c r="F23" s="64">
        <f t="shared" si="28"/>
        <v>119500</v>
      </c>
      <c r="G23" s="64">
        <f t="shared" si="28"/>
        <v>159000</v>
      </c>
      <c r="H23" s="50"/>
      <c r="I23" s="65">
        <f t="shared" ref="I23:M23" si="29">+C23/C$15</f>
        <v>0.1225333333</v>
      </c>
      <c r="J23" s="66">
        <f t="shared" si="29"/>
        <v>0.05368421053</v>
      </c>
      <c r="K23" s="66">
        <f t="shared" si="29"/>
        <v>0.2507936508</v>
      </c>
      <c r="L23" s="66">
        <f t="shared" si="29"/>
        <v>0.3144736842</v>
      </c>
      <c r="M23" s="67">
        <f t="shared" si="29"/>
        <v>0.2338235294</v>
      </c>
      <c r="N23" s="50"/>
      <c r="O23" s="68">
        <f t="shared" si="6"/>
        <v>1</v>
      </c>
      <c r="P23" s="69">
        <f t="shared" ref="P23:S23" si="30">IFERROR(D23/$C23,0)</f>
        <v>0.5549510337</v>
      </c>
      <c r="Q23" s="69">
        <f t="shared" si="30"/>
        <v>4.298150163</v>
      </c>
      <c r="R23" s="69">
        <f t="shared" si="30"/>
        <v>6.501632209</v>
      </c>
      <c r="S23" s="70">
        <f t="shared" si="30"/>
        <v>8.650707291</v>
      </c>
      <c r="T23" s="71"/>
      <c r="U23" s="63" t="s">
        <v>99</v>
      </c>
      <c r="V23" s="64">
        <f t="shared" ref="V23:Z23" si="31">SUM(V18:V22)</f>
        <v>251262</v>
      </c>
      <c r="W23" s="64">
        <f t="shared" si="31"/>
        <v>374095.8</v>
      </c>
      <c r="X23" s="64">
        <f t="shared" si="31"/>
        <v>582891.93</v>
      </c>
      <c r="Y23" s="64">
        <f t="shared" si="31"/>
        <v>818424.5265</v>
      </c>
      <c r="Z23" s="64">
        <f t="shared" si="31"/>
        <v>1126362.718</v>
      </c>
      <c r="AA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32">+C24/C$15</f>
        <v>-0.005666666667</v>
      </c>
      <c r="J24" s="60">
        <f t="shared" si="32"/>
        <v>-0.006842105263</v>
      </c>
      <c r="K24" s="60">
        <f t="shared" si="32"/>
        <v>-0.007301587302</v>
      </c>
      <c r="L24" s="60">
        <f t="shared" si="32"/>
        <v>-0.008421052632</v>
      </c>
      <c r="M24" s="60">
        <f t="shared" si="32"/>
        <v>-0.00875</v>
      </c>
      <c r="N24" s="50"/>
      <c r="O24" s="61">
        <f t="shared" si="6"/>
        <v>1</v>
      </c>
      <c r="P24" s="61">
        <f t="shared" ref="P24:S24" si="33">IFERROR(D24/$C24,0)</f>
        <v>1.529411765</v>
      </c>
      <c r="Q24" s="61">
        <f t="shared" si="33"/>
        <v>2.705882353</v>
      </c>
      <c r="R24" s="61">
        <f t="shared" si="33"/>
        <v>3.764705882</v>
      </c>
      <c r="S24" s="61">
        <f t="shared" si="33"/>
        <v>7</v>
      </c>
      <c r="T24" s="61"/>
      <c r="U24" s="50" t="s">
        <v>100</v>
      </c>
      <c r="V24" s="62">
        <f>G24-250000*V8</f>
        <v>-13450</v>
      </c>
      <c r="W24" s="62">
        <f t="shared" ref="W24:Z24" si="34">+V24</f>
        <v>-13450</v>
      </c>
      <c r="X24" s="62">
        <f t="shared" si="34"/>
        <v>-13450</v>
      </c>
      <c r="Y24" s="62">
        <f t="shared" si="34"/>
        <v>-13450</v>
      </c>
      <c r="Z24" s="62">
        <f t="shared" si="34"/>
        <v>-13450</v>
      </c>
      <c r="AA24" s="49"/>
    </row>
    <row r="25" ht="15.75" customHeight="1">
      <c r="A25" s="50"/>
      <c r="B25" s="63" t="s">
        <v>101</v>
      </c>
      <c r="C25" s="64">
        <f t="shared" ref="C25:G25" si="35">SUM(C23:C24)</f>
        <v>17530</v>
      </c>
      <c r="D25" s="64">
        <f t="shared" si="35"/>
        <v>8900</v>
      </c>
      <c r="E25" s="64">
        <f t="shared" si="35"/>
        <v>76700</v>
      </c>
      <c r="F25" s="64">
        <f t="shared" si="35"/>
        <v>116300</v>
      </c>
      <c r="G25" s="64">
        <f t="shared" si="35"/>
        <v>153050</v>
      </c>
      <c r="H25" s="50"/>
      <c r="I25" s="65">
        <f t="shared" ref="I25:M25" si="36">+C25/C$15</f>
        <v>0.1168666667</v>
      </c>
      <c r="J25" s="66">
        <f t="shared" si="36"/>
        <v>0.04684210526</v>
      </c>
      <c r="K25" s="66">
        <f t="shared" si="36"/>
        <v>0.2434920635</v>
      </c>
      <c r="L25" s="66">
        <f t="shared" si="36"/>
        <v>0.3060526316</v>
      </c>
      <c r="M25" s="67">
        <f t="shared" si="36"/>
        <v>0.2250735294</v>
      </c>
      <c r="N25" s="50"/>
      <c r="O25" s="68">
        <f t="shared" si="6"/>
        <v>1</v>
      </c>
      <c r="P25" s="69">
        <f t="shared" ref="P25:S25" si="37">IFERROR(D25/$C25,0)</f>
        <v>0.5077010839</v>
      </c>
      <c r="Q25" s="69">
        <f t="shared" si="37"/>
        <v>4.375356532</v>
      </c>
      <c r="R25" s="69">
        <f t="shared" si="37"/>
        <v>6.634341129</v>
      </c>
      <c r="S25" s="70">
        <f t="shared" si="37"/>
        <v>8.73074729</v>
      </c>
      <c r="T25" s="71"/>
      <c r="U25" s="63" t="s">
        <v>101</v>
      </c>
      <c r="V25" s="64">
        <f t="shared" ref="V25:Z25" si="38">SUM(V23:V24)</f>
        <v>237812</v>
      </c>
      <c r="W25" s="64">
        <f t="shared" si="38"/>
        <v>360645.8</v>
      </c>
      <c r="X25" s="64">
        <f t="shared" si="38"/>
        <v>569441.93</v>
      </c>
      <c r="Y25" s="64">
        <f t="shared" si="38"/>
        <v>804974.5265</v>
      </c>
      <c r="Z25" s="64">
        <f t="shared" si="38"/>
        <v>1112912.718</v>
      </c>
      <c r="AA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39">+C26/C$15</f>
        <v>-0.1966666667</v>
      </c>
      <c r="J26" s="60">
        <f t="shared" si="39"/>
        <v>-0.2263157895</v>
      </c>
      <c r="K26" s="60">
        <f t="shared" si="39"/>
        <v>-0.1498412698</v>
      </c>
      <c r="L26" s="60">
        <f t="shared" si="39"/>
        <v>-0.07651315789</v>
      </c>
      <c r="M26" s="60">
        <f t="shared" si="39"/>
        <v>-0.1455882353</v>
      </c>
      <c r="N26" s="50"/>
      <c r="O26" s="61">
        <f t="shared" si="6"/>
        <v>1</v>
      </c>
      <c r="P26" s="61">
        <f t="shared" ref="P26:S26" si="40">IFERROR(D26/$C26,0)</f>
        <v>1.457627119</v>
      </c>
      <c r="Q26" s="61">
        <f t="shared" si="40"/>
        <v>1.6</v>
      </c>
      <c r="R26" s="61">
        <f t="shared" si="40"/>
        <v>0.9855932203</v>
      </c>
      <c r="S26" s="61">
        <f t="shared" si="40"/>
        <v>3.355932203</v>
      </c>
      <c r="T26" s="61"/>
      <c r="U26" s="50" t="s">
        <v>102</v>
      </c>
      <c r="V26" s="50"/>
      <c r="W26" s="50"/>
      <c r="X26" s="50"/>
      <c r="Y26" s="50"/>
      <c r="Z26" s="50"/>
      <c r="AA26" s="49"/>
    </row>
    <row r="27" ht="15.75" customHeight="1">
      <c r="A27" s="50"/>
      <c r="B27" s="63" t="s">
        <v>103</v>
      </c>
      <c r="C27" s="72">
        <f t="shared" ref="C27:G27" si="41">+C25+C26</f>
        <v>-11970</v>
      </c>
      <c r="D27" s="72">
        <f t="shared" si="41"/>
        <v>-34100</v>
      </c>
      <c r="E27" s="72">
        <f t="shared" si="41"/>
        <v>29500</v>
      </c>
      <c r="F27" s="72">
        <f t="shared" si="41"/>
        <v>87225</v>
      </c>
      <c r="G27" s="72">
        <f t="shared" si="41"/>
        <v>54050</v>
      </c>
      <c r="H27" s="50"/>
      <c r="I27" s="65">
        <f t="shared" ref="I27:M27" si="42">+C27/C$15</f>
        <v>-0.0798</v>
      </c>
      <c r="J27" s="66">
        <f t="shared" si="42"/>
        <v>-0.1794736842</v>
      </c>
      <c r="K27" s="66">
        <f t="shared" si="42"/>
        <v>0.09365079365</v>
      </c>
      <c r="L27" s="66">
        <f t="shared" si="42"/>
        <v>0.2295394737</v>
      </c>
      <c r="M27" s="67">
        <f t="shared" si="42"/>
        <v>0.07948529412</v>
      </c>
      <c r="N27" s="50"/>
      <c r="O27" s="68">
        <f t="shared" si="6"/>
        <v>1</v>
      </c>
      <c r="P27" s="69">
        <f t="shared" ref="P27:S27" si="43">IFERROR(D27/$C27,0)</f>
        <v>2.848788638</v>
      </c>
      <c r="Q27" s="69">
        <f t="shared" si="43"/>
        <v>-2.46449457</v>
      </c>
      <c r="R27" s="69">
        <f t="shared" si="43"/>
        <v>-7.286967419</v>
      </c>
      <c r="S27" s="70">
        <f t="shared" si="43"/>
        <v>-4.515455305</v>
      </c>
      <c r="T27" s="71"/>
      <c r="U27" s="63" t="s">
        <v>103</v>
      </c>
      <c r="V27" s="72">
        <f t="shared" ref="V27:Z27" si="44">+V25+V26</f>
        <v>237812</v>
      </c>
      <c r="W27" s="72">
        <f t="shared" si="44"/>
        <v>360645.8</v>
      </c>
      <c r="X27" s="72">
        <f t="shared" si="44"/>
        <v>569441.93</v>
      </c>
      <c r="Y27" s="72">
        <f t="shared" si="44"/>
        <v>804974.5265</v>
      </c>
      <c r="Z27" s="72">
        <f t="shared" si="44"/>
        <v>1112912.718</v>
      </c>
      <c r="AA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49"/>
    </row>
    <row r="29" ht="15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49"/>
    </row>
    <row r="30" ht="15.75" customHeight="1">
      <c r="A30" s="50"/>
      <c r="B30" s="53" t="s">
        <v>104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0"/>
      <c r="X30" s="50"/>
      <c r="Y30" s="50"/>
      <c r="Z30" s="50"/>
      <c r="AA30" s="49"/>
    </row>
    <row r="31" ht="15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49"/>
    </row>
    <row r="32" ht="15.75" customHeight="1">
      <c r="A32" s="50"/>
      <c r="B32" s="50"/>
      <c r="C32" s="59">
        <v>2017.0</v>
      </c>
      <c r="D32" s="59">
        <v>2018.0</v>
      </c>
      <c r="E32" s="59">
        <v>2019.0</v>
      </c>
      <c r="F32" s="59">
        <v>2020.0</v>
      </c>
      <c r="G32" s="59">
        <v>2021.0</v>
      </c>
      <c r="H32" s="50"/>
      <c r="I32" s="59">
        <f t="shared" ref="I32:M32" si="45">+C32</f>
        <v>2017</v>
      </c>
      <c r="J32" s="59">
        <f t="shared" si="45"/>
        <v>2018</v>
      </c>
      <c r="K32" s="59">
        <f t="shared" si="45"/>
        <v>2019</v>
      </c>
      <c r="L32" s="59">
        <f t="shared" si="45"/>
        <v>2020</v>
      </c>
      <c r="M32" s="59">
        <f t="shared" si="45"/>
        <v>2021</v>
      </c>
      <c r="N32" s="50"/>
      <c r="O32" s="59">
        <f t="shared" ref="O32:S32" si="46">+C32</f>
        <v>2017</v>
      </c>
      <c r="P32" s="59">
        <f t="shared" si="46"/>
        <v>2018</v>
      </c>
      <c r="Q32" s="59">
        <f t="shared" si="46"/>
        <v>2019</v>
      </c>
      <c r="R32" s="59">
        <f t="shared" si="46"/>
        <v>2020</v>
      </c>
      <c r="S32" s="59">
        <f t="shared" si="46"/>
        <v>2021</v>
      </c>
      <c r="T32" s="58"/>
      <c r="U32" s="50"/>
      <c r="V32" s="58"/>
      <c r="W32" s="58"/>
      <c r="X32" s="58"/>
      <c r="Y32" s="58"/>
      <c r="Z32" s="58"/>
      <c r="AA32" s="49"/>
    </row>
    <row r="33" ht="15.75" customHeight="1">
      <c r="A33" s="50"/>
      <c r="B33" s="50" t="s">
        <v>105</v>
      </c>
      <c r="C33" s="50">
        <v>4000.0</v>
      </c>
      <c r="D33" s="50">
        <v>12000.0</v>
      </c>
      <c r="E33" s="50">
        <v>21000.0</v>
      </c>
      <c r="F33" s="50">
        <v>36000.0</v>
      </c>
      <c r="G33" s="50">
        <v>52000.0</v>
      </c>
      <c r="H33" s="50"/>
      <c r="I33" s="60">
        <f t="shared" ref="I33:M33" si="47">C33/C$42</f>
        <v>0.05545538157</v>
      </c>
      <c r="J33" s="60">
        <f t="shared" si="47"/>
        <v>0.1493464971</v>
      </c>
      <c r="K33" s="60">
        <f t="shared" si="47"/>
        <v>0.06543481779</v>
      </c>
      <c r="L33" s="60">
        <f t="shared" si="47"/>
        <v>0.1025713907</v>
      </c>
      <c r="M33" s="60">
        <f t="shared" si="47"/>
        <v>0.1615781834</v>
      </c>
      <c r="N33" s="50"/>
      <c r="O33" s="61">
        <f t="shared" ref="O33:O42" si="50">IFERROR(C33/C33,0)</f>
        <v>1</v>
      </c>
      <c r="P33" s="61">
        <f t="shared" ref="P33:S33" si="48">IFERROR(D33/$C33,0)</f>
        <v>3</v>
      </c>
      <c r="Q33" s="61">
        <f t="shared" si="48"/>
        <v>5.25</v>
      </c>
      <c r="R33" s="61">
        <f t="shared" si="48"/>
        <v>9</v>
      </c>
      <c r="S33" s="61">
        <f t="shared" si="48"/>
        <v>13</v>
      </c>
      <c r="T33" s="61"/>
      <c r="U33" s="50"/>
      <c r="V33" s="50"/>
      <c r="W33" s="50"/>
      <c r="X33" s="50"/>
      <c r="Y33" s="50"/>
      <c r="Z33" s="50"/>
      <c r="AA33" s="49"/>
    </row>
    <row r="34" ht="15.75" customHeight="1">
      <c r="A34" s="50"/>
      <c r="B34" s="50" t="s">
        <v>106</v>
      </c>
      <c r="C34" s="50">
        <v>-100.0</v>
      </c>
      <c r="D34" s="50">
        <v>-220.0</v>
      </c>
      <c r="E34" s="50">
        <v>-1200.0</v>
      </c>
      <c r="F34" s="50">
        <v>-2300.0</v>
      </c>
      <c r="G34" s="50">
        <v>-4200.0</v>
      </c>
      <c r="H34" s="50"/>
      <c r="I34" s="60">
        <f t="shared" ref="I34:M34" si="49">C34/C$42</f>
        <v>-0.001386384539</v>
      </c>
      <c r="J34" s="60">
        <f t="shared" si="49"/>
        <v>-0.002738019113</v>
      </c>
      <c r="K34" s="60">
        <f t="shared" si="49"/>
        <v>-0.003739132445</v>
      </c>
      <c r="L34" s="60">
        <f t="shared" si="49"/>
        <v>-0.006553172183</v>
      </c>
      <c r="M34" s="60">
        <f t="shared" si="49"/>
        <v>-0.01305054558</v>
      </c>
      <c r="N34" s="50"/>
      <c r="O34" s="61">
        <f t="shared" si="50"/>
        <v>1</v>
      </c>
      <c r="P34" s="61">
        <f t="shared" ref="P34:S34" si="51">IFERROR(D34/$C34,0)</f>
        <v>2.2</v>
      </c>
      <c r="Q34" s="61">
        <f t="shared" si="51"/>
        <v>12</v>
      </c>
      <c r="R34" s="61">
        <f t="shared" si="51"/>
        <v>23</v>
      </c>
      <c r="S34" s="61">
        <f t="shared" si="51"/>
        <v>42</v>
      </c>
      <c r="T34" s="61"/>
      <c r="U34" s="50"/>
      <c r="V34" s="50"/>
      <c r="W34" s="50"/>
      <c r="X34" s="50"/>
      <c r="Y34" s="50"/>
      <c r="Z34" s="50"/>
      <c r="AA34" s="49"/>
    </row>
    <row r="35" ht="15.75" customHeight="1">
      <c r="A35" s="50"/>
      <c r="B35" s="50" t="s">
        <v>107</v>
      </c>
      <c r="C35" s="50">
        <v>10000.0</v>
      </c>
      <c r="D35" s="50">
        <v>20000.0</v>
      </c>
      <c r="E35" s="50">
        <v>50000.0</v>
      </c>
      <c r="F35" s="50">
        <v>11000.0</v>
      </c>
      <c r="G35" s="50">
        <v>125000.0</v>
      </c>
      <c r="H35" s="50"/>
      <c r="I35" s="60">
        <f t="shared" ref="I35:M35" si="52">C35/C$42</f>
        <v>0.1386384539</v>
      </c>
      <c r="J35" s="60">
        <f t="shared" si="52"/>
        <v>0.2489108284</v>
      </c>
      <c r="K35" s="60">
        <f t="shared" si="52"/>
        <v>0.1557971852</v>
      </c>
      <c r="L35" s="60">
        <f t="shared" si="52"/>
        <v>0.03134125826</v>
      </c>
      <c r="M35" s="60">
        <f t="shared" si="52"/>
        <v>0.3884090947</v>
      </c>
      <c r="N35" s="50"/>
      <c r="O35" s="61">
        <f t="shared" si="50"/>
        <v>1</v>
      </c>
      <c r="P35" s="61">
        <f t="shared" ref="P35:S35" si="53">IFERROR(D35/$C35,0)</f>
        <v>2</v>
      </c>
      <c r="Q35" s="61">
        <f t="shared" si="53"/>
        <v>5</v>
      </c>
      <c r="R35" s="61">
        <f t="shared" si="53"/>
        <v>1.1</v>
      </c>
      <c r="S35" s="61">
        <f t="shared" si="53"/>
        <v>12.5</v>
      </c>
      <c r="T35" s="61"/>
      <c r="U35" s="50"/>
      <c r="V35" s="50"/>
      <c r="W35" s="50"/>
      <c r="X35" s="50"/>
      <c r="Y35" s="50"/>
      <c r="Z35" s="50"/>
      <c r="AA35" s="49"/>
    </row>
    <row r="36" ht="15.75" customHeight="1">
      <c r="A36" s="50"/>
      <c r="B36" s="50" t="s">
        <v>108</v>
      </c>
      <c r="C36" s="62">
        <v>-520.0</v>
      </c>
      <c r="D36" s="62">
        <v>-1200.0</v>
      </c>
      <c r="E36" s="62">
        <v>-4420.0</v>
      </c>
      <c r="F36" s="62">
        <v>-7820.0</v>
      </c>
      <c r="G36" s="62">
        <v>-12920.0</v>
      </c>
      <c r="H36" s="50"/>
      <c r="I36" s="60">
        <f t="shared" ref="I36:M36" si="54">C36/C$42</f>
        <v>-0.007209199604</v>
      </c>
      <c r="J36" s="60">
        <f t="shared" si="54"/>
        <v>-0.01493464971</v>
      </c>
      <c r="K36" s="60">
        <f t="shared" si="54"/>
        <v>-0.01377247117</v>
      </c>
      <c r="L36" s="60">
        <f t="shared" si="54"/>
        <v>-0.02228078542</v>
      </c>
      <c r="M36" s="60">
        <f t="shared" si="54"/>
        <v>-0.04014596403</v>
      </c>
      <c r="N36" s="50"/>
      <c r="O36" s="61">
        <f t="shared" si="50"/>
        <v>1</v>
      </c>
      <c r="P36" s="61">
        <f t="shared" ref="P36:S36" si="55">IFERROR(D36/$C36,0)</f>
        <v>2.307692308</v>
      </c>
      <c r="Q36" s="61">
        <f t="shared" si="55"/>
        <v>8.5</v>
      </c>
      <c r="R36" s="61">
        <f t="shared" si="55"/>
        <v>15.03846154</v>
      </c>
      <c r="S36" s="61">
        <f t="shared" si="55"/>
        <v>24.84615385</v>
      </c>
      <c r="T36" s="61"/>
      <c r="U36" s="50"/>
      <c r="V36" s="50"/>
      <c r="W36" s="50"/>
      <c r="X36" s="50"/>
      <c r="Y36" s="50"/>
      <c r="Z36" s="50"/>
      <c r="AA36" s="49"/>
    </row>
    <row r="37" ht="15.75" customHeight="1">
      <c r="A37" s="50"/>
      <c r="B37" s="63" t="s">
        <v>109</v>
      </c>
      <c r="C37" s="64">
        <f t="shared" ref="C37:G37" si="56">SUM(C33:C36)</f>
        <v>13380</v>
      </c>
      <c r="D37" s="64">
        <f t="shared" si="56"/>
        <v>30580</v>
      </c>
      <c r="E37" s="64">
        <f t="shared" si="56"/>
        <v>65380</v>
      </c>
      <c r="F37" s="64">
        <f t="shared" si="56"/>
        <v>36880</v>
      </c>
      <c r="G37" s="64">
        <f t="shared" si="56"/>
        <v>159880</v>
      </c>
      <c r="H37" s="50"/>
      <c r="I37" s="65">
        <f t="shared" ref="I37:M37" si="57">C37/C$42</f>
        <v>0.1854982514</v>
      </c>
      <c r="J37" s="66">
        <f t="shared" si="57"/>
        <v>0.3805846567</v>
      </c>
      <c r="K37" s="66">
        <f t="shared" si="57"/>
        <v>0.2037203994</v>
      </c>
      <c r="L37" s="66">
        <f t="shared" si="57"/>
        <v>0.1050786913</v>
      </c>
      <c r="M37" s="67">
        <f t="shared" si="57"/>
        <v>0.4967907685</v>
      </c>
      <c r="N37" s="50"/>
      <c r="O37" s="68">
        <f t="shared" si="50"/>
        <v>1</v>
      </c>
      <c r="P37" s="69">
        <f t="shared" ref="P37:S37" si="58">IFERROR(D37/$C37,0)</f>
        <v>2.285500747</v>
      </c>
      <c r="Q37" s="69">
        <f t="shared" si="58"/>
        <v>4.886397608</v>
      </c>
      <c r="R37" s="69">
        <f t="shared" si="58"/>
        <v>2.756352765</v>
      </c>
      <c r="S37" s="70">
        <f t="shared" si="58"/>
        <v>11.94917788</v>
      </c>
      <c r="T37" s="71"/>
      <c r="U37" s="63"/>
      <c r="V37" s="64"/>
      <c r="W37" s="64"/>
      <c r="X37" s="64"/>
      <c r="Y37" s="64"/>
      <c r="Z37" s="64"/>
      <c r="AA37" s="49"/>
    </row>
    <row r="38" ht="15.75" customHeight="1">
      <c r="A38" s="50"/>
      <c r="B38" s="50" t="s">
        <v>110</v>
      </c>
      <c r="C38" s="50">
        <v>0.0</v>
      </c>
      <c r="D38" s="50">
        <v>6350.0</v>
      </c>
      <c r="E38" s="50">
        <v>11800.0</v>
      </c>
      <c r="F38" s="50">
        <v>12000.0</v>
      </c>
      <c r="G38" s="50">
        <v>49500.0</v>
      </c>
      <c r="H38" s="50"/>
      <c r="I38" s="60">
        <f t="shared" ref="I38:M38" si="59">C38/C$42</f>
        <v>0</v>
      </c>
      <c r="J38" s="60">
        <f t="shared" si="59"/>
        <v>0.07902918803</v>
      </c>
      <c r="K38" s="60">
        <f t="shared" si="59"/>
        <v>0.03676813571</v>
      </c>
      <c r="L38" s="60">
        <f t="shared" si="59"/>
        <v>0.03419046356</v>
      </c>
      <c r="M38" s="60">
        <f t="shared" si="59"/>
        <v>0.1538100015</v>
      </c>
      <c r="N38" s="50"/>
      <c r="O38" s="61">
        <f t="shared" si="50"/>
        <v>0</v>
      </c>
      <c r="P38" s="61">
        <f t="shared" ref="P38:S38" si="60">IFERROR(D38/$C38,0)</f>
        <v>0</v>
      </c>
      <c r="Q38" s="61">
        <f t="shared" si="60"/>
        <v>0</v>
      </c>
      <c r="R38" s="61">
        <f t="shared" si="60"/>
        <v>0</v>
      </c>
      <c r="S38" s="61">
        <f t="shared" si="60"/>
        <v>0</v>
      </c>
      <c r="T38" s="61"/>
      <c r="U38" s="50"/>
      <c r="V38" s="50"/>
      <c r="W38" s="50"/>
      <c r="X38" s="50"/>
      <c r="Y38" s="50"/>
      <c r="Z38" s="50"/>
      <c r="AA38" s="49"/>
    </row>
    <row r="39" ht="15.75" customHeight="1">
      <c r="A39" s="50"/>
      <c r="B39" s="50" t="s">
        <v>111</v>
      </c>
      <c r="C39" s="50">
        <v>1576.45</v>
      </c>
      <c r="D39" s="50">
        <v>11051.41</v>
      </c>
      <c r="E39" s="50">
        <v>22000.0</v>
      </c>
      <c r="F39" s="50">
        <v>18000.0</v>
      </c>
      <c r="G39" s="50">
        <v>8000.0</v>
      </c>
      <c r="H39" s="50"/>
      <c r="I39" s="60">
        <f t="shared" ref="I39:M39" si="61">C39/C$42</f>
        <v>0.02185565907</v>
      </c>
      <c r="J39" s="60">
        <f t="shared" si="61"/>
        <v>0.1375407809</v>
      </c>
      <c r="K39" s="60">
        <f t="shared" si="61"/>
        <v>0.0685507615</v>
      </c>
      <c r="L39" s="60">
        <f t="shared" si="61"/>
        <v>0.05128569534</v>
      </c>
      <c r="M39" s="60">
        <f t="shared" si="61"/>
        <v>0.02485818206</v>
      </c>
      <c r="N39" s="50"/>
      <c r="O39" s="61">
        <f t="shared" si="50"/>
        <v>1</v>
      </c>
      <c r="P39" s="61">
        <f t="shared" ref="P39:S39" si="62">IFERROR(D39/$C39,0)</f>
        <v>7.010314314</v>
      </c>
      <c r="Q39" s="61">
        <f t="shared" si="62"/>
        <v>13.95540613</v>
      </c>
      <c r="R39" s="61">
        <f t="shared" si="62"/>
        <v>11.41805956</v>
      </c>
      <c r="S39" s="61">
        <f t="shared" si="62"/>
        <v>5.07469314</v>
      </c>
      <c r="T39" s="61"/>
      <c r="U39" s="50"/>
      <c r="V39" s="50"/>
      <c r="W39" s="50"/>
      <c r="X39" s="50"/>
      <c r="Y39" s="50"/>
      <c r="Z39" s="50"/>
      <c r="AA39" s="49"/>
    </row>
    <row r="40" ht="15.75" customHeight="1">
      <c r="A40" s="50"/>
      <c r="B40" s="50" t="s">
        <v>112</v>
      </c>
      <c r="C40" s="62">
        <v>57173.61</v>
      </c>
      <c r="D40" s="62">
        <v>32368.649999999994</v>
      </c>
      <c r="E40" s="62">
        <v>221750.06</v>
      </c>
      <c r="F40" s="62">
        <v>284095.06</v>
      </c>
      <c r="G40" s="62">
        <v>104445.62585321383</v>
      </c>
      <c r="H40" s="50"/>
      <c r="I40" s="60">
        <f t="shared" ref="I40:M40" si="63">C40/C$42</f>
        <v>0.7926460896</v>
      </c>
      <c r="J40" s="60">
        <f t="shared" si="63"/>
        <v>0.4028453744</v>
      </c>
      <c r="K40" s="60">
        <f t="shared" si="63"/>
        <v>0.6909607034</v>
      </c>
      <c r="L40" s="60">
        <f t="shared" si="63"/>
        <v>0.8094451497</v>
      </c>
      <c r="M40" s="60">
        <f t="shared" si="63"/>
        <v>0.3245410479</v>
      </c>
      <c r="N40" s="50"/>
      <c r="O40" s="61">
        <f t="shared" si="50"/>
        <v>1</v>
      </c>
      <c r="P40" s="61">
        <f t="shared" ref="P40:S40" si="64">IFERROR(D40/$C40,0)</f>
        <v>0.566146689</v>
      </c>
      <c r="Q40" s="61">
        <f t="shared" si="64"/>
        <v>3.878538717</v>
      </c>
      <c r="R40" s="61">
        <f t="shared" si="64"/>
        <v>4.968989364</v>
      </c>
      <c r="S40" s="61">
        <f t="shared" si="64"/>
        <v>1.826815306</v>
      </c>
      <c r="T40" s="61"/>
      <c r="U40" s="50"/>
      <c r="V40" s="50"/>
      <c r="W40" s="50"/>
      <c r="X40" s="50"/>
      <c r="Y40" s="50"/>
      <c r="Z40" s="50"/>
      <c r="AA40" s="49"/>
    </row>
    <row r="41" ht="15.75" customHeight="1">
      <c r="A41" s="50"/>
      <c r="B41" s="63" t="s">
        <v>113</v>
      </c>
      <c r="C41" s="74">
        <f t="shared" ref="C41:G41" si="65">SUM(C38:C40)</f>
        <v>58750.06</v>
      </c>
      <c r="D41" s="74">
        <f t="shared" si="65"/>
        <v>49770.06</v>
      </c>
      <c r="E41" s="74">
        <f t="shared" si="65"/>
        <v>255550.06</v>
      </c>
      <c r="F41" s="74">
        <f t="shared" si="65"/>
        <v>314095.06</v>
      </c>
      <c r="G41" s="74">
        <f t="shared" si="65"/>
        <v>161945.6259</v>
      </c>
      <c r="H41" s="50"/>
      <c r="I41" s="75">
        <f t="shared" ref="I41:M41" si="66">C41/C$42</f>
        <v>0.8145017486</v>
      </c>
      <c r="J41" s="75">
        <f t="shared" si="66"/>
        <v>0.6194153433</v>
      </c>
      <c r="K41" s="75">
        <f t="shared" si="66"/>
        <v>0.7962796006</v>
      </c>
      <c r="L41" s="75">
        <f t="shared" si="66"/>
        <v>0.8949213087</v>
      </c>
      <c r="M41" s="75">
        <f t="shared" si="66"/>
        <v>0.5032092315</v>
      </c>
      <c r="N41" s="50"/>
      <c r="O41" s="61">
        <f t="shared" si="50"/>
        <v>1</v>
      </c>
      <c r="P41" s="61">
        <f t="shared" ref="P41:S41" si="67">IFERROR(D41/$C41,0)</f>
        <v>0.8471490923</v>
      </c>
      <c r="Q41" s="61">
        <f t="shared" si="67"/>
        <v>4.349783813</v>
      </c>
      <c r="R41" s="61">
        <f t="shared" si="67"/>
        <v>5.346293434</v>
      </c>
      <c r="S41" s="61">
        <f t="shared" si="67"/>
        <v>2.756518476</v>
      </c>
      <c r="T41" s="61"/>
      <c r="U41" s="63"/>
      <c r="V41" s="64"/>
      <c r="W41" s="64"/>
      <c r="X41" s="64"/>
      <c r="Y41" s="64"/>
      <c r="Z41" s="64"/>
      <c r="AA41" s="49"/>
    </row>
    <row r="42" ht="15.75" customHeight="1">
      <c r="A42" s="50"/>
      <c r="B42" s="63" t="s">
        <v>114</v>
      </c>
      <c r="C42" s="72">
        <f t="shared" ref="C42:G42" si="68">+C37+C41</f>
        <v>72130.06</v>
      </c>
      <c r="D42" s="72">
        <f t="shared" si="68"/>
        <v>80350.06</v>
      </c>
      <c r="E42" s="72">
        <f t="shared" si="68"/>
        <v>320930.06</v>
      </c>
      <c r="F42" s="72">
        <f t="shared" si="68"/>
        <v>350975.06</v>
      </c>
      <c r="G42" s="72">
        <f t="shared" si="68"/>
        <v>321825.6259</v>
      </c>
      <c r="H42" s="50"/>
      <c r="I42" s="65">
        <f t="shared" ref="I42:M42" si="69">C42/C$42</f>
        <v>1</v>
      </c>
      <c r="J42" s="66">
        <f t="shared" si="69"/>
        <v>1</v>
      </c>
      <c r="K42" s="66">
        <f t="shared" si="69"/>
        <v>1</v>
      </c>
      <c r="L42" s="66">
        <f t="shared" si="69"/>
        <v>1</v>
      </c>
      <c r="M42" s="67">
        <f t="shared" si="69"/>
        <v>1</v>
      </c>
      <c r="N42" s="50"/>
      <c r="O42" s="68">
        <f t="shared" si="50"/>
        <v>1</v>
      </c>
      <c r="P42" s="69">
        <f t="shared" ref="P42:S42" si="70">IFERROR(D42/$C42,0)</f>
        <v>1.113960809</v>
      </c>
      <c r="Q42" s="69">
        <f t="shared" si="70"/>
        <v>4.449324734</v>
      </c>
      <c r="R42" s="69">
        <f t="shared" si="70"/>
        <v>4.865863969</v>
      </c>
      <c r="S42" s="70">
        <f t="shared" si="70"/>
        <v>4.46174072</v>
      </c>
      <c r="T42" s="71"/>
      <c r="U42" s="63"/>
      <c r="V42" s="64"/>
      <c r="W42" s="64"/>
      <c r="X42" s="64"/>
      <c r="Y42" s="64"/>
      <c r="Z42" s="64"/>
      <c r="AA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60"/>
      <c r="J43" s="60"/>
      <c r="K43" s="60"/>
      <c r="L43" s="60"/>
      <c r="M43" s="60"/>
      <c r="N43" s="50"/>
      <c r="O43" s="61"/>
      <c r="P43" s="61"/>
      <c r="Q43" s="61"/>
      <c r="R43" s="61"/>
      <c r="S43" s="61"/>
      <c r="T43" s="61"/>
      <c r="U43" s="50"/>
      <c r="V43" s="50"/>
      <c r="W43" s="50"/>
      <c r="X43" s="50"/>
      <c r="Y43" s="50"/>
      <c r="Z43" s="50"/>
      <c r="AA43" s="49"/>
    </row>
    <row r="44" ht="15.75" customHeight="1">
      <c r="A44" s="50"/>
      <c r="B44" s="50" t="s">
        <v>115</v>
      </c>
      <c r="C44" s="50">
        <v>80000.0</v>
      </c>
      <c r="D44" s="50">
        <v>120000.0</v>
      </c>
      <c r="E44" s="50">
        <v>80000.0</v>
      </c>
      <c r="F44" s="50">
        <v>60000.0</v>
      </c>
      <c r="G44" s="50">
        <v>30000.0</v>
      </c>
      <c r="H44" s="50"/>
      <c r="I44" s="60">
        <f t="shared" ref="I44:M44" si="71">C44/C$42</f>
        <v>1.109107631</v>
      </c>
      <c r="J44" s="60">
        <f t="shared" si="71"/>
        <v>1.493464971</v>
      </c>
      <c r="K44" s="60">
        <f t="shared" si="71"/>
        <v>0.2492754963</v>
      </c>
      <c r="L44" s="60">
        <f t="shared" si="71"/>
        <v>0.1709523178</v>
      </c>
      <c r="M44" s="60">
        <f t="shared" si="71"/>
        <v>0.09321818274</v>
      </c>
      <c r="N44" s="50"/>
      <c r="O44" s="61">
        <f t="shared" ref="O44:O48" si="74">IFERROR(C44/C44,0)</f>
        <v>1</v>
      </c>
      <c r="P44" s="61">
        <f t="shared" ref="P44:S44" si="72">IFERROR(D44/$C44,0)</f>
        <v>1.5</v>
      </c>
      <c r="Q44" s="61">
        <f t="shared" si="72"/>
        <v>1</v>
      </c>
      <c r="R44" s="61">
        <f t="shared" si="72"/>
        <v>0.75</v>
      </c>
      <c r="S44" s="61">
        <f t="shared" si="72"/>
        <v>0.375</v>
      </c>
      <c r="T44" s="61"/>
      <c r="U44" s="50"/>
      <c r="V44" s="50"/>
      <c r="W44" s="50"/>
      <c r="X44" s="50"/>
      <c r="Y44" s="50"/>
      <c r="Z44" s="50"/>
      <c r="AA44" s="49"/>
    </row>
    <row r="45" ht="15.75" customHeight="1">
      <c r="A45" s="50"/>
      <c r="B45" s="50" t="s">
        <v>116</v>
      </c>
      <c r="C45" s="50">
        <v>0.0</v>
      </c>
      <c r="D45" s="50">
        <v>2500.0</v>
      </c>
      <c r="E45" s="50">
        <v>3200.0</v>
      </c>
      <c r="F45" s="50">
        <v>15000.0</v>
      </c>
      <c r="G45" s="50">
        <v>25000.0</v>
      </c>
      <c r="H45" s="50"/>
      <c r="I45" s="60">
        <f t="shared" ref="I45:M45" si="73">C45/C$42</f>
        <v>0</v>
      </c>
      <c r="J45" s="60">
        <f t="shared" si="73"/>
        <v>0.03111385356</v>
      </c>
      <c r="K45" s="60">
        <f t="shared" si="73"/>
        <v>0.009971019854</v>
      </c>
      <c r="L45" s="60">
        <f t="shared" si="73"/>
        <v>0.04273807945</v>
      </c>
      <c r="M45" s="60">
        <f t="shared" si="73"/>
        <v>0.07768181895</v>
      </c>
      <c r="N45" s="50"/>
      <c r="O45" s="61">
        <f t="shared" si="74"/>
        <v>0</v>
      </c>
      <c r="P45" s="61">
        <f t="shared" ref="P45:S45" si="75">IFERROR(D45/$C45,0)</f>
        <v>0</v>
      </c>
      <c r="Q45" s="61">
        <f t="shared" si="75"/>
        <v>0</v>
      </c>
      <c r="R45" s="61">
        <f t="shared" si="75"/>
        <v>0</v>
      </c>
      <c r="S45" s="61">
        <f t="shared" si="75"/>
        <v>0</v>
      </c>
      <c r="T45" s="61"/>
      <c r="U45" s="50"/>
      <c r="V45" s="50"/>
      <c r="W45" s="50"/>
      <c r="X45" s="50"/>
      <c r="Y45" s="50"/>
      <c r="Z45" s="50"/>
      <c r="AA45" s="49"/>
    </row>
    <row r="46" ht="15.75" customHeight="1">
      <c r="A46" s="50"/>
      <c r="B46" s="50" t="s">
        <v>117</v>
      </c>
      <c r="C46" s="50">
        <v>300.0</v>
      </c>
      <c r="D46" s="50">
        <v>120.0</v>
      </c>
      <c r="E46" s="50">
        <v>250.0</v>
      </c>
      <c r="F46" s="50">
        <v>320.0</v>
      </c>
      <c r="G46" s="50">
        <v>650.0</v>
      </c>
      <c r="H46" s="50"/>
      <c r="I46" s="60">
        <f t="shared" ref="I46:M46" si="76">C46/C$42</f>
        <v>0.004159153618</v>
      </c>
      <c r="J46" s="60">
        <f t="shared" si="76"/>
        <v>0.001493464971</v>
      </c>
      <c r="K46" s="60">
        <f t="shared" si="76"/>
        <v>0.0007789859261</v>
      </c>
      <c r="L46" s="60">
        <f t="shared" si="76"/>
        <v>0.000911745695</v>
      </c>
      <c r="M46" s="60">
        <f t="shared" si="76"/>
        <v>0.002019727293</v>
      </c>
      <c r="N46" s="50"/>
      <c r="O46" s="61">
        <f t="shared" si="74"/>
        <v>1</v>
      </c>
      <c r="P46" s="61">
        <f t="shared" ref="P46:S46" si="77">IFERROR(D46/$C46,0)</f>
        <v>0.4</v>
      </c>
      <c r="Q46" s="61">
        <f t="shared" si="77"/>
        <v>0.8333333333</v>
      </c>
      <c r="R46" s="61">
        <f t="shared" si="77"/>
        <v>1.066666667</v>
      </c>
      <c r="S46" s="61">
        <f t="shared" si="77"/>
        <v>2.166666667</v>
      </c>
      <c r="T46" s="61"/>
      <c r="U46" s="50"/>
      <c r="V46" s="50"/>
      <c r="W46" s="50"/>
      <c r="X46" s="50"/>
      <c r="Y46" s="50"/>
      <c r="Z46" s="50"/>
      <c r="AA46" s="49"/>
    </row>
    <row r="47" ht="15.75" customHeight="1">
      <c r="A47" s="50"/>
      <c r="B47" s="50" t="s">
        <v>118</v>
      </c>
      <c r="C47" s="62">
        <v>0.0</v>
      </c>
      <c r="D47" s="62">
        <v>0.0</v>
      </c>
      <c r="E47" s="62">
        <v>250.0</v>
      </c>
      <c r="F47" s="62">
        <v>1200.0</v>
      </c>
      <c r="G47" s="62">
        <v>2350.0</v>
      </c>
      <c r="H47" s="50"/>
      <c r="I47" s="60">
        <f t="shared" ref="I47:M47" si="78">C47/C$42</f>
        <v>0</v>
      </c>
      <c r="J47" s="60">
        <f t="shared" si="78"/>
        <v>0</v>
      </c>
      <c r="K47" s="60">
        <f t="shared" si="78"/>
        <v>0.0007789859261</v>
      </c>
      <c r="L47" s="60">
        <f t="shared" si="78"/>
        <v>0.003419046356</v>
      </c>
      <c r="M47" s="60">
        <f t="shared" si="78"/>
        <v>0.007302090981</v>
      </c>
      <c r="N47" s="50"/>
      <c r="O47" s="61">
        <f t="shared" si="74"/>
        <v>0</v>
      </c>
      <c r="P47" s="61">
        <f t="shared" ref="P47:S47" si="79">IFERROR(D47/$C47,0)</f>
        <v>0</v>
      </c>
      <c r="Q47" s="61">
        <f t="shared" si="79"/>
        <v>0</v>
      </c>
      <c r="R47" s="61">
        <f t="shared" si="79"/>
        <v>0</v>
      </c>
      <c r="S47" s="61">
        <f t="shared" si="79"/>
        <v>0</v>
      </c>
      <c r="T47" s="61"/>
      <c r="U47" s="50"/>
      <c r="V47" s="50"/>
      <c r="W47" s="50"/>
      <c r="X47" s="50"/>
      <c r="Y47" s="50"/>
      <c r="Z47" s="50"/>
      <c r="AA47" s="49"/>
    </row>
    <row r="48" ht="15.75" customHeight="1">
      <c r="A48" s="50"/>
      <c r="B48" s="63" t="s">
        <v>119</v>
      </c>
      <c r="C48" s="76">
        <f t="shared" ref="C48:G48" si="80">SUM(C44:C47)</f>
        <v>80300</v>
      </c>
      <c r="D48" s="76">
        <f t="shared" si="80"/>
        <v>122620</v>
      </c>
      <c r="E48" s="76">
        <f t="shared" si="80"/>
        <v>83700</v>
      </c>
      <c r="F48" s="76">
        <f t="shared" si="80"/>
        <v>76520</v>
      </c>
      <c r="G48" s="76">
        <f t="shared" si="80"/>
        <v>58000</v>
      </c>
      <c r="H48" s="50"/>
      <c r="I48" s="65">
        <f t="shared" ref="I48:M48" si="81">C48/C$42</f>
        <v>1.113266785</v>
      </c>
      <c r="J48" s="66">
        <f t="shared" si="81"/>
        <v>1.526072289</v>
      </c>
      <c r="K48" s="66">
        <f t="shared" si="81"/>
        <v>0.2608044881</v>
      </c>
      <c r="L48" s="66">
        <f t="shared" si="81"/>
        <v>0.2180211893</v>
      </c>
      <c r="M48" s="67">
        <f t="shared" si="81"/>
        <v>0.18022182</v>
      </c>
      <c r="N48" s="50"/>
      <c r="O48" s="68">
        <f t="shared" si="74"/>
        <v>1</v>
      </c>
      <c r="P48" s="69">
        <f t="shared" ref="P48:S48" si="82">IFERROR(D48/$C48,0)</f>
        <v>1.527023661</v>
      </c>
      <c r="Q48" s="69">
        <f t="shared" si="82"/>
        <v>1.04234122</v>
      </c>
      <c r="R48" s="69">
        <f t="shared" si="82"/>
        <v>0.9529265255</v>
      </c>
      <c r="S48" s="70">
        <f t="shared" si="82"/>
        <v>0.7222914072</v>
      </c>
      <c r="T48" s="61"/>
      <c r="U48" s="63"/>
      <c r="V48" s="64"/>
      <c r="W48" s="64"/>
      <c r="X48" s="64"/>
      <c r="Y48" s="64"/>
      <c r="Z48" s="64"/>
      <c r="AA48" s="49"/>
    </row>
    <row r="49" ht="15.75" customHeight="1">
      <c r="A49" s="50"/>
      <c r="B49" s="63"/>
      <c r="C49" s="64"/>
      <c r="D49" s="64"/>
      <c r="E49" s="64"/>
      <c r="F49" s="64"/>
      <c r="G49" s="64"/>
      <c r="H49" s="50"/>
      <c r="I49" s="50"/>
      <c r="J49" s="50"/>
      <c r="K49" s="50"/>
      <c r="L49" s="50"/>
      <c r="M49" s="50"/>
      <c r="N49" s="50"/>
      <c r="O49" s="61"/>
      <c r="P49" s="61"/>
      <c r="Q49" s="61"/>
      <c r="R49" s="61"/>
      <c r="S49" s="61"/>
      <c r="T49" s="61"/>
      <c r="U49" s="63"/>
      <c r="V49" s="64"/>
      <c r="W49" s="64"/>
      <c r="X49" s="64"/>
      <c r="Y49" s="64"/>
      <c r="Z49" s="64"/>
      <c r="AA49" s="49"/>
    </row>
    <row r="50" ht="15.75" customHeight="1">
      <c r="A50" s="50"/>
      <c r="B50" s="50" t="s">
        <v>120</v>
      </c>
      <c r="C50" s="50">
        <v>0.0</v>
      </c>
      <c r="D50" s="50">
        <v>0.0</v>
      </c>
      <c r="E50" s="50">
        <v>250000.0</v>
      </c>
      <c r="F50" s="50">
        <v>200000.0</v>
      </c>
      <c r="G50" s="50">
        <v>135320.56585321383</v>
      </c>
      <c r="H50" s="50"/>
      <c r="I50" s="60">
        <f t="shared" ref="I50:M50" si="83">C50/C$42</f>
        <v>0</v>
      </c>
      <c r="J50" s="60">
        <f t="shared" si="83"/>
        <v>0</v>
      </c>
      <c r="K50" s="60">
        <f t="shared" si="83"/>
        <v>0.7789859261</v>
      </c>
      <c r="L50" s="60">
        <f t="shared" si="83"/>
        <v>0.5698410594</v>
      </c>
      <c r="M50" s="60">
        <f t="shared" si="83"/>
        <v>0.4204779079</v>
      </c>
      <c r="N50" s="50"/>
      <c r="O50" s="61">
        <f>IFERROR(C50/C50,0)</f>
        <v>0</v>
      </c>
      <c r="P50" s="61">
        <f t="shared" ref="P50:S50" si="84">IFERROR(D50/$C50,0)</f>
        <v>0</v>
      </c>
      <c r="Q50" s="61">
        <f t="shared" si="84"/>
        <v>0</v>
      </c>
      <c r="R50" s="61">
        <f t="shared" si="84"/>
        <v>0</v>
      </c>
      <c r="S50" s="61">
        <f t="shared" si="84"/>
        <v>0</v>
      </c>
      <c r="T50" s="61"/>
      <c r="U50" s="50"/>
      <c r="V50" s="50"/>
      <c r="W50" s="50"/>
      <c r="X50" s="50"/>
      <c r="Y50" s="50"/>
      <c r="Z50" s="50"/>
      <c r="AA50" s="49"/>
    </row>
    <row r="51" ht="15.75" customHeight="1">
      <c r="A51" s="50"/>
      <c r="B51" s="63"/>
      <c r="C51" s="74"/>
      <c r="D51" s="74"/>
      <c r="E51" s="74"/>
      <c r="F51" s="74"/>
      <c r="G51" s="74"/>
      <c r="H51" s="50"/>
      <c r="I51" s="75"/>
      <c r="J51" s="75"/>
      <c r="K51" s="75"/>
      <c r="L51" s="75"/>
      <c r="M51" s="75"/>
      <c r="N51" s="50"/>
      <c r="O51" s="61"/>
      <c r="P51" s="61"/>
      <c r="Q51" s="61"/>
      <c r="R51" s="61"/>
      <c r="S51" s="61"/>
      <c r="T51" s="61"/>
      <c r="U51" s="63"/>
      <c r="V51" s="64"/>
      <c r="W51" s="64"/>
      <c r="X51" s="64"/>
      <c r="Y51" s="64"/>
      <c r="Z51" s="64"/>
      <c r="AA51" s="49"/>
    </row>
    <row r="52" ht="15.75" customHeight="1">
      <c r="A52" s="50"/>
      <c r="B52" s="63" t="s">
        <v>121</v>
      </c>
      <c r="C52" s="64">
        <f t="shared" ref="C52:G52" si="85">+C50+C48</f>
        <v>80300</v>
      </c>
      <c r="D52" s="64">
        <f t="shared" si="85"/>
        <v>122620</v>
      </c>
      <c r="E52" s="64">
        <f t="shared" si="85"/>
        <v>333700</v>
      </c>
      <c r="F52" s="64">
        <f t="shared" si="85"/>
        <v>276520</v>
      </c>
      <c r="G52" s="64">
        <f t="shared" si="85"/>
        <v>193320.5659</v>
      </c>
      <c r="H52" s="50"/>
      <c r="I52" s="65">
        <f t="shared" ref="I52:M52" si="86">C52/C$42</f>
        <v>1.113266785</v>
      </c>
      <c r="J52" s="66">
        <f t="shared" si="86"/>
        <v>1.526072289</v>
      </c>
      <c r="K52" s="66">
        <f t="shared" si="86"/>
        <v>1.039790414</v>
      </c>
      <c r="L52" s="66">
        <f t="shared" si="86"/>
        <v>0.7878622487</v>
      </c>
      <c r="M52" s="67">
        <f t="shared" si="86"/>
        <v>0.6006997278</v>
      </c>
      <c r="N52" s="50"/>
      <c r="O52" s="68">
        <f>IFERROR(C52/C52,0)</f>
        <v>1</v>
      </c>
      <c r="P52" s="69">
        <f t="shared" ref="P52:S52" si="87">IFERROR(D52/$C52,0)</f>
        <v>1.527023661</v>
      </c>
      <c r="Q52" s="69">
        <f t="shared" si="87"/>
        <v>4.155666252</v>
      </c>
      <c r="R52" s="69">
        <f t="shared" si="87"/>
        <v>3.44358655</v>
      </c>
      <c r="S52" s="70">
        <f t="shared" si="87"/>
        <v>2.407479027</v>
      </c>
      <c r="T52" s="71"/>
      <c r="U52" s="63"/>
      <c r="V52" s="64"/>
      <c r="W52" s="64"/>
      <c r="X52" s="64"/>
      <c r="Y52" s="64"/>
      <c r="Z52" s="64"/>
      <c r="AA52" s="49"/>
    </row>
    <row r="53" ht="15.75" customHeight="1">
      <c r="A53" s="50"/>
      <c r="B53" s="63"/>
      <c r="C53" s="64"/>
      <c r="D53" s="64"/>
      <c r="E53" s="64"/>
      <c r="F53" s="64"/>
      <c r="G53" s="64"/>
      <c r="H53" s="50"/>
      <c r="I53" s="75"/>
      <c r="J53" s="75"/>
      <c r="K53" s="75"/>
      <c r="L53" s="75"/>
      <c r="M53" s="75"/>
      <c r="N53" s="50"/>
      <c r="O53" s="71"/>
      <c r="P53" s="71"/>
      <c r="Q53" s="71"/>
      <c r="R53" s="71"/>
      <c r="S53" s="71"/>
      <c r="T53" s="71"/>
      <c r="U53" s="63"/>
      <c r="V53" s="64"/>
      <c r="W53" s="64"/>
      <c r="X53" s="64"/>
      <c r="Y53" s="64"/>
      <c r="Z53" s="64"/>
      <c r="AA53" s="49"/>
    </row>
    <row r="54" ht="15.75" customHeight="1">
      <c r="A54" s="50"/>
      <c r="B54" s="50" t="s">
        <v>122</v>
      </c>
      <c r="C54" s="50">
        <v>3000.06</v>
      </c>
      <c r="D54" s="50">
        <v>3000.06</v>
      </c>
      <c r="E54" s="50">
        <v>3000.06</v>
      </c>
      <c r="F54" s="50">
        <v>3000.06</v>
      </c>
      <c r="G54" s="50">
        <v>3000.06</v>
      </c>
      <c r="H54" s="50"/>
      <c r="I54" s="60">
        <f t="shared" ref="I54:M54" si="88">C54/C$42</f>
        <v>0.04159236801</v>
      </c>
      <c r="J54" s="60">
        <f t="shared" si="88"/>
        <v>0.037337371</v>
      </c>
      <c r="K54" s="60">
        <f t="shared" si="88"/>
        <v>0.00934801807</v>
      </c>
      <c r="L54" s="60">
        <f t="shared" si="88"/>
        <v>0.008547786843</v>
      </c>
      <c r="M54" s="60">
        <f t="shared" si="88"/>
        <v>0.00932200471</v>
      </c>
      <c r="N54" s="50"/>
      <c r="O54" s="61">
        <f t="shared" ref="O54:O58" si="91">IFERROR(C54/C54,0)</f>
        <v>1</v>
      </c>
      <c r="P54" s="61">
        <f t="shared" ref="P54:S54" si="89">IFERROR(D54/$C54,0)</f>
        <v>1</v>
      </c>
      <c r="Q54" s="61">
        <f t="shared" si="89"/>
        <v>1</v>
      </c>
      <c r="R54" s="61">
        <f t="shared" si="89"/>
        <v>1</v>
      </c>
      <c r="S54" s="61">
        <f t="shared" si="89"/>
        <v>1</v>
      </c>
      <c r="T54" s="61"/>
      <c r="U54" s="50"/>
      <c r="V54" s="50"/>
      <c r="W54" s="50"/>
      <c r="X54" s="50"/>
      <c r="Y54" s="50"/>
      <c r="Z54" s="50"/>
      <c r="AA54" s="49"/>
    </row>
    <row r="55" ht="15.75" customHeight="1">
      <c r="A55" s="50"/>
      <c r="B55" s="50" t="s">
        <v>123</v>
      </c>
      <c r="C55" s="50">
        <v>800.0</v>
      </c>
      <c r="D55" s="50">
        <v>800.0</v>
      </c>
      <c r="E55" s="50">
        <v>800.0</v>
      </c>
      <c r="F55" s="50">
        <v>800.0</v>
      </c>
      <c r="G55" s="50">
        <v>800.0</v>
      </c>
      <c r="H55" s="50"/>
      <c r="I55" s="60">
        <f t="shared" ref="I55:M55" si="90">C55/C$42</f>
        <v>0.01109107631</v>
      </c>
      <c r="J55" s="60">
        <f t="shared" si="90"/>
        <v>0.009956433138</v>
      </c>
      <c r="K55" s="60">
        <f t="shared" si="90"/>
        <v>0.002492754963</v>
      </c>
      <c r="L55" s="60">
        <f t="shared" si="90"/>
        <v>0.002279364237</v>
      </c>
      <c r="M55" s="60">
        <f t="shared" si="90"/>
        <v>0.002485818206</v>
      </c>
      <c r="N55" s="50"/>
      <c r="O55" s="61">
        <f t="shared" si="91"/>
        <v>1</v>
      </c>
      <c r="P55" s="61">
        <f t="shared" ref="P55:S55" si="92">IFERROR(D55/$C55,0)</f>
        <v>1</v>
      </c>
      <c r="Q55" s="61">
        <f t="shared" si="92"/>
        <v>1</v>
      </c>
      <c r="R55" s="61">
        <f t="shared" si="92"/>
        <v>1</v>
      </c>
      <c r="S55" s="61">
        <f t="shared" si="92"/>
        <v>1</v>
      </c>
      <c r="T55" s="61"/>
      <c r="U55" s="50"/>
      <c r="V55" s="50"/>
      <c r="W55" s="50"/>
      <c r="X55" s="50"/>
      <c r="Y55" s="50"/>
      <c r="Z55" s="50"/>
      <c r="AA55" s="49"/>
    </row>
    <row r="56" ht="15.75" customHeight="1">
      <c r="A56" s="50"/>
      <c r="B56" s="50" t="s">
        <v>124</v>
      </c>
      <c r="C56" s="50">
        <v>0.0</v>
      </c>
      <c r="D56" s="50">
        <f t="shared" ref="D56:G56" si="93">+C56+C57</f>
        <v>-11970</v>
      </c>
      <c r="E56" s="50">
        <f t="shared" si="93"/>
        <v>-46070</v>
      </c>
      <c r="F56" s="50">
        <f t="shared" si="93"/>
        <v>-16570</v>
      </c>
      <c r="G56" s="50">
        <f t="shared" si="93"/>
        <v>70655</v>
      </c>
      <c r="H56" s="50"/>
      <c r="I56" s="60">
        <f t="shared" ref="I56:M56" si="94">C56/C$42</f>
        <v>0</v>
      </c>
      <c r="J56" s="60">
        <f t="shared" si="94"/>
        <v>-0.1489731308</v>
      </c>
      <c r="K56" s="60">
        <f t="shared" si="94"/>
        <v>-0.1435515265</v>
      </c>
      <c r="L56" s="60">
        <f t="shared" si="94"/>
        <v>-0.04721133177</v>
      </c>
      <c r="M56" s="60">
        <f t="shared" si="94"/>
        <v>0.2195443567</v>
      </c>
      <c r="N56" s="50"/>
      <c r="O56" s="61">
        <f t="shared" si="91"/>
        <v>0</v>
      </c>
      <c r="P56" s="61">
        <f t="shared" ref="P56:S56" si="95">IFERROR(D56/$C56,0)</f>
        <v>0</v>
      </c>
      <c r="Q56" s="61">
        <f t="shared" si="95"/>
        <v>0</v>
      </c>
      <c r="R56" s="61">
        <f t="shared" si="95"/>
        <v>0</v>
      </c>
      <c r="S56" s="61">
        <f t="shared" si="95"/>
        <v>0</v>
      </c>
      <c r="T56" s="61"/>
      <c r="U56" s="50"/>
      <c r="V56" s="50"/>
      <c r="W56" s="50"/>
      <c r="X56" s="50"/>
      <c r="Y56" s="50"/>
      <c r="Z56" s="50"/>
      <c r="AA56" s="49"/>
    </row>
    <row r="57" ht="15.75" customHeight="1">
      <c r="A57" s="50"/>
      <c r="B57" s="50" t="s">
        <v>125</v>
      </c>
      <c r="C57" s="62">
        <f t="shared" ref="C57:G57" si="96">+C27</f>
        <v>-11970</v>
      </c>
      <c r="D57" s="62">
        <f t="shared" si="96"/>
        <v>-34100</v>
      </c>
      <c r="E57" s="62">
        <f t="shared" si="96"/>
        <v>29500</v>
      </c>
      <c r="F57" s="62">
        <f t="shared" si="96"/>
        <v>87225</v>
      </c>
      <c r="G57" s="62">
        <f t="shared" si="96"/>
        <v>54050</v>
      </c>
      <c r="H57" s="50"/>
      <c r="I57" s="60">
        <f t="shared" ref="I57:M57" si="97">C57/C$42</f>
        <v>-0.1659502293</v>
      </c>
      <c r="J57" s="60">
        <f t="shared" si="97"/>
        <v>-0.4243929625</v>
      </c>
      <c r="K57" s="60">
        <f t="shared" si="97"/>
        <v>0.09192033928</v>
      </c>
      <c r="L57" s="60">
        <f t="shared" si="97"/>
        <v>0.248521932</v>
      </c>
      <c r="M57" s="60">
        <f t="shared" si="97"/>
        <v>0.1679480926</v>
      </c>
      <c r="N57" s="50"/>
      <c r="O57" s="61">
        <f t="shared" si="91"/>
        <v>1</v>
      </c>
      <c r="P57" s="61">
        <f t="shared" ref="P57:S57" si="98">IFERROR(D57/$C57,0)</f>
        <v>2.848788638</v>
      </c>
      <c r="Q57" s="61">
        <f t="shared" si="98"/>
        <v>-2.46449457</v>
      </c>
      <c r="R57" s="61">
        <f t="shared" si="98"/>
        <v>-7.286967419</v>
      </c>
      <c r="S57" s="61">
        <f t="shared" si="98"/>
        <v>-4.515455305</v>
      </c>
      <c r="T57" s="61"/>
      <c r="U57" s="50"/>
      <c r="V57" s="50"/>
      <c r="W57" s="50"/>
      <c r="X57" s="50"/>
      <c r="Y57" s="50"/>
      <c r="Z57" s="50"/>
      <c r="AA57" s="49"/>
    </row>
    <row r="58" ht="15.75" customHeight="1">
      <c r="A58" s="50"/>
      <c r="B58" s="63" t="s">
        <v>126</v>
      </c>
      <c r="C58" s="64">
        <f t="shared" ref="C58:G58" si="99">SUM(C54:C57)</f>
        <v>-8169.94</v>
      </c>
      <c r="D58" s="64">
        <f t="shared" si="99"/>
        <v>-42269.94</v>
      </c>
      <c r="E58" s="64">
        <f t="shared" si="99"/>
        <v>-12769.94</v>
      </c>
      <c r="F58" s="64">
        <f t="shared" si="99"/>
        <v>74455.06</v>
      </c>
      <c r="G58" s="64">
        <f t="shared" si="99"/>
        <v>128505.06</v>
      </c>
      <c r="H58" s="50"/>
      <c r="I58" s="65">
        <f t="shared" ref="I58:M58" si="100">C58/C$42</f>
        <v>-0.113266785</v>
      </c>
      <c r="J58" s="66">
        <f t="shared" si="100"/>
        <v>-0.5260722892</v>
      </c>
      <c r="K58" s="66">
        <f t="shared" si="100"/>
        <v>-0.03979041415</v>
      </c>
      <c r="L58" s="66">
        <f t="shared" si="100"/>
        <v>0.2121377513</v>
      </c>
      <c r="M58" s="67">
        <f t="shared" si="100"/>
        <v>0.3993002722</v>
      </c>
      <c r="N58" s="50"/>
      <c r="O58" s="68">
        <f t="shared" si="91"/>
        <v>1</v>
      </c>
      <c r="P58" s="69">
        <f t="shared" ref="P58:S58" si="101">IFERROR(D58/$C58,0)</f>
        <v>5.173837262</v>
      </c>
      <c r="Q58" s="69">
        <f t="shared" si="101"/>
        <v>1.563039631</v>
      </c>
      <c r="R58" s="69">
        <f t="shared" si="101"/>
        <v>-9.113293366</v>
      </c>
      <c r="S58" s="70">
        <f t="shared" si="101"/>
        <v>-15.72900903</v>
      </c>
      <c r="T58" s="71"/>
      <c r="U58" s="63"/>
      <c r="V58" s="64"/>
      <c r="W58" s="64"/>
      <c r="X58" s="64"/>
      <c r="Y58" s="64"/>
      <c r="Z58" s="64"/>
      <c r="AA58" s="49"/>
    </row>
    <row r="59" ht="15.75" customHeight="1">
      <c r="A59" s="50"/>
      <c r="B59" s="63"/>
      <c r="C59" s="64"/>
      <c r="D59" s="64"/>
      <c r="E59" s="64"/>
      <c r="F59" s="64"/>
      <c r="G59" s="64"/>
      <c r="H59" s="50"/>
      <c r="I59" s="75"/>
      <c r="J59" s="75"/>
      <c r="K59" s="75"/>
      <c r="L59" s="75"/>
      <c r="M59" s="75"/>
      <c r="N59" s="50"/>
      <c r="O59" s="61"/>
      <c r="P59" s="61"/>
      <c r="Q59" s="61"/>
      <c r="R59" s="61"/>
      <c r="S59" s="61"/>
      <c r="T59" s="61"/>
      <c r="U59" s="63"/>
      <c r="V59" s="64"/>
      <c r="W59" s="64"/>
      <c r="X59" s="64"/>
      <c r="Y59" s="64"/>
      <c r="Z59" s="64"/>
      <c r="AA59" s="49"/>
    </row>
    <row r="60" ht="15.75" customHeight="1">
      <c r="A60" s="50"/>
      <c r="B60" s="63" t="s">
        <v>127</v>
      </c>
      <c r="C60" s="72">
        <f t="shared" ref="C60:G60" si="102">+C58+C52</f>
        <v>72130.06</v>
      </c>
      <c r="D60" s="72">
        <f t="shared" si="102"/>
        <v>80350.06</v>
      </c>
      <c r="E60" s="72">
        <f t="shared" si="102"/>
        <v>320930.06</v>
      </c>
      <c r="F60" s="72">
        <f t="shared" si="102"/>
        <v>350975.06</v>
      </c>
      <c r="G60" s="72">
        <f t="shared" si="102"/>
        <v>321825.6259</v>
      </c>
      <c r="H60" s="50"/>
      <c r="I60" s="65">
        <f t="shared" ref="I60:M60" si="103">C60/C$42</f>
        <v>1</v>
      </c>
      <c r="J60" s="66">
        <f t="shared" si="103"/>
        <v>1</v>
      </c>
      <c r="K60" s="66">
        <f t="shared" si="103"/>
        <v>1</v>
      </c>
      <c r="L60" s="66">
        <f t="shared" si="103"/>
        <v>1</v>
      </c>
      <c r="M60" s="67">
        <f t="shared" si="103"/>
        <v>1</v>
      </c>
      <c r="N60" s="50"/>
      <c r="O60" s="68">
        <f>IFERROR(C60/C60,0)</f>
        <v>1</v>
      </c>
      <c r="P60" s="69">
        <f t="shared" ref="P60:S60" si="104">IFERROR(D60/$C60,0)</f>
        <v>1.113960809</v>
      </c>
      <c r="Q60" s="69">
        <f t="shared" si="104"/>
        <v>4.449324734</v>
      </c>
      <c r="R60" s="69">
        <f t="shared" si="104"/>
        <v>4.865863969</v>
      </c>
      <c r="S60" s="70">
        <f t="shared" si="104"/>
        <v>4.46174072</v>
      </c>
      <c r="T60" s="71"/>
      <c r="U60" s="63"/>
      <c r="V60" s="64"/>
      <c r="W60" s="64"/>
      <c r="X60" s="64"/>
      <c r="Y60" s="64"/>
      <c r="Z60" s="64"/>
      <c r="AA60" s="49"/>
    </row>
    <row r="61" ht="15.75" customHeight="1">
      <c r="A61" s="50"/>
      <c r="B61" s="50"/>
      <c r="C61" s="77">
        <f t="shared" ref="C61:G61" si="105">+C60-C42</f>
        <v>0</v>
      </c>
      <c r="D61" s="77">
        <f t="shared" si="105"/>
        <v>0</v>
      </c>
      <c r="E61" s="77">
        <f t="shared" si="105"/>
        <v>0</v>
      </c>
      <c r="F61" s="77">
        <f t="shared" si="105"/>
        <v>0</v>
      </c>
      <c r="G61" s="77">
        <f t="shared" si="105"/>
        <v>0</v>
      </c>
      <c r="H61" s="50"/>
      <c r="I61" s="64"/>
      <c r="J61" s="64"/>
      <c r="K61" s="64"/>
      <c r="L61" s="64"/>
      <c r="M61" s="64"/>
      <c r="N61" s="50"/>
      <c r="O61" s="50"/>
      <c r="P61" s="50"/>
      <c r="Q61" s="50"/>
      <c r="R61" s="50"/>
      <c r="S61" s="50"/>
      <c r="T61" s="50"/>
      <c r="U61" s="50"/>
      <c r="V61" s="77"/>
      <c r="W61" s="77"/>
      <c r="X61" s="77"/>
      <c r="Y61" s="77"/>
      <c r="Z61" s="77"/>
      <c r="AA61" s="49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49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49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49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49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49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49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49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49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49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49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49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5">
    <mergeCell ref="B5:C7"/>
    <mergeCell ref="C13:G13"/>
    <mergeCell ref="I13:M13"/>
    <mergeCell ref="O13:S13"/>
    <mergeCell ref="V13:Z1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35.7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5.6"/>
    <col customWidth="1" min="22" max="22" width="9.0"/>
    <col customWidth="1" min="23" max="26" width="9.6"/>
    <col customWidth="1" min="27" max="27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49"/>
    </row>
    <row r="3">
      <c r="A3" s="50"/>
      <c r="B3" s="7" t="s">
        <v>138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49"/>
    </row>
    <row r="5" ht="15.0" customHeight="1">
      <c r="A5" s="50"/>
      <c r="B5" s="9" t="s">
        <v>139</v>
      </c>
      <c r="C5" s="11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49"/>
    </row>
    <row r="6">
      <c r="A6" s="50"/>
      <c r="B6" s="15"/>
      <c r="C6" s="16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49"/>
    </row>
    <row r="7">
      <c r="A7" s="50"/>
      <c r="B7" s="12"/>
      <c r="C7" s="14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49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3">+C15/C$15</f>
        <v>1</v>
      </c>
      <c r="J15" s="60">
        <f t="shared" si="3"/>
        <v>1</v>
      </c>
      <c r="K15" s="60">
        <f t="shared" si="3"/>
        <v>1</v>
      </c>
      <c r="L15" s="60">
        <f t="shared" si="3"/>
        <v>1</v>
      </c>
      <c r="M15" s="60">
        <f t="shared" si="3"/>
        <v>1</v>
      </c>
      <c r="N15" s="50"/>
      <c r="O15" s="61">
        <f t="shared" ref="O15:O27" si="6">IFERROR(C15/C15,0)</f>
        <v>1</v>
      </c>
      <c r="P15" s="61">
        <f t="shared" ref="P15:S15" si="4">IFERROR(D15/$C15,0)</f>
        <v>1.266666667</v>
      </c>
      <c r="Q15" s="61">
        <f t="shared" si="4"/>
        <v>2.1</v>
      </c>
      <c r="R15" s="61">
        <f t="shared" si="4"/>
        <v>2.533333333</v>
      </c>
      <c r="S15" s="61">
        <f t="shared" si="4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5">+C16/C$15</f>
        <v>-0.5733333333</v>
      </c>
      <c r="J16" s="60">
        <f t="shared" si="5"/>
        <v>-0.6315789474</v>
      </c>
      <c r="K16" s="60">
        <f t="shared" si="5"/>
        <v>-0.4285714286</v>
      </c>
      <c r="L16" s="60">
        <f t="shared" si="5"/>
        <v>-0.3631578947</v>
      </c>
      <c r="M16" s="60">
        <f t="shared" si="5"/>
        <v>-0.4411764706</v>
      </c>
      <c r="N16" s="50"/>
      <c r="O16" s="61">
        <f t="shared" si="6"/>
        <v>1</v>
      </c>
      <c r="P16" s="61">
        <f t="shared" ref="P16:S16" si="7">IFERROR(D16/$C16,0)</f>
        <v>1.395348837</v>
      </c>
      <c r="Q16" s="61">
        <f t="shared" si="7"/>
        <v>1.569767442</v>
      </c>
      <c r="R16" s="61">
        <f t="shared" si="7"/>
        <v>1.604651163</v>
      </c>
      <c r="S16" s="61">
        <f t="shared" si="7"/>
        <v>3.488372093</v>
      </c>
      <c r="T16" s="61"/>
      <c r="U16" s="50" t="s">
        <v>92</v>
      </c>
      <c r="V16" s="50">
        <f t="shared" ref="V16:Z16" si="8">-V15*V4</f>
        <v>-403920</v>
      </c>
      <c r="W16" s="50">
        <f t="shared" si="8"/>
        <v>-545292</v>
      </c>
      <c r="X16" s="50">
        <f t="shared" si="8"/>
        <v>-702683.1</v>
      </c>
      <c r="Y16" s="50">
        <f t="shared" si="8"/>
        <v>-948622.185</v>
      </c>
      <c r="Z16" s="50">
        <f t="shared" si="8"/>
        <v>-1280639.95</v>
      </c>
      <c r="AA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9">+C17/C$15</f>
        <v>-0.06</v>
      </c>
      <c r="J17" s="96">
        <f t="shared" si="9"/>
        <v>-0.06315789474</v>
      </c>
      <c r="K17" s="96">
        <f t="shared" si="9"/>
        <v>-0.05238095238</v>
      </c>
      <c r="L17" s="96">
        <f t="shared" si="9"/>
        <v>-0.05657894737</v>
      </c>
      <c r="M17" s="96">
        <f t="shared" si="9"/>
        <v>-0.05661764706</v>
      </c>
      <c r="N17" s="50"/>
      <c r="O17" s="97">
        <f t="shared" si="6"/>
        <v>1</v>
      </c>
      <c r="P17" s="97">
        <f t="shared" ref="P17:S17" si="10">IFERROR(D17/$C17,0)</f>
        <v>1.333333333</v>
      </c>
      <c r="Q17" s="97">
        <f t="shared" si="10"/>
        <v>1.833333333</v>
      </c>
      <c r="R17" s="97">
        <f t="shared" si="10"/>
        <v>2.388888889</v>
      </c>
      <c r="S17" s="97">
        <f t="shared" si="10"/>
        <v>4.277777778</v>
      </c>
      <c r="T17" s="61"/>
      <c r="U17" s="50" t="s">
        <v>93</v>
      </c>
      <c r="V17" s="62">
        <f t="shared" ref="V17:Z17" si="11">-V15*6%*(1+V5)</f>
        <v>-60588</v>
      </c>
      <c r="W17" s="62">
        <f t="shared" si="11"/>
        <v>-85511.7</v>
      </c>
      <c r="X17" s="62">
        <f t="shared" si="11"/>
        <v>-115440.795</v>
      </c>
      <c r="Y17" s="62">
        <f t="shared" si="11"/>
        <v>-162620.946</v>
      </c>
      <c r="Z17" s="62">
        <f t="shared" si="11"/>
        <v>-228685.7053</v>
      </c>
      <c r="AA17" s="49"/>
    </row>
    <row r="18">
      <c r="A18" s="50"/>
      <c r="B18" s="63" t="s">
        <v>94</v>
      </c>
      <c r="C18" s="64">
        <f t="shared" ref="C18:G18" si="12">SUM(C15:C17)</f>
        <v>55000</v>
      </c>
      <c r="D18" s="64">
        <f t="shared" si="12"/>
        <v>58000</v>
      </c>
      <c r="E18" s="64">
        <f t="shared" si="12"/>
        <v>163500</v>
      </c>
      <c r="F18" s="64">
        <f t="shared" si="12"/>
        <v>220500</v>
      </c>
      <c r="G18" s="64">
        <f t="shared" si="12"/>
        <v>341500</v>
      </c>
      <c r="H18" s="50"/>
      <c r="I18" s="65">
        <f t="shared" ref="I18:M18" si="13">+C18/C$15</f>
        <v>0.3666666667</v>
      </c>
      <c r="J18" s="66">
        <f t="shared" si="13"/>
        <v>0.3052631579</v>
      </c>
      <c r="K18" s="66">
        <f t="shared" si="13"/>
        <v>0.519047619</v>
      </c>
      <c r="L18" s="66">
        <f t="shared" si="13"/>
        <v>0.5802631579</v>
      </c>
      <c r="M18" s="67">
        <f t="shared" si="13"/>
        <v>0.5022058824</v>
      </c>
      <c r="N18" s="50"/>
      <c r="O18" s="68">
        <f t="shared" si="6"/>
        <v>1</v>
      </c>
      <c r="P18" s="69">
        <f t="shared" ref="P18:S18" si="14">IFERROR(D18/$C18,0)</f>
        <v>1.054545455</v>
      </c>
      <c r="Q18" s="69">
        <f t="shared" si="14"/>
        <v>2.972727273</v>
      </c>
      <c r="R18" s="69">
        <f t="shared" si="14"/>
        <v>4.009090909</v>
      </c>
      <c r="S18" s="70">
        <f t="shared" si="14"/>
        <v>6.209090909</v>
      </c>
      <c r="T18" s="61"/>
      <c r="U18" s="63" t="s">
        <v>94</v>
      </c>
      <c r="V18" s="64">
        <f t="shared" ref="V18:Z18" si="15">SUM(V15:V17)</f>
        <v>453492</v>
      </c>
      <c r="W18" s="64">
        <f t="shared" si="15"/>
        <v>608496.3</v>
      </c>
      <c r="X18" s="64">
        <f t="shared" si="15"/>
        <v>854931.105</v>
      </c>
      <c r="Y18" s="64">
        <f t="shared" si="15"/>
        <v>1147381.119</v>
      </c>
      <c r="Z18" s="64">
        <f t="shared" si="15"/>
        <v>1539817.082</v>
      </c>
      <c r="AA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16">+C19/C$15</f>
        <v>-0.16</v>
      </c>
      <c r="J19" s="60">
        <f t="shared" si="16"/>
        <v>-0.1552631579</v>
      </c>
      <c r="K19" s="60">
        <f t="shared" si="16"/>
        <v>-0.1580952381</v>
      </c>
      <c r="L19" s="60">
        <f t="shared" si="16"/>
        <v>-0.1592105263</v>
      </c>
      <c r="M19" s="60">
        <f t="shared" si="16"/>
        <v>-0.1588235294</v>
      </c>
      <c r="N19" s="50"/>
      <c r="O19" s="61">
        <f t="shared" si="6"/>
        <v>1</v>
      </c>
      <c r="P19" s="61">
        <f t="shared" ref="P19:S19" si="17">IFERROR(D19/$C19,0)</f>
        <v>1.229166667</v>
      </c>
      <c r="Q19" s="61">
        <f t="shared" si="17"/>
        <v>2.075</v>
      </c>
      <c r="R19" s="61">
        <f t="shared" si="17"/>
        <v>2.520833333</v>
      </c>
      <c r="S19" s="61">
        <f t="shared" si="17"/>
        <v>4.5</v>
      </c>
      <c r="T19" s="61"/>
      <c r="U19" s="50" t="s">
        <v>95</v>
      </c>
      <c r="V19" s="50">
        <f>G19*(1+V5)</f>
        <v>-118800</v>
      </c>
      <c r="W19" s="50">
        <f t="shared" ref="W19:Z19" si="18">+V19*(1+W5)</f>
        <v>-136620</v>
      </c>
      <c r="X19" s="50">
        <f t="shared" si="18"/>
        <v>-157113</v>
      </c>
      <c r="Y19" s="50">
        <f t="shared" si="18"/>
        <v>-188535.6</v>
      </c>
      <c r="Z19" s="50">
        <f t="shared" si="18"/>
        <v>-235669.5</v>
      </c>
      <c r="AA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19">+C20/C$15</f>
        <v>-0.08</v>
      </c>
      <c r="J20" s="60">
        <f t="shared" si="19"/>
        <v>-0.09210526316</v>
      </c>
      <c r="K20" s="60">
        <f t="shared" si="19"/>
        <v>-0.09682539683</v>
      </c>
      <c r="L20" s="60">
        <f t="shared" si="19"/>
        <v>-0.09473684211</v>
      </c>
      <c r="M20" s="60">
        <f t="shared" si="19"/>
        <v>-0.09926470588</v>
      </c>
      <c r="N20" s="50"/>
      <c r="O20" s="61">
        <f t="shared" si="6"/>
        <v>1</v>
      </c>
      <c r="P20" s="61">
        <f t="shared" ref="P20:S20" si="20">IFERROR(D20/$C20,0)</f>
        <v>1.458333333</v>
      </c>
      <c r="Q20" s="61">
        <f t="shared" si="20"/>
        <v>2.541666667</v>
      </c>
      <c r="R20" s="61">
        <f t="shared" si="20"/>
        <v>3</v>
      </c>
      <c r="S20" s="61">
        <f t="shared" si="20"/>
        <v>5.625</v>
      </c>
      <c r="T20" s="61"/>
      <c r="U20" s="50" t="s">
        <v>96</v>
      </c>
      <c r="V20" s="50">
        <f>+G20*(1+V6)</f>
        <v>-74250</v>
      </c>
      <c r="W20" s="50">
        <f t="shared" ref="W20:Z20" si="21">+V20*(1+W6)</f>
        <v>-85387.5</v>
      </c>
      <c r="X20" s="50">
        <f t="shared" si="21"/>
        <v>-98195.625</v>
      </c>
      <c r="Y20" s="50">
        <f t="shared" si="21"/>
        <v>-117834.75</v>
      </c>
      <c r="Z20" s="50">
        <f t="shared" si="21"/>
        <v>-147293.4375</v>
      </c>
      <c r="AA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22">+C21/C$15</f>
        <v>-0.0006666666667</v>
      </c>
      <c r="J21" s="60">
        <f t="shared" si="22"/>
        <v>-0.0006315789474</v>
      </c>
      <c r="K21" s="60">
        <f t="shared" si="22"/>
        <v>-0.003111111111</v>
      </c>
      <c r="L21" s="60">
        <f t="shared" si="22"/>
        <v>-0.002894736842</v>
      </c>
      <c r="M21" s="60">
        <f t="shared" si="22"/>
        <v>-0.002794117647</v>
      </c>
      <c r="N21" s="50"/>
      <c r="O21" s="61">
        <f t="shared" si="6"/>
        <v>1</v>
      </c>
      <c r="P21" s="61">
        <f t="shared" ref="P21:S21" si="23">IFERROR(D21/$C21,0)</f>
        <v>1.2</v>
      </c>
      <c r="Q21" s="61">
        <f t="shared" si="23"/>
        <v>9.8</v>
      </c>
      <c r="R21" s="61">
        <f t="shared" si="23"/>
        <v>11</v>
      </c>
      <c r="S21" s="61">
        <f t="shared" si="23"/>
        <v>19</v>
      </c>
      <c r="T21" s="61"/>
      <c r="U21" s="50" t="s">
        <v>97</v>
      </c>
      <c r="V21" s="50">
        <f t="shared" ref="V21:Z21" si="24">-V15*V7/2</f>
        <v>-4590</v>
      </c>
      <c r="W21" s="50">
        <f t="shared" si="24"/>
        <v>-6196.5</v>
      </c>
      <c r="X21" s="50">
        <f t="shared" si="24"/>
        <v>-8365.275</v>
      </c>
      <c r="Y21" s="50">
        <f t="shared" si="24"/>
        <v>-11293.12125</v>
      </c>
      <c r="Z21" s="50">
        <f t="shared" si="24"/>
        <v>-15245.71369</v>
      </c>
      <c r="AA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25">+C22/C$15</f>
        <v>-0.003466666667</v>
      </c>
      <c r="J22" s="60">
        <f t="shared" si="25"/>
        <v>-0.003578947368</v>
      </c>
      <c r="K22" s="60">
        <f t="shared" si="25"/>
        <v>-0.01022222222</v>
      </c>
      <c r="L22" s="60">
        <f t="shared" si="25"/>
        <v>-0.008947368421</v>
      </c>
      <c r="M22" s="60">
        <f t="shared" si="25"/>
        <v>-0.0075</v>
      </c>
      <c r="N22" s="50"/>
      <c r="O22" s="61">
        <f t="shared" si="6"/>
        <v>1</v>
      </c>
      <c r="P22" s="61">
        <f t="shared" ref="P22:S22" si="26">IFERROR(D22/$C22,0)</f>
        <v>1.307692308</v>
      </c>
      <c r="Q22" s="61">
        <f t="shared" si="26"/>
        <v>6.192307692</v>
      </c>
      <c r="R22" s="61">
        <f t="shared" si="26"/>
        <v>6.538461538</v>
      </c>
      <c r="S22" s="61">
        <f t="shared" si="26"/>
        <v>9.807692308</v>
      </c>
      <c r="T22" s="61"/>
      <c r="U22" s="50" t="s">
        <v>98</v>
      </c>
      <c r="V22" s="62">
        <f t="shared" ref="V22:Z22" si="27">-V15*V7/2</f>
        <v>-4590</v>
      </c>
      <c r="W22" s="62">
        <f t="shared" si="27"/>
        <v>-6196.5</v>
      </c>
      <c r="X22" s="62">
        <f t="shared" si="27"/>
        <v>-8365.275</v>
      </c>
      <c r="Y22" s="62">
        <f t="shared" si="27"/>
        <v>-11293.12125</v>
      </c>
      <c r="Z22" s="62">
        <f t="shared" si="27"/>
        <v>-15245.71369</v>
      </c>
      <c r="AA22" s="49"/>
    </row>
    <row r="23" ht="15.75" customHeight="1">
      <c r="A23" s="50"/>
      <c r="B23" s="63" t="s">
        <v>99</v>
      </c>
      <c r="C23" s="64">
        <f t="shared" ref="C23:G23" si="28">SUM(C18:C22)</f>
        <v>18380</v>
      </c>
      <c r="D23" s="64">
        <f t="shared" si="28"/>
        <v>10200</v>
      </c>
      <c r="E23" s="64">
        <f t="shared" si="28"/>
        <v>79000</v>
      </c>
      <c r="F23" s="64">
        <f t="shared" si="28"/>
        <v>119500</v>
      </c>
      <c r="G23" s="64">
        <f t="shared" si="28"/>
        <v>159000</v>
      </c>
      <c r="H23" s="50"/>
      <c r="I23" s="65">
        <f t="shared" ref="I23:M23" si="29">+C23/C$15</f>
        <v>0.1225333333</v>
      </c>
      <c r="J23" s="66">
        <f t="shared" si="29"/>
        <v>0.05368421053</v>
      </c>
      <c r="K23" s="66">
        <f t="shared" si="29"/>
        <v>0.2507936508</v>
      </c>
      <c r="L23" s="66">
        <f t="shared" si="29"/>
        <v>0.3144736842</v>
      </c>
      <c r="M23" s="67">
        <f t="shared" si="29"/>
        <v>0.2338235294</v>
      </c>
      <c r="N23" s="50"/>
      <c r="O23" s="68">
        <f t="shared" si="6"/>
        <v>1</v>
      </c>
      <c r="P23" s="69">
        <f t="shared" ref="P23:S23" si="30">IFERROR(D23/$C23,0)</f>
        <v>0.5549510337</v>
      </c>
      <c r="Q23" s="69">
        <f t="shared" si="30"/>
        <v>4.298150163</v>
      </c>
      <c r="R23" s="69">
        <f t="shared" si="30"/>
        <v>6.501632209</v>
      </c>
      <c r="S23" s="70">
        <f t="shared" si="30"/>
        <v>8.650707291</v>
      </c>
      <c r="T23" s="71"/>
      <c r="U23" s="63" t="s">
        <v>99</v>
      </c>
      <c r="V23" s="64">
        <f t="shared" ref="V23:Z23" si="31">SUM(V18:V22)</f>
        <v>251262</v>
      </c>
      <c r="W23" s="64">
        <f t="shared" si="31"/>
        <v>374095.8</v>
      </c>
      <c r="X23" s="64">
        <f t="shared" si="31"/>
        <v>582891.93</v>
      </c>
      <c r="Y23" s="64">
        <f t="shared" si="31"/>
        <v>818424.5265</v>
      </c>
      <c r="Z23" s="64">
        <f t="shared" si="31"/>
        <v>1126362.718</v>
      </c>
      <c r="AA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32">+C24/C$15</f>
        <v>-0.005666666667</v>
      </c>
      <c r="J24" s="60">
        <f t="shared" si="32"/>
        <v>-0.006842105263</v>
      </c>
      <c r="K24" s="60">
        <f t="shared" si="32"/>
        <v>-0.007301587302</v>
      </c>
      <c r="L24" s="60">
        <f t="shared" si="32"/>
        <v>-0.008421052632</v>
      </c>
      <c r="M24" s="60">
        <f t="shared" si="32"/>
        <v>-0.00875</v>
      </c>
      <c r="N24" s="50"/>
      <c r="O24" s="61">
        <f t="shared" si="6"/>
        <v>1</v>
      </c>
      <c r="P24" s="61">
        <f t="shared" ref="P24:S24" si="33">IFERROR(D24/$C24,0)</f>
        <v>1.529411765</v>
      </c>
      <c r="Q24" s="61">
        <f t="shared" si="33"/>
        <v>2.705882353</v>
      </c>
      <c r="R24" s="61">
        <f t="shared" si="33"/>
        <v>3.764705882</v>
      </c>
      <c r="S24" s="61">
        <f t="shared" si="33"/>
        <v>7</v>
      </c>
      <c r="T24" s="61"/>
      <c r="U24" s="50" t="s">
        <v>100</v>
      </c>
      <c r="V24" s="62">
        <f>-'TABLAS AMORTIZACION'!K27</f>
        <v>-7719.009913</v>
      </c>
      <c r="W24" s="62">
        <f>-'TABLAS AMORTIZACION'!L27</f>
        <v>-5202.154565</v>
      </c>
      <c r="X24" s="62">
        <f>-'TABLAS AMORTIZACION'!M27</f>
        <v>-4081.096275</v>
      </c>
      <c r="Y24" s="62">
        <f>-'TABLAS AMORTIZACION'!N27</f>
        <v>-4081.096275</v>
      </c>
      <c r="Z24" s="62">
        <f>-'TABLAS AMORTIZACION'!O27</f>
        <v>-4081.096275</v>
      </c>
      <c r="AA24" s="49"/>
    </row>
    <row r="25" ht="15.75" customHeight="1">
      <c r="A25" s="50"/>
      <c r="B25" s="63" t="s">
        <v>101</v>
      </c>
      <c r="C25" s="64">
        <f t="shared" ref="C25:G25" si="34">SUM(C23:C24)</f>
        <v>17530</v>
      </c>
      <c r="D25" s="64">
        <f t="shared" si="34"/>
        <v>8900</v>
      </c>
      <c r="E25" s="64">
        <f t="shared" si="34"/>
        <v>76700</v>
      </c>
      <c r="F25" s="64">
        <f t="shared" si="34"/>
        <v>116300</v>
      </c>
      <c r="G25" s="64">
        <f t="shared" si="34"/>
        <v>153050</v>
      </c>
      <c r="H25" s="50"/>
      <c r="I25" s="65">
        <f t="shared" ref="I25:M25" si="35">+C25/C$15</f>
        <v>0.1168666667</v>
      </c>
      <c r="J25" s="66">
        <f t="shared" si="35"/>
        <v>0.04684210526</v>
      </c>
      <c r="K25" s="66">
        <f t="shared" si="35"/>
        <v>0.2434920635</v>
      </c>
      <c r="L25" s="66">
        <f t="shared" si="35"/>
        <v>0.3060526316</v>
      </c>
      <c r="M25" s="67">
        <f t="shared" si="35"/>
        <v>0.2250735294</v>
      </c>
      <c r="N25" s="50"/>
      <c r="O25" s="68">
        <f t="shared" si="6"/>
        <v>1</v>
      </c>
      <c r="P25" s="69">
        <f t="shared" ref="P25:S25" si="36">IFERROR(D25/$C25,0)</f>
        <v>0.5077010839</v>
      </c>
      <c r="Q25" s="69">
        <f t="shared" si="36"/>
        <v>4.375356532</v>
      </c>
      <c r="R25" s="69">
        <f t="shared" si="36"/>
        <v>6.634341129</v>
      </c>
      <c r="S25" s="70">
        <f t="shared" si="36"/>
        <v>8.73074729</v>
      </c>
      <c r="T25" s="71"/>
      <c r="U25" s="63" t="s">
        <v>101</v>
      </c>
      <c r="V25" s="64">
        <f t="shared" ref="V25:Z25" si="37">SUM(V23:V24)</f>
        <v>243542.9901</v>
      </c>
      <c r="W25" s="64">
        <f t="shared" si="37"/>
        <v>368893.6454</v>
      </c>
      <c r="X25" s="64">
        <f t="shared" si="37"/>
        <v>578810.8337</v>
      </c>
      <c r="Y25" s="64">
        <f t="shared" si="37"/>
        <v>814343.4302</v>
      </c>
      <c r="Z25" s="64">
        <f t="shared" si="37"/>
        <v>1122281.621</v>
      </c>
      <c r="AA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38">+C26/C$15</f>
        <v>-0.1966666667</v>
      </c>
      <c r="J26" s="60">
        <f t="shared" si="38"/>
        <v>-0.2263157895</v>
      </c>
      <c r="K26" s="60">
        <f t="shared" si="38"/>
        <v>-0.1498412698</v>
      </c>
      <c r="L26" s="60">
        <f t="shared" si="38"/>
        <v>-0.07651315789</v>
      </c>
      <c r="M26" s="60">
        <f t="shared" si="38"/>
        <v>-0.1455882353</v>
      </c>
      <c r="N26" s="50"/>
      <c r="O26" s="61">
        <f t="shared" si="6"/>
        <v>1</v>
      </c>
      <c r="P26" s="61">
        <f t="shared" ref="P26:S26" si="39">IFERROR(D26/$C26,0)</f>
        <v>1.457627119</v>
      </c>
      <c r="Q26" s="61">
        <f t="shared" si="39"/>
        <v>1.6</v>
      </c>
      <c r="R26" s="61">
        <f t="shared" si="39"/>
        <v>0.9855932203</v>
      </c>
      <c r="S26" s="61">
        <f t="shared" si="39"/>
        <v>3.355932203</v>
      </c>
      <c r="T26" s="61"/>
      <c r="U26" s="50" t="s">
        <v>102</v>
      </c>
      <c r="V26" s="50"/>
      <c r="W26" s="50"/>
      <c r="X26" s="50"/>
      <c r="Y26" s="50"/>
      <c r="Z26" s="50"/>
      <c r="AA26" s="49"/>
    </row>
    <row r="27" ht="15.75" customHeight="1">
      <c r="A27" s="50"/>
      <c r="B27" s="63" t="s">
        <v>103</v>
      </c>
      <c r="C27" s="72">
        <f t="shared" ref="C27:G27" si="40">+C25+C26</f>
        <v>-11970</v>
      </c>
      <c r="D27" s="72">
        <f t="shared" si="40"/>
        <v>-34100</v>
      </c>
      <c r="E27" s="72">
        <f t="shared" si="40"/>
        <v>29500</v>
      </c>
      <c r="F27" s="72">
        <f t="shared" si="40"/>
        <v>87225</v>
      </c>
      <c r="G27" s="72">
        <f t="shared" si="40"/>
        <v>54050</v>
      </c>
      <c r="H27" s="50"/>
      <c r="I27" s="65">
        <f t="shared" ref="I27:M27" si="41">+C27/C$15</f>
        <v>-0.0798</v>
      </c>
      <c r="J27" s="66">
        <f t="shared" si="41"/>
        <v>-0.1794736842</v>
      </c>
      <c r="K27" s="66">
        <f t="shared" si="41"/>
        <v>0.09365079365</v>
      </c>
      <c r="L27" s="66">
        <f t="shared" si="41"/>
        <v>0.2295394737</v>
      </c>
      <c r="M27" s="67">
        <f t="shared" si="41"/>
        <v>0.07948529412</v>
      </c>
      <c r="N27" s="50"/>
      <c r="O27" s="68">
        <f t="shared" si="6"/>
        <v>1</v>
      </c>
      <c r="P27" s="69">
        <f t="shared" ref="P27:S27" si="42">IFERROR(D27/$C27,0)</f>
        <v>2.848788638</v>
      </c>
      <c r="Q27" s="69">
        <f t="shared" si="42"/>
        <v>-2.46449457</v>
      </c>
      <c r="R27" s="69">
        <f t="shared" si="42"/>
        <v>-7.286967419</v>
      </c>
      <c r="S27" s="70">
        <f t="shared" si="42"/>
        <v>-4.515455305</v>
      </c>
      <c r="T27" s="71"/>
      <c r="U27" s="63" t="s">
        <v>103</v>
      </c>
      <c r="V27" s="72">
        <f t="shared" ref="V27:Z27" si="43">+V25+V26</f>
        <v>243542.9901</v>
      </c>
      <c r="W27" s="72">
        <f t="shared" si="43"/>
        <v>368893.6454</v>
      </c>
      <c r="X27" s="72">
        <f t="shared" si="43"/>
        <v>578810.8337</v>
      </c>
      <c r="Y27" s="72">
        <f t="shared" si="43"/>
        <v>814343.4302</v>
      </c>
      <c r="Z27" s="72">
        <f t="shared" si="43"/>
        <v>1122281.621</v>
      </c>
      <c r="AA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49"/>
    </row>
    <row r="29" ht="15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49"/>
    </row>
    <row r="30" ht="15.75" customHeight="1">
      <c r="A30" s="50"/>
      <c r="B30" s="53" t="s">
        <v>104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0"/>
      <c r="X30" s="50"/>
      <c r="Y30" s="50"/>
      <c r="Z30" s="50"/>
      <c r="AA30" s="49"/>
    </row>
    <row r="31" ht="15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49"/>
    </row>
    <row r="32" ht="15.75" customHeight="1">
      <c r="A32" s="50"/>
      <c r="B32" s="50"/>
      <c r="C32" s="59">
        <v>2017.0</v>
      </c>
      <c r="D32" s="59">
        <v>2018.0</v>
      </c>
      <c r="E32" s="59">
        <v>2019.0</v>
      </c>
      <c r="F32" s="59">
        <v>2020.0</v>
      </c>
      <c r="G32" s="59">
        <v>2021.0</v>
      </c>
      <c r="H32" s="50"/>
      <c r="I32" s="59">
        <f t="shared" ref="I32:M32" si="44">+C32</f>
        <v>2017</v>
      </c>
      <c r="J32" s="59">
        <f t="shared" si="44"/>
        <v>2018</v>
      </c>
      <c r="K32" s="59">
        <f t="shared" si="44"/>
        <v>2019</v>
      </c>
      <c r="L32" s="59">
        <f t="shared" si="44"/>
        <v>2020</v>
      </c>
      <c r="M32" s="59">
        <f t="shared" si="44"/>
        <v>2021</v>
      </c>
      <c r="N32" s="50"/>
      <c r="O32" s="59">
        <f t="shared" ref="O32:S32" si="45">+C32</f>
        <v>2017</v>
      </c>
      <c r="P32" s="59">
        <f t="shared" si="45"/>
        <v>2018</v>
      </c>
      <c r="Q32" s="59">
        <f t="shared" si="45"/>
        <v>2019</v>
      </c>
      <c r="R32" s="59">
        <f t="shared" si="45"/>
        <v>2020</v>
      </c>
      <c r="S32" s="59">
        <f t="shared" si="45"/>
        <v>2021</v>
      </c>
      <c r="T32" s="58"/>
      <c r="U32" s="50"/>
      <c r="V32" s="58"/>
      <c r="W32" s="58"/>
      <c r="X32" s="58"/>
      <c r="Y32" s="58"/>
      <c r="Z32" s="58"/>
      <c r="AA32" s="49"/>
    </row>
    <row r="33" ht="15.75" customHeight="1">
      <c r="A33" s="50"/>
      <c r="B33" s="50" t="s">
        <v>105</v>
      </c>
      <c r="C33" s="50">
        <v>4000.0</v>
      </c>
      <c r="D33" s="50">
        <v>12000.0</v>
      </c>
      <c r="E33" s="50">
        <v>21000.0</v>
      </c>
      <c r="F33" s="50">
        <v>36000.0</v>
      </c>
      <c r="G33" s="50">
        <v>52000.0</v>
      </c>
      <c r="H33" s="50"/>
      <c r="I33" s="60">
        <f t="shared" ref="I33:M33" si="46">C33/C$42</f>
        <v>0.05545538157</v>
      </c>
      <c r="J33" s="60">
        <f t="shared" si="46"/>
        <v>0.1493464971</v>
      </c>
      <c r="K33" s="60">
        <f t="shared" si="46"/>
        <v>0.06543481779</v>
      </c>
      <c r="L33" s="60">
        <f t="shared" si="46"/>
        <v>0.1025713907</v>
      </c>
      <c r="M33" s="60">
        <f t="shared" si="46"/>
        <v>0.1615781834</v>
      </c>
      <c r="N33" s="50"/>
      <c r="O33" s="61">
        <f t="shared" ref="O33:O42" si="49">IFERROR(C33/C33,0)</f>
        <v>1</v>
      </c>
      <c r="P33" s="61">
        <f t="shared" ref="P33:S33" si="47">IFERROR(D33/$C33,0)</f>
        <v>3</v>
      </c>
      <c r="Q33" s="61">
        <f t="shared" si="47"/>
        <v>5.25</v>
      </c>
      <c r="R33" s="61">
        <f t="shared" si="47"/>
        <v>9</v>
      </c>
      <c r="S33" s="61">
        <f t="shared" si="47"/>
        <v>13</v>
      </c>
      <c r="T33" s="61"/>
      <c r="U33" s="50"/>
      <c r="V33" s="50"/>
      <c r="W33" s="50"/>
      <c r="X33" s="50"/>
      <c r="Y33" s="50"/>
      <c r="Z33" s="50"/>
      <c r="AA33" s="49"/>
    </row>
    <row r="34" ht="15.75" customHeight="1">
      <c r="A34" s="50"/>
      <c r="B34" s="50" t="s">
        <v>106</v>
      </c>
      <c r="C34" s="50">
        <v>-100.0</v>
      </c>
      <c r="D34" s="50">
        <v>-220.0</v>
      </c>
      <c r="E34" s="50">
        <v>-1200.0</v>
      </c>
      <c r="F34" s="50">
        <v>-2300.0</v>
      </c>
      <c r="G34" s="50">
        <v>-4200.0</v>
      </c>
      <c r="H34" s="50"/>
      <c r="I34" s="60">
        <f t="shared" ref="I34:M34" si="48">C34/C$42</f>
        <v>-0.001386384539</v>
      </c>
      <c r="J34" s="60">
        <f t="shared" si="48"/>
        <v>-0.002738019113</v>
      </c>
      <c r="K34" s="60">
        <f t="shared" si="48"/>
        <v>-0.003739132445</v>
      </c>
      <c r="L34" s="60">
        <f t="shared" si="48"/>
        <v>-0.006553172183</v>
      </c>
      <c r="M34" s="60">
        <f t="shared" si="48"/>
        <v>-0.01305054558</v>
      </c>
      <c r="N34" s="50"/>
      <c r="O34" s="61">
        <f t="shared" si="49"/>
        <v>1</v>
      </c>
      <c r="P34" s="61">
        <f t="shared" ref="P34:S34" si="50">IFERROR(D34/$C34,0)</f>
        <v>2.2</v>
      </c>
      <c r="Q34" s="61">
        <f t="shared" si="50"/>
        <v>12</v>
      </c>
      <c r="R34" s="61">
        <f t="shared" si="50"/>
        <v>23</v>
      </c>
      <c r="S34" s="61">
        <f t="shared" si="50"/>
        <v>42</v>
      </c>
      <c r="T34" s="61"/>
      <c r="U34" s="50"/>
      <c r="V34" s="50"/>
      <c r="W34" s="50"/>
      <c r="X34" s="50"/>
      <c r="Y34" s="50"/>
      <c r="Z34" s="50"/>
      <c r="AA34" s="49"/>
    </row>
    <row r="35" ht="15.75" customHeight="1">
      <c r="A35" s="50"/>
      <c r="B35" s="50" t="s">
        <v>107</v>
      </c>
      <c r="C35" s="50">
        <v>10000.0</v>
      </c>
      <c r="D35" s="50">
        <v>20000.0</v>
      </c>
      <c r="E35" s="50">
        <v>50000.0</v>
      </c>
      <c r="F35" s="50">
        <v>11000.0</v>
      </c>
      <c r="G35" s="50">
        <v>125000.0</v>
      </c>
      <c r="H35" s="50"/>
      <c r="I35" s="60">
        <f t="shared" ref="I35:M35" si="51">C35/C$42</f>
        <v>0.1386384539</v>
      </c>
      <c r="J35" s="60">
        <f t="shared" si="51"/>
        <v>0.2489108284</v>
      </c>
      <c r="K35" s="60">
        <f t="shared" si="51"/>
        <v>0.1557971852</v>
      </c>
      <c r="L35" s="60">
        <f t="shared" si="51"/>
        <v>0.03134125826</v>
      </c>
      <c r="M35" s="60">
        <f t="shared" si="51"/>
        <v>0.3884090947</v>
      </c>
      <c r="N35" s="50"/>
      <c r="O35" s="61">
        <f t="shared" si="49"/>
        <v>1</v>
      </c>
      <c r="P35" s="61">
        <f t="shared" ref="P35:S35" si="52">IFERROR(D35/$C35,0)</f>
        <v>2</v>
      </c>
      <c r="Q35" s="61">
        <f t="shared" si="52"/>
        <v>5</v>
      </c>
      <c r="R35" s="61">
        <f t="shared" si="52"/>
        <v>1.1</v>
      </c>
      <c r="S35" s="61">
        <f t="shared" si="52"/>
        <v>12.5</v>
      </c>
      <c r="T35" s="61"/>
      <c r="U35" s="50"/>
      <c r="V35" s="50"/>
      <c r="W35" s="50"/>
      <c r="X35" s="50"/>
      <c r="Y35" s="50"/>
      <c r="Z35" s="50"/>
      <c r="AA35" s="49"/>
    </row>
    <row r="36" ht="15.75" customHeight="1">
      <c r="A36" s="50"/>
      <c r="B36" s="50" t="s">
        <v>108</v>
      </c>
      <c r="C36" s="62">
        <v>-520.0</v>
      </c>
      <c r="D36" s="62">
        <v>-1200.0</v>
      </c>
      <c r="E36" s="62">
        <v>-4420.0</v>
      </c>
      <c r="F36" s="62">
        <v>-7820.0</v>
      </c>
      <c r="G36" s="62">
        <v>-12920.0</v>
      </c>
      <c r="H36" s="50"/>
      <c r="I36" s="60">
        <f t="shared" ref="I36:M36" si="53">C36/C$42</f>
        <v>-0.007209199604</v>
      </c>
      <c r="J36" s="60">
        <f t="shared" si="53"/>
        <v>-0.01493464971</v>
      </c>
      <c r="K36" s="60">
        <f t="shared" si="53"/>
        <v>-0.01377247117</v>
      </c>
      <c r="L36" s="60">
        <f t="shared" si="53"/>
        <v>-0.02228078542</v>
      </c>
      <c r="M36" s="60">
        <f t="shared" si="53"/>
        <v>-0.04014596403</v>
      </c>
      <c r="N36" s="50"/>
      <c r="O36" s="61">
        <f t="shared" si="49"/>
        <v>1</v>
      </c>
      <c r="P36" s="61">
        <f t="shared" ref="P36:S36" si="54">IFERROR(D36/$C36,0)</f>
        <v>2.307692308</v>
      </c>
      <c r="Q36" s="61">
        <f t="shared" si="54"/>
        <v>8.5</v>
      </c>
      <c r="R36" s="61">
        <f t="shared" si="54"/>
        <v>15.03846154</v>
      </c>
      <c r="S36" s="61">
        <f t="shared" si="54"/>
        <v>24.84615385</v>
      </c>
      <c r="T36" s="61"/>
      <c r="U36" s="50"/>
      <c r="V36" s="50"/>
      <c r="W36" s="50"/>
      <c r="X36" s="50"/>
      <c r="Y36" s="50"/>
      <c r="Z36" s="50"/>
      <c r="AA36" s="49"/>
    </row>
    <row r="37" ht="15.75" customHeight="1">
      <c r="A37" s="50"/>
      <c r="B37" s="63" t="s">
        <v>109</v>
      </c>
      <c r="C37" s="64">
        <f t="shared" ref="C37:G37" si="55">SUM(C33:C36)</f>
        <v>13380</v>
      </c>
      <c r="D37" s="64">
        <f t="shared" si="55"/>
        <v>30580</v>
      </c>
      <c r="E37" s="64">
        <f t="shared" si="55"/>
        <v>65380</v>
      </c>
      <c r="F37" s="64">
        <f t="shared" si="55"/>
        <v>36880</v>
      </c>
      <c r="G37" s="64">
        <f t="shared" si="55"/>
        <v>159880</v>
      </c>
      <c r="H37" s="50"/>
      <c r="I37" s="65">
        <f t="shared" ref="I37:M37" si="56">C37/C$42</f>
        <v>0.1854982514</v>
      </c>
      <c r="J37" s="66">
        <f t="shared" si="56"/>
        <v>0.3805846567</v>
      </c>
      <c r="K37" s="66">
        <f t="shared" si="56"/>
        <v>0.2037203994</v>
      </c>
      <c r="L37" s="66">
        <f t="shared" si="56"/>
        <v>0.1050786913</v>
      </c>
      <c r="M37" s="67">
        <f t="shared" si="56"/>
        <v>0.4967907685</v>
      </c>
      <c r="N37" s="50"/>
      <c r="O37" s="68">
        <f t="shared" si="49"/>
        <v>1</v>
      </c>
      <c r="P37" s="69">
        <f t="shared" ref="P37:S37" si="57">IFERROR(D37/$C37,0)</f>
        <v>2.285500747</v>
      </c>
      <c r="Q37" s="69">
        <f t="shared" si="57"/>
        <v>4.886397608</v>
      </c>
      <c r="R37" s="69">
        <f t="shared" si="57"/>
        <v>2.756352765</v>
      </c>
      <c r="S37" s="70">
        <f t="shared" si="57"/>
        <v>11.94917788</v>
      </c>
      <c r="T37" s="71"/>
      <c r="U37" s="63"/>
      <c r="V37" s="64"/>
      <c r="W37" s="64"/>
      <c r="X37" s="64"/>
      <c r="Y37" s="64"/>
      <c r="Z37" s="64"/>
      <c r="AA37" s="49"/>
    </row>
    <row r="38" ht="15.75" customHeight="1">
      <c r="A38" s="50"/>
      <c r="B38" s="50" t="s">
        <v>110</v>
      </c>
      <c r="C38" s="50">
        <v>0.0</v>
      </c>
      <c r="D38" s="50">
        <v>6350.0</v>
      </c>
      <c r="E38" s="50">
        <v>11800.0</v>
      </c>
      <c r="F38" s="50">
        <v>12000.0</v>
      </c>
      <c r="G38" s="50">
        <v>49500.0</v>
      </c>
      <c r="H38" s="50"/>
      <c r="I38" s="60">
        <f t="shared" ref="I38:M38" si="58">C38/C$42</f>
        <v>0</v>
      </c>
      <c r="J38" s="60">
        <f t="shared" si="58"/>
        <v>0.07902918803</v>
      </c>
      <c r="K38" s="60">
        <f t="shared" si="58"/>
        <v>0.03676813571</v>
      </c>
      <c r="L38" s="60">
        <f t="shared" si="58"/>
        <v>0.03419046356</v>
      </c>
      <c r="M38" s="60">
        <f t="shared" si="58"/>
        <v>0.1538100015</v>
      </c>
      <c r="N38" s="50"/>
      <c r="O38" s="61">
        <f t="shared" si="49"/>
        <v>0</v>
      </c>
      <c r="P38" s="61">
        <f t="shared" ref="P38:S38" si="59">IFERROR(D38/$C38,0)</f>
        <v>0</v>
      </c>
      <c r="Q38" s="61">
        <f t="shared" si="59"/>
        <v>0</v>
      </c>
      <c r="R38" s="61">
        <f t="shared" si="59"/>
        <v>0</v>
      </c>
      <c r="S38" s="61">
        <f t="shared" si="59"/>
        <v>0</v>
      </c>
      <c r="T38" s="61"/>
      <c r="U38" s="50"/>
      <c r="V38" s="50"/>
      <c r="W38" s="50"/>
      <c r="X38" s="50"/>
      <c r="Y38" s="50"/>
      <c r="Z38" s="50"/>
      <c r="AA38" s="49"/>
    </row>
    <row r="39" ht="15.75" customHeight="1">
      <c r="A39" s="50"/>
      <c r="B39" s="50" t="s">
        <v>111</v>
      </c>
      <c r="C39" s="50">
        <v>1576.45</v>
      </c>
      <c r="D39" s="50">
        <v>11051.41</v>
      </c>
      <c r="E39" s="50">
        <v>22000.0</v>
      </c>
      <c r="F39" s="50">
        <v>18000.0</v>
      </c>
      <c r="G39" s="50">
        <v>8000.0</v>
      </c>
      <c r="H39" s="50"/>
      <c r="I39" s="60">
        <f t="shared" ref="I39:M39" si="60">C39/C$42</f>
        <v>0.02185565907</v>
      </c>
      <c r="J39" s="60">
        <f t="shared" si="60"/>
        <v>0.1375407809</v>
      </c>
      <c r="K39" s="60">
        <f t="shared" si="60"/>
        <v>0.0685507615</v>
      </c>
      <c r="L39" s="60">
        <f t="shared" si="60"/>
        <v>0.05128569534</v>
      </c>
      <c r="M39" s="60">
        <f t="shared" si="60"/>
        <v>0.02485818206</v>
      </c>
      <c r="N39" s="50"/>
      <c r="O39" s="61">
        <f t="shared" si="49"/>
        <v>1</v>
      </c>
      <c r="P39" s="61">
        <f t="shared" ref="P39:S39" si="61">IFERROR(D39/$C39,0)</f>
        <v>7.010314314</v>
      </c>
      <c r="Q39" s="61">
        <f t="shared" si="61"/>
        <v>13.95540613</v>
      </c>
      <c r="R39" s="61">
        <f t="shared" si="61"/>
        <v>11.41805956</v>
      </c>
      <c r="S39" s="61">
        <f t="shared" si="61"/>
        <v>5.07469314</v>
      </c>
      <c r="T39" s="61"/>
      <c r="U39" s="50"/>
      <c r="V39" s="50"/>
      <c r="W39" s="50"/>
      <c r="X39" s="50"/>
      <c r="Y39" s="50"/>
      <c r="Z39" s="50"/>
      <c r="AA39" s="49"/>
    </row>
    <row r="40" ht="15.75" customHeight="1">
      <c r="A40" s="50"/>
      <c r="B40" s="50" t="s">
        <v>112</v>
      </c>
      <c r="C40" s="62">
        <v>57173.61</v>
      </c>
      <c r="D40" s="62">
        <v>32368.649999999994</v>
      </c>
      <c r="E40" s="62">
        <v>221750.06</v>
      </c>
      <c r="F40" s="62">
        <v>284095.06</v>
      </c>
      <c r="G40" s="62">
        <v>104445.62585321383</v>
      </c>
      <c r="H40" s="50"/>
      <c r="I40" s="60">
        <f t="shared" ref="I40:M40" si="62">C40/C$42</f>
        <v>0.7926460896</v>
      </c>
      <c r="J40" s="60">
        <f t="shared" si="62"/>
        <v>0.4028453744</v>
      </c>
      <c r="K40" s="60">
        <f t="shared" si="62"/>
        <v>0.6909607034</v>
      </c>
      <c r="L40" s="60">
        <f t="shared" si="62"/>
        <v>0.8094451497</v>
      </c>
      <c r="M40" s="60">
        <f t="shared" si="62"/>
        <v>0.3245410479</v>
      </c>
      <c r="N40" s="50"/>
      <c r="O40" s="61">
        <f t="shared" si="49"/>
        <v>1</v>
      </c>
      <c r="P40" s="61">
        <f t="shared" ref="P40:S40" si="63">IFERROR(D40/$C40,0)</f>
        <v>0.566146689</v>
      </c>
      <c r="Q40" s="61">
        <f t="shared" si="63"/>
        <v>3.878538717</v>
      </c>
      <c r="R40" s="61">
        <f t="shared" si="63"/>
        <v>4.968989364</v>
      </c>
      <c r="S40" s="61">
        <f t="shared" si="63"/>
        <v>1.826815306</v>
      </c>
      <c r="T40" s="61"/>
      <c r="U40" s="50"/>
      <c r="V40" s="50"/>
      <c r="W40" s="50"/>
      <c r="X40" s="50"/>
      <c r="Y40" s="50"/>
      <c r="Z40" s="50"/>
      <c r="AA40" s="49"/>
    </row>
    <row r="41" ht="15.75" customHeight="1">
      <c r="A41" s="50"/>
      <c r="B41" s="63" t="s">
        <v>113</v>
      </c>
      <c r="C41" s="74">
        <f t="shared" ref="C41:G41" si="64">SUM(C38:C40)</f>
        <v>58750.06</v>
      </c>
      <c r="D41" s="74">
        <f t="shared" si="64"/>
        <v>49770.06</v>
      </c>
      <c r="E41" s="74">
        <f t="shared" si="64"/>
        <v>255550.06</v>
      </c>
      <c r="F41" s="74">
        <f t="shared" si="64"/>
        <v>314095.06</v>
      </c>
      <c r="G41" s="74">
        <f t="shared" si="64"/>
        <v>161945.6259</v>
      </c>
      <c r="H41" s="50"/>
      <c r="I41" s="75">
        <f t="shared" ref="I41:M41" si="65">C41/C$42</f>
        <v>0.8145017486</v>
      </c>
      <c r="J41" s="75">
        <f t="shared" si="65"/>
        <v>0.6194153433</v>
      </c>
      <c r="K41" s="75">
        <f t="shared" si="65"/>
        <v>0.7962796006</v>
      </c>
      <c r="L41" s="75">
        <f t="shared" si="65"/>
        <v>0.8949213087</v>
      </c>
      <c r="M41" s="75">
        <f t="shared" si="65"/>
        <v>0.5032092315</v>
      </c>
      <c r="N41" s="50"/>
      <c r="O41" s="61">
        <f t="shared" si="49"/>
        <v>1</v>
      </c>
      <c r="P41" s="61">
        <f t="shared" ref="P41:S41" si="66">IFERROR(D41/$C41,0)</f>
        <v>0.8471490923</v>
      </c>
      <c r="Q41" s="61">
        <f t="shared" si="66"/>
        <v>4.349783813</v>
      </c>
      <c r="R41" s="61">
        <f t="shared" si="66"/>
        <v>5.346293434</v>
      </c>
      <c r="S41" s="61">
        <f t="shared" si="66"/>
        <v>2.756518476</v>
      </c>
      <c r="T41" s="61"/>
      <c r="U41" s="63"/>
      <c r="V41" s="64"/>
      <c r="W41" s="64"/>
      <c r="X41" s="64"/>
      <c r="Y41" s="64"/>
      <c r="Z41" s="64"/>
      <c r="AA41" s="49"/>
    </row>
    <row r="42" ht="15.75" customHeight="1">
      <c r="A42" s="50"/>
      <c r="B42" s="63" t="s">
        <v>114</v>
      </c>
      <c r="C42" s="72">
        <f t="shared" ref="C42:G42" si="67">+C37+C41</f>
        <v>72130.06</v>
      </c>
      <c r="D42" s="72">
        <f t="shared" si="67"/>
        <v>80350.06</v>
      </c>
      <c r="E42" s="72">
        <f t="shared" si="67"/>
        <v>320930.06</v>
      </c>
      <c r="F42" s="72">
        <f t="shared" si="67"/>
        <v>350975.06</v>
      </c>
      <c r="G42" s="72">
        <f t="shared" si="67"/>
        <v>321825.6259</v>
      </c>
      <c r="H42" s="50"/>
      <c r="I42" s="65">
        <f t="shared" ref="I42:M42" si="68">C42/C$42</f>
        <v>1</v>
      </c>
      <c r="J42" s="66">
        <f t="shared" si="68"/>
        <v>1</v>
      </c>
      <c r="K42" s="66">
        <f t="shared" si="68"/>
        <v>1</v>
      </c>
      <c r="L42" s="66">
        <f t="shared" si="68"/>
        <v>1</v>
      </c>
      <c r="M42" s="67">
        <f t="shared" si="68"/>
        <v>1</v>
      </c>
      <c r="N42" s="50"/>
      <c r="O42" s="68">
        <f t="shared" si="49"/>
        <v>1</v>
      </c>
      <c r="P42" s="69">
        <f t="shared" ref="P42:S42" si="69">IFERROR(D42/$C42,0)</f>
        <v>1.113960809</v>
      </c>
      <c r="Q42" s="69">
        <f t="shared" si="69"/>
        <v>4.449324734</v>
      </c>
      <c r="R42" s="69">
        <f t="shared" si="69"/>
        <v>4.865863969</v>
      </c>
      <c r="S42" s="70">
        <f t="shared" si="69"/>
        <v>4.46174072</v>
      </c>
      <c r="T42" s="71"/>
      <c r="U42" s="63"/>
      <c r="V42" s="64"/>
      <c r="W42" s="64"/>
      <c r="X42" s="64"/>
      <c r="Y42" s="64"/>
      <c r="Z42" s="64"/>
      <c r="AA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60"/>
      <c r="J43" s="60"/>
      <c r="K43" s="60"/>
      <c r="L43" s="60"/>
      <c r="M43" s="60"/>
      <c r="N43" s="50"/>
      <c r="O43" s="61"/>
      <c r="P43" s="61"/>
      <c r="Q43" s="61"/>
      <c r="R43" s="61"/>
      <c r="S43" s="61"/>
      <c r="T43" s="61"/>
      <c r="U43" s="50"/>
      <c r="V43" s="50"/>
      <c r="W43" s="50"/>
      <c r="X43" s="50"/>
      <c r="Y43" s="50"/>
      <c r="Z43" s="50"/>
      <c r="AA43" s="49"/>
    </row>
    <row r="44" ht="15.75" customHeight="1">
      <c r="A44" s="50"/>
      <c r="B44" s="50" t="s">
        <v>115</v>
      </c>
      <c r="C44" s="50">
        <v>80000.0</v>
      </c>
      <c r="D44" s="50">
        <v>120000.0</v>
      </c>
      <c r="E44" s="50">
        <v>80000.0</v>
      </c>
      <c r="F44" s="50">
        <v>60000.0</v>
      </c>
      <c r="G44" s="98">
        <v>30000.0</v>
      </c>
      <c r="H44" s="50"/>
      <c r="I44" s="60">
        <f t="shared" ref="I44:M44" si="70">C44/C$42</f>
        <v>1.109107631</v>
      </c>
      <c r="J44" s="60">
        <f t="shared" si="70"/>
        <v>1.493464971</v>
      </c>
      <c r="K44" s="60">
        <f t="shared" si="70"/>
        <v>0.2492754963</v>
      </c>
      <c r="L44" s="60">
        <f t="shared" si="70"/>
        <v>0.1709523178</v>
      </c>
      <c r="M44" s="60">
        <f t="shared" si="70"/>
        <v>0.09321818274</v>
      </c>
      <c r="N44" s="50"/>
      <c r="O44" s="61">
        <f t="shared" ref="O44:O48" si="73">IFERROR(C44/C44,0)</f>
        <v>1</v>
      </c>
      <c r="P44" s="61">
        <f t="shared" ref="P44:S44" si="71">IFERROR(D44/$C44,0)</f>
        <v>1.5</v>
      </c>
      <c r="Q44" s="61">
        <f t="shared" si="71"/>
        <v>1</v>
      </c>
      <c r="R44" s="61">
        <f t="shared" si="71"/>
        <v>0.75</v>
      </c>
      <c r="S44" s="61">
        <f t="shared" si="71"/>
        <v>0.375</v>
      </c>
      <c r="T44" s="61"/>
      <c r="U44" s="50"/>
      <c r="V44" s="50"/>
      <c r="W44" s="50"/>
      <c r="X44" s="50"/>
      <c r="Y44" s="50"/>
      <c r="Z44" s="50"/>
      <c r="AA44" s="49"/>
    </row>
    <row r="45" ht="15.75" customHeight="1">
      <c r="A45" s="50"/>
      <c r="B45" s="50" t="s">
        <v>116</v>
      </c>
      <c r="C45" s="50">
        <v>0.0</v>
      </c>
      <c r="D45" s="50">
        <v>2500.0</v>
      </c>
      <c r="E45" s="50">
        <v>3200.0</v>
      </c>
      <c r="F45" s="50">
        <v>15000.0</v>
      </c>
      <c r="G45" s="50">
        <v>25000.0</v>
      </c>
      <c r="H45" s="50"/>
      <c r="I45" s="60">
        <f t="shared" ref="I45:M45" si="72">C45/C$42</f>
        <v>0</v>
      </c>
      <c r="J45" s="60">
        <f t="shared" si="72"/>
        <v>0.03111385356</v>
      </c>
      <c r="K45" s="60">
        <f t="shared" si="72"/>
        <v>0.009971019854</v>
      </c>
      <c r="L45" s="60">
        <f t="shared" si="72"/>
        <v>0.04273807945</v>
      </c>
      <c r="M45" s="60">
        <f t="shared" si="72"/>
        <v>0.07768181895</v>
      </c>
      <c r="N45" s="50"/>
      <c r="O45" s="61">
        <f t="shared" si="73"/>
        <v>0</v>
      </c>
      <c r="P45" s="61">
        <f t="shared" ref="P45:S45" si="74">IFERROR(D45/$C45,0)</f>
        <v>0</v>
      </c>
      <c r="Q45" s="61">
        <f t="shared" si="74"/>
        <v>0</v>
      </c>
      <c r="R45" s="61">
        <f t="shared" si="74"/>
        <v>0</v>
      </c>
      <c r="S45" s="61">
        <f t="shared" si="74"/>
        <v>0</v>
      </c>
      <c r="T45" s="61"/>
      <c r="U45" s="50"/>
      <c r="V45" s="50"/>
      <c r="W45" s="50"/>
      <c r="X45" s="50"/>
      <c r="Y45" s="50"/>
      <c r="Z45" s="50"/>
      <c r="AA45" s="49"/>
    </row>
    <row r="46" ht="15.75" customHeight="1">
      <c r="A46" s="50"/>
      <c r="B46" s="50" t="s">
        <v>117</v>
      </c>
      <c r="C46" s="50">
        <v>300.0</v>
      </c>
      <c r="D46" s="50">
        <v>120.0</v>
      </c>
      <c r="E46" s="50">
        <v>250.0</v>
      </c>
      <c r="F46" s="50">
        <v>320.0</v>
      </c>
      <c r="G46" s="50">
        <v>650.0</v>
      </c>
      <c r="H46" s="50"/>
      <c r="I46" s="60">
        <f t="shared" ref="I46:M46" si="75">C46/C$42</f>
        <v>0.004159153618</v>
      </c>
      <c r="J46" s="60">
        <f t="shared" si="75"/>
        <v>0.001493464971</v>
      </c>
      <c r="K46" s="60">
        <f t="shared" si="75"/>
        <v>0.0007789859261</v>
      </c>
      <c r="L46" s="60">
        <f t="shared" si="75"/>
        <v>0.000911745695</v>
      </c>
      <c r="M46" s="60">
        <f t="shared" si="75"/>
        <v>0.002019727293</v>
      </c>
      <c r="N46" s="50"/>
      <c r="O46" s="61">
        <f t="shared" si="73"/>
        <v>1</v>
      </c>
      <c r="P46" s="61">
        <f t="shared" ref="P46:S46" si="76">IFERROR(D46/$C46,0)</f>
        <v>0.4</v>
      </c>
      <c r="Q46" s="61">
        <f t="shared" si="76"/>
        <v>0.8333333333</v>
      </c>
      <c r="R46" s="61">
        <f t="shared" si="76"/>
        <v>1.066666667</v>
      </c>
      <c r="S46" s="61">
        <f t="shared" si="76"/>
        <v>2.166666667</v>
      </c>
      <c r="T46" s="61"/>
      <c r="U46" s="50"/>
      <c r="V46" s="50"/>
      <c r="W46" s="50"/>
      <c r="X46" s="50"/>
      <c r="Y46" s="50"/>
      <c r="Z46" s="50"/>
      <c r="AA46" s="49"/>
    </row>
    <row r="47" ht="15.75" customHeight="1">
      <c r="A47" s="50"/>
      <c r="B47" s="50" t="s">
        <v>118</v>
      </c>
      <c r="C47" s="62">
        <v>0.0</v>
      </c>
      <c r="D47" s="62">
        <v>0.0</v>
      </c>
      <c r="E47" s="62">
        <v>250.0</v>
      </c>
      <c r="F47" s="62">
        <v>1200.0</v>
      </c>
      <c r="G47" s="62">
        <v>2350.0</v>
      </c>
      <c r="H47" s="50"/>
      <c r="I47" s="60">
        <f t="shared" ref="I47:M47" si="77">C47/C$42</f>
        <v>0</v>
      </c>
      <c r="J47" s="60">
        <f t="shared" si="77"/>
        <v>0</v>
      </c>
      <c r="K47" s="60">
        <f t="shared" si="77"/>
        <v>0.0007789859261</v>
      </c>
      <c r="L47" s="60">
        <f t="shared" si="77"/>
        <v>0.003419046356</v>
      </c>
      <c r="M47" s="60">
        <f t="shared" si="77"/>
        <v>0.007302090981</v>
      </c>
      <c r="N47" s="50"/>
      <c r="O47" s="61">
        <f t="shared" si="73"/>
        <v>0</v>
      </c>
      <c r="P47" s="61">
        <f t="shared" ref="P47:S47" si="78">IFERROR(D47/$C47,0)</f>
        <v>0</v>
      </c>
      <c r="Q47" s="61">
        <f t="shared" si="78"/>
        <v>0</v>
      </c>
      <c r="R47" s="61">
        <f t="shared" si="78"/>
        <v>0</v>
      </c>
      <c r="S47" s="61">
        <f t="shared" si="78"/>
        <v>0</v>
      </c>
      <c r="T47" s="61"/>
      <c r="U47" s="50"/>
      <c r="V47" s="50"/>
      <c r="W47" s="50"/>
      <c r="X47" s="50"/>
      <c r="Y47" s="50"/>
      <c r="Z47" s="50"/>
      <c r="AA47" s="49"/>
    </row>
    <row r="48" ht="15.75" customHeight="1">
      <c r="A48" s="50"/>
      <c r="B48" s="63" t="s">
        <v>119</v>
      </c>
      <c r="C48" s="76">
        <f t="shared" ref="C48:G48" si="79">SUM(C44:C47)</f>
        <v>80300</v>
      </c>
      <c r="D48" s="76">
        <f t="shared" si="79"/>
        <v>122620</v>
      </c>
      <c r="E48" s="76">
        <f t="shared" si="79"/>
        <v>83700</v>
      </c>
      <c r="F48" s="76">
        <f t="shared" si="79"/>
        <v>76520</v>
      </c>
      <c r="G48" s="76">
        <f t="shared" si="79"/>
        <v>58000</v>
      </c>
      <c r="H48" s="50"/>
      <c r="I48" s="65">
        <f t="shared" ref="I48:M48" si="80">C48/C$42</f>
        <v>1.113266785</v>
      </c>
      <c r="J48" s="66">
        <f t="shared" si="80"/>
        <v>1.526072289</v>
      </c>
      <c r="K48" s="66">
        <f t="shared" si="80"/>
        <v>0.2608044881</v>
      </c>
      <c r="L48" s="66">
        <f t="shared" si="80"/>
        <v>0.2180211893</v>
      </c>
      <c r="M48" s="67">
        <f t="shared" si="80"/>
        <v>0.18022182</v>
      </c>
      <c r="N48" s="50"/>
      <c r="O48" s="68">
        <f t="shared" si="73"/>
        <v>1</v>
      </c>
      <c r="P48" s="69">
        <f t="shared" ref="P48:S48" si="81">IFERROR(D48/$C48,0)</f>
        <v>1.527023661</v>
      </c>
      <c r="Q48" s="69">
        <f t="shared" si="81"/>
        <v>1.04234122</v>
      </c>
      <c r="R48" s="69">
        <f t="shared" si="81"/>
        <v>0.9529265255</v>
      </c>
      <c r="S48" s="70">
        <f t="shared" si="81"/>
        <v>0.7222914072</v>
      </c>
      <c r="T48" s="61"/>
      <c r="U48" s="63"/>
      <c r="V48" s="64"/>
      <c r="W48" s="64"/>
      <c r="X48" s="64"/>
      <c r="Y48" s="64"/>
      <c r="Z48" s="64"/>
      <c r="AA48" s="49"/>
    </row>
    <row r="49" ht="15.75" customHeight="1">
      <c r="A49" s="50"/>
      <c r="B49" s="63"/>
      <c r="C49" s="64"/>
      <c r="D49" s="64"/>
      <c r="E49" s="64"/>
      <c r="F49" s="64"/>
      <c r="G49" s="64"/>
      <c r="H49" s="50"/>
      <c r="I49" s="50"/>
      <c r="J49" s="50"/>
      <c r="K49" s="50"/>
      <c r="L49" s="50"/>
      <c r="M49" s="50"/>
      <c r="N49" s="50"/>
      <c r="O49" s="61"/>
      <c r="P49" s="61"/>
      <c r="Q49" s="61"/>
      <c r="R49" s="61"/>
      <c r="S49" s="61"/>
      <c r="T49" s="61"/>
      <c r="U49" s="63"/>
      <c r="V49" s="64"/>
      <c r="W49" s="64"/>
      <c r="X49" s="64"/>
      <c r="Y49" s="64"/>
      <c r="Z49" s="64"/>
      <c r="AA49" s="49"/>
    </row>
    <row r="50" ht="15.75" customHeight="1">
      <c r="A50" s="50"/>
      <c r="B50" s="50" t="s">
        <v>120</v>
      </c>
      <c r="C50" s="50">
        <v>0.0</v>
      </c>
      <c r="D50" s="50">
        <v>0.0</v>
      </c>
      <c r="E50" s="50">
        <v>250000.0</v>
      </c>
      <c r="F50" s="50">
        <v>200000.0</v>
      </c>
      <c r="G50" s="98">
        <v>135320.56585321383</v>
      </c>
      <c r="H50" s="50"/>
      <c r="I50" s="60">
        <f t="shared" ref="I50:M50" si="82">C50/C$42</f>
        <v>0</v>
      </c>
      <c r="J50" s="60">
        <f t="shared" si="82"/>
        <v>0</v>
      </c>
      <c r="K50" s="60">
        <f t="shared" si="82"/>
        <v>0.7789859261</v>
      </c>
      <c r="L50" s="60">
        <f t="shared" si="82"/>
        <v>0.5698410594</v>
      </c>
      <c r="M50" s="60">
        <f t="shared" si="82"/>
        <v>0.4204779079</v>
      </c>
      <c r="N50" s="50"/>
      <c r="O50" s="61">
        <f>IFERROR(C50/C50,0)</f>
        <v>0</v>
      </c>
      <c r="P50" s="61">
        <f t="shared" ref="P50:S50" si="83">IFERROR(D50/$C50,0)</f>
        <v>0</v>
      </c>
      <c r="Q50" s="61">
        <f t="shared" si="83"/>
        <v>0</v>
      </c>
      <c r="R50" s="61">
        <f t="shared" si="83"/>
        <v>0</v>
      </c>
      <c r="S50" s="61">
        <f t="shared" si="83"/>
        <v>0</v>
      </c>
      <c r="T50" s="61"/>
      <c r="U50" s="50"/>
      <c r="V50" s="50"/>
      <c r="W50" s="50"/>
      <c r="X50" s="50"/>
      <c r="Y50" s="50"/>
      <c r="Z50" s="50"/>
      <c r="AA50" s="49"/>
    </row>
    <row r="51" ht="15.75" customHeight="1">
      <c r="A51" s="50"/>
      <c r="B51" s="63"/>
      <c r="C51" s="74"/>
      <c r="D51" s="74"/>
      <c r="E51" s="74"/>
      <c r="F51" s="74"/>
      <c r="G51" s="74"/>
      <c r="H51" s="50"/>
      <c r="I51" s="75"/>
      <c r="J51" s="75"/>
      <c r="K51" s="75"/>
      <c r="L51" s="75"/>
      <c r="M51" s="75"/>
      <c r="N51" s="50"/>
      <c r="O51" s="61"/>
      <c r="P51" s="61"/>
      <c r="Q51" s="61"/>
      <c r="R51" s="61"/>
      <c r="S51" s="61"/>
      <c r="T51" s="61"/>
      <c r="U51" s="63"/>
      <c r="V51" s="64"/>
      <c r="W51" s="64"/>
      <c r="X51" s="64"/>
      <c r="Y51" s="64"/>
      <c r="Z51" s="64"/>
      <c r="AA51" s="49"/>
    </row>
    <row r="52" ht="15.75" customHeight="1">
      <c r="A52" s="50"/>
      <c r="B52" s="63" t="s">
        <v>121</v>
      </c>
      <c r="C52" s="64">
        <f t="shared" ref="C52:G52" si="84">+C50+C48</f>
        <v>80300</v>
      </c>
      <c r="D52" s="64">
        <f t="shared" si="84"/>
        <v>122620</v>
      </c>
      <c r="E52" s="64">
        <f t="shared" si="84"/>
        <v>333700</v>
      </c>
      <c r="F52" s="64">
        <f t="shared" si="84"/>
        <v>276520</v>
      </c>
      <c r="G52" s="64">
        <f t="shared" si="84"/>
        <v>193320.5659</v>
      </c>
      <c r="H52" s="50"/>
      <c r="I52" s="65">
        <f t="shared" ref="I52:M52" si="85">C52/C$42</f>
        <v>1.113266785</v>
      </c>
      <c r="J52" s="66">
        <f t="shared" si="85"/>
        <v>1.526072289</v>
      </c>
      <c r="K52" s="66">
        <f t="shared" si="85"/>
        <v>1.039790414</v>
      </c>
      <c r="L52" s="66">
        <f t="shared" si="85"/>
        <v>0.7878622487</v>
      </c>
      <c r="M52" s="67">
        <f t="shared" si="85"/>
        <v>0.6006997278</v>
      </c>
      <c r="N52" s="50"/>
      <c r="O52" s="68">
        <f>IFERROR(C52/C52,0)</f>
        <v>1</v>
      </c>
      <c r="P52" s="69">
        <f t="shared" ref="P52:S52" si="86">IFERROR(D52/$C52,0)</f>
        <v>1.527023661</v>
      </c>
      <c r="Q52" s="69">
        <f t="shared" si="86"/>
        <v>4.155666252</v>
      </c>
      <c r="R52" s="69">
        <f t="shared" si="86"/>
        <v>3.44358655</v>
      </c>
      <c r="S52" s="70">
        <f t="shared" si="86"/>
        <v>2.407479027</v>
      </c>
      <c r="T52" s="71"/>
      <c r="U52" s="63"/>
      <c r="V52" s="64"/>
      <c r="W52" s="64"/>
      <c r="X52" s="64"/>
      <c r="Y52" s="64"/>
      <c r="Z52" s="64"/>
      <c r="AA52" s="49"/>
    </row>
    <row r="53" ht="15.75" customHeight="1">
      <c r="A53" s="50"/>
      <c r="B53" s="63"/>
      <c r="C53" s="64"/>
      <c r="D53" s="64"/>
      <c r="E53" s="64"/>
      <c r="F53" s="64"/>
      <c r="G53" s="64"/>
      <c r="H53" s="50"/>
      <c r="I53" s="75"/>
      <c r="J53" s="75"/>
      <c r="K53" s="75"/>
      <c r="L53" s="75"/>
      <c r="M53" s="75"/>
      <c r="N53" s="50"/>
      <c r="O53" s="71"/>
      <c r="P53" s="71"/>
      <c r="Q53" s="71"/>
      <c r="R53" s="71"/>
      <c r="S53" s="71"/>
      <c r="T53" s="71"/>
      <c r="U53" s="63"/>
      <c r="V53" s="64"/>
      <c r="W53" s="64"/>
      <c r="X53" s="64"/>
      <c r="Y53" s="64"/>
      <c r="Z53" s="64"/>
      <c r="AA53" s="49"/>
    </row>
    <row r="54" ht="15.75" customHeight="1">
      <c r="A54" s="50"/>
      <c r="B54" s="50" t="s">
        <v>122</v>
      </c>
      <c r="C54" s="50">
        <v>3000.06</v>
      </c>
      <c r="D54" s="50">
        <v>3000.06</v>
      </c>
      <c r="E54" s="50">
        <v>3000.06</v>
      </c>
      <c r="F54" s="50">
        <v>3000.06</v>
      </c>
      <c r="G54" s="50">
        <v>3000.06</v>
      </c>
      <c r="H54" s="50"/>
      <c r="I54" s="60">
        <f t="shared" ref="I54:M54" si="87">C54/C$42</f>
        <v>0.04159236801</v>
      </c>
      <c r="J54" s="60">
        <f t="shared" si="87"/>
        <v>0.037337371</v>
      </c>
      <c r="K54" s="60">
        <f t="shared" si="87"/>
        <v>0.00934801807</v>
      </c>
      <c r="L54" s="60">
        <f t="shared" si="87"/>
        <v>0.008547786843</v>
      </c>
      <c r="M54" s="60">
        <f t="shared" si="87"/>
        <v>0.00932200471</v>
      </c>
      <c r="N54" s="50"/>
      <c r="O54" s="61">
        <f t="shared" ref="O54:O58" si="90">IFERROR(C54/C54,0)</f>
        <v>1</v>
      </c>
      <c r="P54" s="61">
        <f t="shared" ref="P54:S54" si="88">IFERROR(D54/$C54,0)</f>
        <v>1</v>
      </c>
      <c r="Q54" s="61">
        <f t="shared" si="88"/>
        <v>1</v>
      </c>
      <c r="R54" s="61">
        <f t="shared" si="88"/>
        <v>1</v>
      </c>
      <c r="S54" s="61">
        <f t="shared" si="88"/>
        <v>1</v>
      </c>
      <c r="T54" s="61"/>
      <c r="U54" s="50"/>
      <c r="V54" s="50"/>
      <c r="W54" s="50"/>
      <c r="X54" s="50"/>
      <c r="Y54" s="50"/>
      <c r="Z54" s="50"/>
      <c r="AA54" s="49"/>
    </row>
    <row r="55" ht="15.75" customHeight="1">
      <c r="A55" s="50"/>
      <c r="B55" s="50" t="s">
        <v>123</v>
      </c>
      <c r="C55" s="50">
        <v>800.0</v>
      </c>
      <c r="D55" s="50">
        <v>800.0</v>
      </c>
      <c r="E55" s="50">
        <v>800.0</v>
      </c>
      <c r="F55" s="50">
        <v>800.0</v>
      </c>
      <c r="G55" s="50">
        <v>800.0</v>
      </c>
      <c r="H55" s="50"/>
      <c r="I55" s="60">
        <f t="shared" ref="I55:M55" si="89">C55/C$42</f>
        <v>0.01109107631</v>
      </c>
      <c r="J55" s="60">
        <f t="shared" si="89"/>
        <v>0.009956433138</v>
      </c>
      <c r="K55" s="60">
        <f t="shared" si="89"/>
        <v>0.002492754963</v>
      </c>
      <c r="L55" s="60">
        <f t="shared" si="89"/>
        <v>0.002279364237</v>
      </c>
      <c r="M55" s="60">
        <f t="shared" si="89"/>
        <v>0.002485818206</v>
      </c>
      <c r="N55" s="50"/>
      <c r="O55" s="61">
        <f t="shared" si="90"/>
        <v>1</v>
      </c>
      <c r="P55" s="61">
        <f t="shared" ref="P55:S55" si="91">IFERROR(D55/$C55,0)</f>
        <v>1</v>
      </c>
      <c r="Q55" s="61">
        <f t="shared" si="91"/>
        <v>1</v>
      </c>
      <c r="R55" s="61">
        <f t="shared" si="91"/>
        <v>1</v>
      </c>
      <c r="S55" s="61">
        <f t="shared" si="91"/>
        <v>1</v>
      </c>
      <c r="T55" s="61"/>
      <c r="U55" s="50"/>
      <c r="V55" s="50"/>
      <c r="W55" s="50"/>
      <c r="X55" s="50"/>
      <c r="Y55" s="50"/>
      <c r="Z55" s="50"/>
      <c r="AA55" s="49"/>
    </row>
    <row r="56" ht="15.75" customHeight="1">
      <c r="A56" s="50"/>
      <c r="B56" s="50" t="s">
        <v>124</v>
      </c>
      <c r="C56" s="50">
        <v>0.0</v>
      </c>
      <c r="D56" s="50">
        <f t="shared" ref="D56:G56" si="92">+C56+C57</f>
        <v>-11970</v>
      </c>
      <c r="E56" s="50">
        <f t="shared" si="92"/>
        <v>-46070</v>
      </c>
      <c r="F56" s="50">
        <f t="shared" si="92"/>
        <v>-16570</v>
      </c>
      <c r="G56" s="50">
        <f t="shared" si="92"/>
        <v>70655</v>
      </c>
      <c r="H56" s="50"/>
      <c r="I56" s="60">
        <f t="shared" ref="I56:M56" si="93">C56/C$42</f>
        <v>0</v>
      </c>
      <c r="J56" s="60">
        <f t="shared" si="93"/>
        <v>-0.1489731308</v>
      </c>
      <c r="K56" s="60">
        <f t="shared" si="93"/>
        <v>-0.1435515265</v>
      </c>
      <c r="L56" s="60">
        <f t="shared" si="93"/>
        <v>-0.04721133177</v>
      </c>
      <c r="M56" s="60">
        <f t="shared" si="93"/>
        <v>0.2195443567</v>
      </c>
      <c r="N56" s="50"/>
      <c r="O56" s="61">
        <f t="shared" si="90"/>
        <v>0</v>
      </c>
      <c r="P56" s="61">
        <f t="shared" ref="P56:S56" si="94">IFERROR(D56/$C56,0)</f>
        <v>0</v>
      </c>
      <c r="Q56" s="61">
        <f t="shared" si="94"/>
        <v>0</v>
      </c>
      <c r="R56" s="61">
        <f t="shared" si="94"/>
        <v>0</v>
      </c>
      <c r="S56" s="61">
        <f t="shared" si="94"/>
        <v>0</v>
      </c>
      <c r="T56" s="61"/>
      <c r="U56" s="50"/>
      <c r="V56" s="50"/>
      <c r="W56" s="50"/>
      <c r="X56" s="50"/>
      <c r="Y56" s="50"/>
      <c r="Z56" s="50"/>
      <c r="AA56" s="49"/>
    </row>
    <row r="57" ht="15.75" customHeight="1">
      <c r="A57" s="50"/>
      <c r="B57" s="50" t="s">
        <v>125</v>
      </c>
      <c r="C57" s="62">
        <f t="shared" ref="C57:G57" si="95">+C27</f>
        <v>-11970</v>
      </c>
      <c r="D57" s="62">
        <f t="shared" si="95"/>
        <v>-34100</v>
      </c>
      <c r="E57" s="62">
        <f t="shared" si="95"/>
        <v>29500</v>
      </c>
      <c r="F57" s="62">
        <f t="shared" si="95"/>
        <v>87225</v>
      </c>
      <c r="G57" s="62">
        <f t="shared" si="95"/>
        <v>54050</v>
      </c>
      <c r="H57" s="50"/>
      <c r="I57" s="60">
        <f t="shared" ref="I57:M57" si="96">C57/C$42</f>
        <v>-0.1659502293</v>
      </c>
      <c r="J57" s="60">
        <f t="shared" si="96"/>
        <v>-0.4243929625</v>
      </c>
      <c r="K57" s="60">
        <f t="shared" si="96"/>
        <v>0.09192033928</v>
      </c>
      <c r="L57" s="60">
        <f t="shared" si="96"/>
        <v>0.248521932</v>
      </c>
      <c r="M57" s="60">
        <f t="shared" si="96"/>
        <v>0.1679480926</v>
      </c>
      <c r="N57" s="50"/>
      <c r="O57" s="61">
        <f t="shared" si="90"/>
        <v>1</v>
      </c>
      <c r="P57" s="61">
        <f t="shared" ref="P57:S57" si="97">IFERROR(D57/$C57,0)</f>
        <v>2.848788638</v>
      </c>
      <c r="Q57" s="61">
        <f t="shared" si="97"/>
        <v>-2.46449457</v>
      </c>
      <c r="R57" s="61">
        <f t="shared" si="97"/>
        <v>-7.286967419</v>
      </c>
      <c r="S57" s="61">
        <f t="shared" si="97"/>
        <v>-4.515455305</v>
      </c>
      <c r="T57" s="61"/>
      <c r="U57" s="50"/>
      <c r="V57" s="50"/>
      <c r="W57" s="50"/>
      <c r="X57" s="50"/>
      <c r="Y57" s="50"/>
      <c r="Z57" s="50"/>
      <c r="AA57" s="49"/>
    </row>
    <row r="58" ht="15.75" customHeight="1">
      <c r="A58" s="50"/>
      <c r="B58" s="63" t="s">
        <v>126</v>
      </c>
      <c r="C58" s="64">
        <f t="shared" ref="C58:G58" si="98">SUM(C54:C57)</f>
        <v>-8169.94</v>
      </c>
      <c r="D58" s="64">
        <f t="shared" si="98"/>
        <v>-42269.94</v>
      </c>
      <c r="E58" s="64">
        <f t="shared" si="98"/>
        <v>-12769.94</v>
      </c>
      <c r="F58" s="64">
        <f t="shared" si="98"/>
        <v>74455.06</v>
      </c>
      <c r="G58" s="64">
        <f t="shared" si="98"/>
        <v>128505.06</v>
      </c>
      <c r="H58" s="50"/>
      <c r="I58" s="65">
        <f t="shared" ref="I58:M58" si="99">C58/C$42</f>
        <v>-0.113266785</v>
      </c>
      <c r="J58" s="66">
        <f t="shared" si="99"/>
        <v>-0.5260722892</v>
      </c>
      <c r="K58" s="66">
        <f t="shared" si="99"/>
        <v>-0.03979041415</v>
      </c>
      <c r="L58" s="66">
        <f t="shared" si="99"/>
        <v>0.2121377513</v>
      </c>
      <c r="M58" s="67">
        <f t="shared" si="99"/>
        <v>0.3993002722</v>
      </c>
      <c r="N58" s="50"/>
      <c r="O58" s="68">
        <f t="shared" si="90"/>
        <v>1</v>
      </c>
      <c r="P58" s="69">
        <f t="shared" ref="P58:S58" si="100">IFERROR(D58/$C58,0)</f>
        <v>5.173837262</v>
      </c>
      <c r="Q58" s="69">
        <f t="shared" si="100"/>
        <v>1.563039631</v>
      </c>
      <c r="R58" s="69">
        <f t="shared" si="100"/>
        <v>-9.113293366</v>
      </c>
      <c r="S58" s="70">
        <f t="shared" si="100"/>
        <v>-15.72900903</v>
      </c>
      <c r="T58" s="71"/>
      <c r="U58" s="63"/>
      <c r="V58" s="64"/>
      <c r="W58" s="64"/>
      <c r="X58" s="64"/>
      <c r="Y58" s="64"/>
      <c r="Z58" s="64"/>
      <c r="AA58" s="49"/>
    </row>
    <row r="59" ht="15.75" customHeight="1">
      <c r="A59" s="50"/>
      <c r="B59" s="63"/>
      <c r="C59" s="64"/>
      <c r="D59" s="64"/>
      <c r="E59" s="64"/>
      <c r="F59" s="64"/>
      <c r="G59" s="64"/>
      <c r="H59" s="50"/>
      <c r="I59" s="75"/>
      <c r="J59" s="75"/>
      <c r="K59" s="75"/>
      <c r="L59" s="75"/>
      <c r="M59" s="75"/>
      <c r="N59" s="50"/>
      <c r="O59" s="61"/>
      <c r="P59" s="61"/>
      <c r="Q59" s="61"/>
      <c r="R59" s="61"/>
      <c r="S59" s="61"/>
      <c r="T59" s="61"/>
      <c r="U59" s="63"/>
      <c r="V59" s="64"/>
      <c r="W59" s="64"/>
      <c r="X59" s="64"/>
      <c r="Y59" s="64"/>
      <c r="Z59" s="64"/>
      <c r="AA59" s="49"/>
    </row>
    <row r="60" ht="15.75" customHeight="1">
      <c r="A60" s="50"/>
      <c r="B60" s="63" t="s">
        <v>127</v>
      </c>
      <c r="C60" s="72">
        <f t="shared" ref="C60:G60" si="101">+C58+C52</f>
        <v>72130.06</v>
      </c>
      <c r="D60" s="72">
        <f t="shared" si="101"/>
        <v>80350.06</v>
      </c>
      <c r="E60" s="72">
        <f t="shared" si="101"/>
        <v>320930.06</v>
      </c>
      <c r="F60" s="72">
        <f t="shared" si="101"/>
        <v>350975.06</v>
      </c>
      <c r="G60" s="72">
        <f t="shared" si="101"/>
        <v>321825.6259</v>
      </c>
      <c r="H60" s="50"/>
      <c r="I60" s="65">
        <f t="shared" ref="I60:M60" si="102">C60/C$42</f>
        <v>1</v>
      </c>
      <c r="J60" s="66">
        <f t="shared" si="102"/>
        <v>1</v>
      </c>
      <c r="K60" s="66">
        <f t="shared" si="102"/>
        <v>1</v>
      </c>
      <c r="L60" s="66">
        <f t="shared" si="102"/>
        <v>1</v>
      </c>
      <c r="M60" s="67">
        <f t="shared" si="102"/>
        <v>1</v>
      </c>
      <c r="N60" s="50"/>
      <c r="O60" s="68">
        <f>IFERROR(C60/C60,0)</f>
        <v>1</v>
      </c>
      <c r="P60" s="69">
        <f t="shared" ref="P60:S60" si="103">IFERROR(D60/$C60,0)</f>
        <v>1.113960809</v>
      </c>
      <c r="Q60" s="69">
        <f t="shared" si="103"/>
        <v>4.449324734</v>
      </c>
      <c r="R60" s="69">
        <f t="shared" si="103"/>
        <v>4.865863969</v>
      </c>
      <c r="S60" s="70">
        <f t="shared" si="103"/>
        <v>4.46174072</v>
      </c>
      <c r="T60" s="71"/>
      <c r="U60" s="63"/>
      <c r="V60" s="64"/>
      <c r="W60" s="64"/>
      <c r="X60" s="64"/>
      <c r="Y60" s="64"/>
      <c r="Z60" s="64"/>
      <c r="AA60" s="49"/>
    </row>
    <row r="61" ht="15.75" customHeight="1">
      <c r="A61" s="50"/>
      <c r="B61" s="50"/>
      <c r="C61" s="77">
        <f t="shared" ref="C61:G61" si="104">+C60-C42</f>
        <v>0</v>
      </c>
      <c r="D61" s="77">
        <f t="shared" si="104"/>
        <v>0</v>
      </c>
      <c r="E61" s="77">
        <f t="shared" si="104"/>
        <v>0</v>
      </c>
      <c r="F61" s="77">
        <f t="shared" si="104"/>
        <v>0</v>
      </c>
      <c r="G61" s="77">
        <f t="shared" si="104"/>
        <v>0</v>
      </c>
      <c r="H61" s="50"/>
      <c r="I61" s="64"/>
      <c r="J61" s="64"/>
      <c r="K61" s="64"/>
      <c r="L61" s="64"/>
      <c r="M61" s="64"/>
      <c r="N61" s="50"/>
      <c r="O61" s="50"/>
      <c r="P61" s="50"/>
      <c r="Q61" s="50"/>
      <c r="R61" s="50"/>
      <c r="S61" s="50"/>
      <c r="T61" s="50"/>
      <c r="U61" s="50"/>
      <c r="V61" s="77"/>
      <c r="W61" s="77"/>
      <c r="X61" s="77"/>
      <c r="Y61" s="77"/>
      <c r="Z61" s="77"/>
      <c r="AA61" s="49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49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49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49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49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49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49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49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49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49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49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49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5">
    <mergeCell ref="B5:C7"/>
    <mergeCell ref="C13:G13"/>
    <mergeCell ref="I13:M13"/>
    <mergeCell ref="O13:S13"/>
    <mergeCell ref="V13:Z1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5.9"/>
    <col customWidth="1" min="3" max="3" width="9.9"/>
    <col customWidth="1" min="4" max="4" width="8.2"/>
    <col customWidth="1" min="5" max="5" width="6.4"/>
    <col customWidth="1" min="6" max="6" width="10.1"/>
    <col customWidth="1" min="7" max="7" width="10.4"/>
    <col customWidth="1" min="8" max="8" width="4.0"/>
    <col customWidth="1" min="9" max="9" width="25.7"/>
    <col customWidth="1" min="10" max="11" width="7.0"/>
    <col customWidth="1" min="12" max="16" width="7.6"/>
    <col customWidth="1" min="17" max="17" width="2.0"/>
    <col customWidth="1" min="18" max="27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49"/>
      <c r="B2" s="1" t="s">
        <v>0</v>
      </c>
      <c r="C2" s="49"/>
      <c r="D2" s="49"/>
      <c r="E2" s="49"/>
      <c r="F2" s="49"/>
      <c r="G2" s="49"/>
      <c r="H2" s="49"/>
      <c r="I2" s="9" t="s">
        <v>140</v>
      </c>
      <c r="J2" s="11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>
      <c r="A3" s="49"/>
      <c r="B3" s="7" t="s">
        <v>141</v>
      </c>
      <c r="C3" s="49"/>
      <c r="D3" s="49"/>
      <c r="E3" s="49"/>
      <c r="F3" s="49"/>
      <c r="G3" s="49"/>
      <c r="H3" s="49"/>
      <c r="I3" s="15"/>
      <c r="J3" s="16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>
      <c r="A4" s="49"/>
      <c r="B4" s="8" t="s">
        <v>142</v>
      </c>
      <c r="C4" s="99"/>
      <c r="D4" s="99"/>
      <c r="E4" s="99"/>
      <c r="F4" s="99"/>
      <c r="G4" s="99"/>
      <c r="H4" s="99"/>
      <c r="I4" s="12"/>
      <c r="J4" s="14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>
      <c r="A5" s="49"/>
      <c r="B5" s="100"/>
      <c r="C5" s="99"/>
      <c r="D5" s="99"/>
      <c r="E5" s="99"/>
      <c r="F5" s="99"/>
      <c r="G5" s="99"/>
      <c r="H5" s="99"/>
      <c r="I5" s="99"/>
      <c r="J5" s="58"/>
      <c r="K5" s="58"/>
      <c r="L5" s="58"/>
      <c r="M5" s="58"/>
      <c r="N5" s="58"/>
      <c r="O5" s="58"/>
      <c r="P5" s="58"/>
      <c r="Q5" s="101"/>
      <c r="R5" s="99"/>
      <c r="S5" s="99"/>
      <c r="T5" s="99"/>
      <c r="U5" s="99"/>
      <c r="V5" s="99"/>
      <c r="W5" s="99"/>
      <c r="X5" s="99"/>
      <c r="Y5" s="99"/>
      <c r="Z5" s="99"/>
      <c r="AA5" s="99"/>
    </row>
    <row r="6">
      <c r="A6" s="49"/>
      <c r="B6" s="100" t="s">
        <v>143</v>
      </c>
      <c r="C6" s="99"/>
      <c r="D6" s="99"/>
      <c r="E6" s="99"/>
      <c r="F6" s="99"/>
      <c r="G6" s="99"/>
      <c r="H6" s="99"/>
      <c r="I6" s="102"/>
      <c r="J6" s="59">
        <v>2021.0</v>
      </c>
      <c r="K6" s="59">
        <v>2022.0</v>
      </c>
      <c r="L6" s="59">
        <v>2023.0</v>
      </c>
      <c r="M6" s="59">
        <v>2024.0</v>
      </c>
      <c r="N6" s="59">
        <v>2025.0</v>
      </c>
      <c r="O6" s="59">
        <v>2026.0</v>
      </c>
      <c r="P6" s="59" t="s">
        <v>144</v>
      </c>
      <c r="Q6" s="101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>
      <c r="A7" s="49"/>
      <c r="B7" s="103" t="s">
        <v>145</v>
      </c>
      <c r="C7" s="50">
        <v>250000.0</v>
      </c>
      <c r="D7" s="99"/>
      <c r="E7" s="99"/>
      <c r="F7" s="99"/>
      <c r="G7" s="99"/>
      <c r="H7" s="99"/>
      <c r="I7" s="104" t="s">
        <v>143</v>
      </c>
      <c r="J7" s="99"/>
      <c r="K7" s="99"/>
      <c r="L7" s="99"/>
      <c r="M7" s="99"/>
      <c r="N7" s="99"/>
      <c r="O7" s="99"/>
      <c r="P7" s="99"/>
      <c r="Q7" s="105"/>
      <c r="R7" s="99"/>
      <c r="S7" s="99"/>
      <c r="T7" s="99"/>
      <c r="U7" s="99"/>
      <c r="V7" s="99"/>
      <c r="W7" s="99"/>
      <c r="X7" s="99"/>
      <c r="Y7" s="99"/>
      <c r="Z7" s="99"/>
      <c r="AA7" s="99"/>
    </row>
    <row r="8">
      <c r="A8" s="49"/>
      <c r="B8" s="103" t="s">
        <v>146</v>
      </c>
      <c r="C8" s="106">
        <v>0.03</v>
      </c>
      <c r="D8" s="99"/>
      <c r="E8" s="99"/>
      <c r="F8" s="99"/>
      <c r="G8" s="99"/>
      <c r="H8" s="99"/>
      <c r="I8" s="99" t="s">
        <v>147</v>
      </c>
      <c r="J8" s="49"/>
      <c r="K8" s="50">
        <v>250000.0</v>
      </c>
      <c r="L8" s="50">
        <v>250000.0</v>
      </c>
      <c r="M8" s="50">
        <v>250000.0</v>
      </c>
      <c r="N8" s="50">
        <v>250000.0</v>
      </c>
      <c r="O8" s="50">
        <v>250000.0</v>
      </c>
      <c r="P8" s="50">
        <f t="shared" ref="P8:P10" si="2">SUM(K8:O8)</f>
        <v>1250000</v>
      </c>
      <c r="Q8" s="49"/>
      <c r="R8" s="49"/>
      <c r="S8" s="99"/>
      <c r="T8" s="99"/>
      <c r="U8" s="99"/>
      <c r="V8" s="99"/>
      <c r="W8" s="99"/>
      <c r="X8" s="99"/>
      <c r="Y8" s="99"/>
      <c r="Z8" s="99"/>
      <c r="AA8" s="99"/>
    </row>
    <row r="9">
      <c r="A9" s="49"/>
      <c r="B9" s="103" t="s">
        <v>148</v>
      </c>
      <c r="C9" s="50">
        <v>12.0</v>
      </c>
      <c r="D9" s="99"/>
      <c r="E9" s="99"/>
      <c r="F9" s="99"/>
      <c r="G9" s="99"/>
      <c r="H9" s="99"/>
      <c r="I9" s="99" t="s">
        <v>149</v>
      </c>
      <c r="J9" s="50"/>
      <c r="K9" s="50">
        <f>SUM(F12:F23)</f>
        <v>-250000</v>
      </c>
      <c r="L9" s="50">
        <f t="shared" ref="L9:O9" si="1">K9</f>
        <v>-250000</v>
      </c>
      <c r="M9" s="50">
        <f t="shared" si="1"/>
        <v>-250000</v>
      </c>
      <c r="N9" s="50">
        <f t="shared" si="1"/>
        <v>-250000</v>
      </c>
      <c r="O9" s="50">
        <f t="shared" si="1"/>
        <v>-250000</v>
      </c>
      <c r="P9" s="50">
        <f t="shared" si="2"/>
        <v>-1250000</v>
      </c>
      <c r="Q9" s="107"/>
      <c r="R9" s="99"/>
      <c r="S9" s="99"/>
      <c r="T9" s="99"/>
      <c r="U9" s="99"/>
      <c r="V9" s="99"/>
      <c r="W9" s="99"/>
      <c r="X9" s="99"/>
      <c r="Y9" s="99"/>
      <c r="Z9" s="99"/>
      <c r="AA9" s="99"/>
    </row>
    <row r="10">
      <c r="A10" s="49"/>
      <c r="B10" s="99"/>
      <c r="C10" s="99"/>
      <c r="D10" s="99"/>
      <c r="E10" s="99"/>
      <c r="F10" s="99"/>
      <c r="G10" s="99"/>
      <c r="H10" s="99"/>
      <c r="I10" s="99" t="s">
        <v>150</v>
      </c>
      <c r="J10" s="50"/>
      <c r="K10" s="50">
        <f>SUM(E12:E23)</f>
        <v>4081.096275</v>
      </c>
      <c r="L10" s="50">
        <f t="shared" ref="L10:O10" si="3">K10</f>
        <v>4081.096275</v>
      </c>
      <c r="M10" s="50">
        <f t="shared" si="3"/>
        <v>4081.096275</v>
      </c>
      <c r="N10" s="50">
        <f t="shared" si="3"/>
        <v>4081.096275</v>
      </c>
      <c r="O10" s="50">
        <f t="shared" si="3"/>
        <v>4081.096275</v>
      </c>
      <c r="P10" s="50">
        <f t="shared" si="2"/>
        <v>20405.48138</v>
      </c>
      <c r="Q10" s="107"/>
      <c r="R10" s="99"/>
      <c r="S10" s="99"/>
      <c r="T10" s="99"/>
      <c r="U10" s="99"/>
      <c r="V10" s="99"/>
      <c r="W10" s="99"/>
      <c r="X10" s="99"/>
      <c r="Y10" s="99"/>
      <c r="Z10" s="99"/>
      <c r="AA10" s="99"/>
    </row>
    <row r="11">
      <c r="A11" s="49"/>
      <c r="B11" s="108" t="s">
        <v>151</v>
      </c>
      <c r="C11" s="108" t="s">
        <v>152</v>
      </c>
      <c r="D11" s="108" t="s">
        <v>153</v>
      </c>
      <c r="E11" s="108" t="s">
        <v>154</v>
      </c>
      <c r="F11" s="108" t="s">
        <v>149</v>
      </c>
      <c r="G11" s="108" t="s">
        <v>155</v>
      </c>
      <c r="H11" s="49"/>
      <c r="I11" s="109" t="s">
        <v>156</v>
      </c>
      <c r="J11" s="110">
        <v>0.0</v>
      </c>
      <c r="K11" s="110">
        <f t="shared" ref="K11:P11" si="4">J11+K8+K9</f>
        <v>-0.000000004831235856</v>
      </c>
      <c r="L11" s="110">
        <f t="shared" si="4"/>
        <v>-0.000000009662471712</v>
      </c>
      <c r="M11" s="110">
        <f t="shared" si="4"/>
        <v>-0.00000001449370757</v>
      </c>
      <c r="N11" s="110">
        <f t="shared" si="4"/>
        <v>-0.00000001932494342</v>
      </c>
      <c r="O11" s="110">
        <f t="shared" si="4"/>
        <v>-0.00000002415617928</v>
      </c>
      <c r="P11" s="110">
        <f t="shared" si="4"/>
        <v>-0.00000004842877388</v>
      </c>
      <c r="Q11" s="49"/>
      <c r="R11" s="49"/>
      <c r="S11" s="99"/>
      <c r="T11" s="99"/>
      <c r="U11" s="99"/>
      <c r="V11" s="99"/>
      <c r="W11" s="99"/>
      <c r="X11" s="99"/>
      <c r="Y11" s="99"/>
      <c r="Z11" s="99"/>
      <c r="AA11" s="99"/>
    </row>
    <row r="12">
      <c r="A12" s="49"/>
      <c r="B12" s="99">
        <v>1.0</v>
      </c>
      <c r="C12" s="50">
        <f>+C7</f>
        <v>250000</v>
      </c>
      <c r="D12" s="50">
        <f>PMT(C8/12,C9,C7)</f>
        <v>-21173.42469</v>
      </c>
      <c r="E12" s="50">
        <f t="shared" ref="E12:E23" si="5">+C12*$C$8/12</f>
        <v>625</v>
      </c>
      <c r="F12" s="50">
        <f t="shared" ref="F12:F23" si="6">+D12+E12</f>
        <v>-20548.42469</v>
      </c>
      <c r="G12" s="50">
        <f t="shared" ref="G12:G23" si="7">+C12+F12</f>
        <v>229451.5753</v>
      </c>
      <c r="H12" s="49"/>
      <c r="I12" s="99"/>
      <c r="J12" s="50"/>
      <c r="K12" s="50"/>
      <c r="L12" s="50"/>
      <c r="M12" s="50"/>
      <c r="N12" s="50"/>
      <c r="O12" s="50"/>
      <c r="P12" s="50"/>
      <c r="Q12" s="107"/>
      <c r="R12" s="99"/>
      <c r="S12" s="99"/>
      <c r="T12" s="99"/>
      <c r="U12" s="99"/>
      <c r="V12" s="99"/>
      <c r="W12" s="99"/>
      <c r="X12" s="99"/>
      <c r="Y12" s="99"/>
      <c r="Z12" s="99"/>
      <c r="AA12" s="99"/>
    </row>
    <row r="13">
      <c r="A13" s="49"/>
      <c r="B13" s="99">
        <v>2.0</v>
      </c>
      <c r="C13" s="50">
        <f t="shared" ref="C13:C23" si="8">+G12</f>
        <v>229451.5753</v>
      </c>
      <c r="D13" s="50">
        <f t="shared" ref="D13:D23" si="9">+D12</f>
        <v>-21173.42469</v>
      </c>
      <c r="E13" s="50">
        <f t="shared" si="5"/>
        <v>573.6289383</v>
      </c>
      <c r="F13" s="50">
        <f t="shared" si="6"/>
        <v>-20599.79575</v>
      </c>
      <c r="G13" s="50">
        <f t="shared" si="7"/>
        <v>208851.7796</v>
      </c>
      <c r="H13" s="49"/>
      <c r="I13" s="104" t="s">
        <v>157</v>
      </c>
      <c r="J13" s="50"/>
      <c r="K13" s="50"/>
      <c r="L13" s="50"/>
      <c r="M13" s="50"/>
      <c r="N13" s="50"/>
      <c r="O13" s="50"/>
      <c r="P13" s="50"/>
      <c r="Q13" s="107"/>
      <c r="R13" s="99"/>
      <c r="S13" s="99"/>
      <c r="T13" s="99"/>
      <c r="U13" s="99"/>
      <c r="V13" s="99"/>
      <c r="W13" s="99"/>
      <c r="X13" s="99"/>
      <c r="Y13" s="99"/>
      <c r="Z13" s="99"/>
      <c r="AA13" s="99"/>
    </row>
    <row r="14">
      <c r="A14" s="49"/>
      <c r="B14" s="99">
        <v>3.0</v>
      </c>
      <c r="C14" s="50">
        <f t="shared" si="8"/>
        <v>208851.7796</v>
      </c>
      <c r="D14" s="50">
        <f t="shared" si="9"/>
        <v>-21173.42469</v>
      </c>
      <c r="E14" s="50">
        <f t="shared" si="5"/>
        <v>522.1294489</v>
      </c>
      <c r="F14" s="50">
        <f t="shared" si="6"/>
        <v>-20651.29524</v>
      </c>
      <c r="G14" s="50">
        <f t="shared" si="7"/>
        <v>188200.4843</v>
      </c>
      <c r="H14" s="49"/>
      <c r="I14" s="99" t="s">
        <v>147</v>
      </c>
      <c r="J14" s="49"/>
      <c r="K14" s="99">
        <v>0.0</v>
      </c>
      <c r="L14" s="99">
        <v>0.0</v>
      </c>
      <c r="M14" s="99">
        <v>0.0</v>
      </c>
      <c r="N14" s="99">
        <v>0.0</v>
      </c>
      <c r="O14" s="99">
        <v>0.0</v>
      </c>
      <c r="P14" s="50">
        <f t="shared" ref="P14:P16" si="10">SUM(K14:O14)</f>
        <v>0</v>
      </c>
      <c r="Q14" s="49"/>
      <c r="R14" s="49"/>
      <c r="S14" s="99"/>
      <c r="T14" s="99"/>
      <c r="U14" s="99"/>
      <c r="V14" s="99"/>
      <c r="W14" s="99"/>
      <c r="X14" s="99"/>
      <c r="Y14" s="99"/>
      <c r="Z14" s="99"/>
      <c r="AA14" s="99"/>
    </row>
    <row r="15">
      <c r="A15" s="49"/>
      <c r="B15" s="99">
        <v>4.0</v>
      </c>
      <c r="C15" s="50">
        <f t="shared" si="8"/>
        <v>188200.4843</v>
      </c>
      <c r="D15" s="50">
        <f t="shared" si="9"/>
        <v>-21173.42469</v>
      </c>
      <c r="E15" s="50">
        <f t="shared" si="5"/>
        <v>470.5012108</v>
      </c>
      <c r="F15" s="50">
        <f t="shared" si="6"/>
        <v>-20702.92348</v>
      </c>
      <c r="G15" s="50">
        <f t="shared" si="7"/>
        <v>167497.5608</v>
      </c>
      <c r="H15" s="49"/>
      <c r="I15" s="99" t="s">
        <v>149</v>
      </c>
      <c r="J15" s="50"/>
      <c r="K15" s="50">
        <f>SUM(F32:F43)</f>
        <v>-30000</v>
      </c>
      <c r="L15" s="50">
        <v>0.0</v>
      </c>
      <c r="M15" s="50">
        <v>0.0</v>
      </c>
      <c r="N15" s="50">
        <v>0.0</v>
      </c>
      <c r="O15" s="50">
        <v>0.0</v>
      </c>
      <c r="P15" s="50">
        <f t="shared" si="10"/>
        <v>-30000</v>
      </c>
      <c r="Q15" s="107"/>
      <c r="R15" s="99"/>
      <c r="S15" s="99"/>
      <c r="T15" s="99"/>
      <c r="U15" s="99"/>
      <c r="V15" s="99"/>
      <c r="W15" s="99"/>
      <c r="X15" s="99"/>
      <c r="Y15" s="99"/>
      <c r="Z15" s="99"/>
      <c r="AA15" s="99"/>
    </row>
    <row r="16">
      <c r="A16" s="49"/>
      <c r="B16" s="99">
        <v>5.0</v>
      </c>
      <c r="C16" s="50">
        <f t="shared" si="8"/>
        <v>167497.5608</v>
      </c>
      <c r="D16" s="50">
        <f t="shared" si="9"/>
        <v>-21173.42469</v>
      </c>
      <c r="E16" s="50">
        <f t="shared" si="5"/>
        <v>418.7439021</v>
      </c>
      <c r="F16" s="50">
        <f t="shared" si="6"/>
        <v>-20754.68079</v>
      </c>
      <c r="G16" s="50">
        <f t="shared" si="7"/>
        <v>146742.8801</v>
      </c>
      <c r="H16" s="49"/>
      <c r="I16" s="99" t="s">
        <v>150</v>
      </c>
      <c r="J16" s="50"/>
      <c r="K16" s="50">
        <f>SUM(E32:E43)</f>
        <v>489.7315531</v>
      </c>
      <c r="L16" s="50">
        <v>0.0</v>
      </c>
      <c r="M16" s="50">
        <v>0.0</v>
      </c>
      <c r="N16" s="50">
        <v>0.0</v>
      </c>
      <c r="O16" s="50">
        <v>0.0</v>
      </c>
      <c r="P16" s="50">
        <f t="shared" si="10"/>
        <v>489.7315531</v>
      </c>
      <c r="Q16" s="107"/>
      <c r="R16" s="99"/>
      <c r="S16" s="99"/>
      <c r="T16" s="99"/>
      <c r="U16" s="99"/>
      <c r="V16" s="99"/>
      <c r="W16" s="99"/>
      <c r="X16" s="99"/>
      <c r="Y16" s="99"/>
      <c r="Z16" s="99"/>
      <c r="AA16" s="99"/>
    </row>
    <row r="17">
      <c r="A17" s="49"/>
      <c r="B17" s="99">
        <v>6.0</v>
      </c>
      <c r="C17" s="50">
        <f t="shared" si="8"/>
        <v>146742.8801</v>
      </c>
      <c r="D17" s="50">
        <f t="shared" si="9"/>
        <v>-21173.42469</v>
      </c>
      <c r="E17" s="50">
        <f t="shared" si="5"/>
        <v>366.8572001</v>
      </c>
      <c r="F17" s="50">
        <f t="shared" si="6"/>
        <v>-20806.56749</v>
      </c>
      <c r="G17" s="50">
        <f t="shared" si="7"/>
        <v>125936.3126</v>
      </c>
      <c r="H17" s="49"/>
      <c r="I17" s="109" t="s">
        <v>156</v>
      </c>
      <c r="J17" s="110">
        <f>C27</f>
        <v>30000</v>
      </c>
      <c r="K17" s="110">
        <f>J17+K14+K15</f>
        <v>-0.0000000005748006515</v>
      </c>
      <c r="L17" s="110">
        <f t="shared" ref="L17:O17" si="11">K17+L14-L15</f>
        <v>-0.0000000005748006515</v>
      </c>
      <c r="M17" s="110">
        <f t="shared" si="11"/>
        <v>-0.0000000005748006515</v>
      </c>
      <c r="N17" s="110">
        <f t="shared" si="11"/>
        <v>-0.0000000005748006515</v>
      </c>
      <c r="O17" s="110">
        <f t="shared" si="11"/>
        <v>-0.0000000005748006515</v>
      </c>
      <c r="P17" s="110">
        <f>J17+P14+P15</f>
        <v>-0.0000000005748006515</v>
      </c>
      <c r="Q17" s="107"/>
      <c r="R17" s="99"/>
      <c r="S17" s="99"/>
      <c r="T17" s="99"/>
      <c r="U17" s="99"/>
      <c r="V17" s="99"/>
      <c r="W17" s="99"/>
      <c r="X17" s="99"/>
      <c r="Y17" s="99"/>
      <c r="Z17" s="99"/>
      <c r="AA17" s="99"/>
    </row>
    <row r="18">
      <c r="A18" s="49"/>
      <c r="B18" s="99">
        <v>7.0</v>
      </c>
      <c r="C18" s="50">
        <f t="shared" si="8"/>
        <v>125936.3126</v>
      </c>
      <c r="D18" s="50">
        <f t="shared" si="9"/>
        <v>-21173.42469</v>
      </c>
      <c r="E18" s="50">
        <f t="shared" si="5"/>
        <v>314.8407814</v>
      </c>
      <c r="F18" s="50">
        <f t="shared" si="6"/>
        <v>-20858.58391</v>
      </c>
      <c r="G18" s="50">
        <f t="shared" si="7"/>
        <v>105077.7287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>
      <c r="A19" s="49"/>
      <c r="B19" s="99">
        <v>8.0</v>
      </c>
      <c r="C19" s="50">
        <f t="shared" si="8"/>
        <v>105077.7287</v>
      </c>
      <c r="D19" s="50">
        <f t="shared" si="9"/>
        <v>-21173.42469</v>
      </c>
      <c r="E19" s="50">
        <f t="shared" si="5"/>
        <v>262.6943216</v>
      </c>
      <c r="F19" s="50">
        <f t="shared" si="6"/>
        <v>-20910.73037</v>
      </c>
      <c r="G19" s="50">
        <f t="shared" si="7"/>
        <v>84166.99829</v>
      </c>
      <c r="H19" s="49"/>
      <c r="I19" s="104" t="s">
        <v>158</v>
      </c>
      <c r="J19" s="50"/>
      <c r="K19" s="50"/>
      <c r="L19" s="50"/>
      <c r="M19" s="50"/>
      <c r="N19" s="50"/>
      <c r="O19" s="50"/>
      <c r="P19" s="50"/>
      <c r="Q19" s="107"/>
      <c r="R19" s="99"/>
      <c r="S19" s="99"/>
      <c r="T19" s="99"/>
      <c r="U19" s="99"/>
      <c r="V19" s="99"/>
      <c r="W19" s="99"/>
      <c r="X19" s="99"/>
      <c r="Y19" s="99"/>
      <c r="Z19" s="99"/>
      <c r="AA19" s="99"/>
    </row>
    <row r="20">
      <c r="A20" s="49"/>
      <c r="B20" s="99">
        <v>9.0</v>
      </c>
      <c r="C20" s="50">
        <f t="shared" si="8"/>
        <v>84166.99829</v>
      </c>
      <c r="D20" s="50">
        <f t="shared" si="9"/>
        <v>-21173.42469</v>
      </c>
      <c r="E20" s="50">
        <f t="shared" si="5"/>
        <v>210.4174957</v>
      </c>
      <c r="F20" s="50">
        <f t="shared" si="6"/>
        <v>-20963.00719</v>
      </c>
      <c r="G20" s="50">
        <f t="shared" si="7"/>
        <v>63203.99109</v>
      </c>
      <c r="H20" s="49"/>
      <c r="I20" s="99" t="s">
        <v>147</v>
      </c>
      <c r="J20" s="50"/>
      <c r="K20" s="99">
        <v>0.0</v>
      </c>
      <c r="L20" s="99">
        <v>0.0</v>
      </c>
      <c r="M20" s="99">
        <v>0.0</v>
      </c>
      <c r="N20" s="99">
        <v>0.0</v>
      </c>
      <c r="O20" s="99">
        <v>0.0</v>
      </c>
      <c r="P20" s="50">
        <f t="shared" ref="P20:P22" si="12">SUM(K20:O20)</f>
        <v>0</v>
      </c>
      <c r="Q20" s="49"/>
      <c r="R20" s="49"/>
      <c r="S20" s="99"/>
      <c r="T20" s="99"/>
      <c r="U20" s="99"/>
      <c r="V20" s="99"/>
      <c r="W20" s="99"/>
      <c r="X20" s="99"/>
      <c r="Y20" s="99"/>
      <c r="Z20" s="99"/>
      <c r="AA20" s="99"/>
    </row>
    <row r="21" ht="15.75" customHeight="1">
      <c r="A21" s="49"/>
      <c r="B21" s="99">
        <v>10.0</v>
      </c>
      <c r="C21" s="50">
        <f t="shared" si="8"/>
        <v>63203.99109</v>
      </c>
      <c r="D21" s="50">
        <f t="shared" si="9"/>
        <v>-21173.42469</v>
      </c>
      <c r="E21" s="50">
        <f t="shared" si="5"/>
        <v>158.0099777</v>
      </c>
      <c r="F21" s="50">
        <f t="shared" si="6"/>
        <v>-21015.41471</v>
      </c>
      <c r="G21" s="50">
        <f t="shared" si="7"/>
        <v>42188.57638</v>
      </c>
      <c r="H21" s="49"/>
      <c r="I21" s="99" t="s">
        <v>149</v>
      </c>
      <c r="J21" s="50"/>
      <c r="K21" s="50">
        <f>SUM(F65:F76)</f>
        <v>-66646.72103</v>
      </c>
      <c r="L21" s="50">
        <f>SUM(F77:F88)</f>
        <v>-68673.84482</v>
      </c>
      <c r="M21" s="50">
        <v>0.0</v>
      </c>
      <c r="N21" s="50">
        <v>0.0</v>
      </c>
      <c r="O21" s="50">
        <v>0.0</v>
      </c>
      <c r="P21" s="50">
        <f t="shared" si="12"/>
        <v>-135320.5659</v>
      </c>
      <c r="Q21" s="107"/>
      <c r="R21" s="99"/>
      <c r="S21" s="99"/>
      <c r="T21" s="99"/>
      <c r="U21" s="99"/>
      <c r="V21" s="99"/>
      <c r="W21" s="99"/>
      <c r="X21" s="99"/>
      <c r="Y21" s="99"/>
      <c r="Z21" s="99"/>
      <c r="AA21" s="99"/>
    </row>
    <row r="22" ht="15.75" customHeight="1">
      <c r="A22" s="49"/>
      <c r="B22" s="99">
        <v>11.0</v>
      </c>
      <c r="C22" s="50">
        <f t="shared" si="8"/>
        <v>42188.57638</v>
      </c>
      <c r="D22" s="50">
        <f t="shared" si="9"/>
        <v>-21173.42469</v>
      </c>
      <c r="E22" s="50">
        <f t="shared" si="5"/>
        <v>105.471441</v>
      </c>
      <c r="F22" s="50">
        <f t="shared" si="6"/>
        <v>-21067.95325</v>
      </c>
      <c r="G22" s="50">
        <f t="shared" si="7"/>
        <v>21120.62313</v>
      </c>
      <c r="H22" s="49"/>
      <c r="I22" s="99" t="s">
        <v>150</v>
      </c>
      <c r="J22" s="50"/>
      <c r="K22" s="50">
        <f>SUM(E65:E76)</f>
        <v>3148.182085</v>
      </c>
      <c r="L22" s="50">
        <f>SUM(E77:E88)</f>
        <v>1121.058289</v>
      </c>
      <c r="M22" s="50">
        <v>0.0</v>
      </c>
      <c r="N22" s="50">
        <v>0.0</v>
      </c>
      <c r="O22" s="50">
        <v>0.0</v>
      </c>
      <c r="P22" s="50">
        <f t="shared" si="12"/>
        <v>4269.240374</v>
      </c>
      <c r="Q22" s="107"/>
      <c r="R22" s="99"/>
      <c r="S22" s="99"/>
      <c r="T22" s="99"/>
      <c r="U22" s="99"/>
      <c r="V22" s="99"/>
      <c r="W22" s="99"/>
      <c r="X22" s="99"/>
      <c r="Y22" s="99"/>
      <c r="Z22" s="99"/>
      <c r="AA22" s="99"/>
    </row>
    <row r="23" ht="15.75" customHeight="1">
      <c r="A23" s="49"/>
      <c r="B23" s="99">
        <v>12.0</v>
      </c>
      <c r="C23" s="50">
        <f t="shared" si="8"/>
        <v>21120.62313</v>
      </c>
      <c r="D23" s="50">
        <f t="shared" si="9"/>
        <v>-21173.42469</v>
      </c>
      <c r="E23" s="50">
        <f t="shared" si="5"/>
        <v>52.80155783</v>
      </c>
      <c r="F23" s="50">
        <f t="shared" si="6"/>
        <v>-21120.62313</v>
      </c>
      <c r="G23" s="50">
        <f t="shared" si="7"/>
        <v>-0.000000004838511813</v>
      </c>
      <c r="H23" s="49"/>
      <c r="I23" s="109" t="s">
        <v>156</v>
      </c>
      <c r="J23" s="110">
        <v>135320.56585321383</v>
      </c>
      <c r="K23" s="110">
        <f t="shared" ref="K23:O23" si="13">J23+K20+K21</f>
        <v>68673.84482</v>
      </c>
      <c r="L23" s="110">
        <f t="shared" si="13"/>
        <v>-0.000000003041350283</v>
      </c>
      <c r="M23" s="110">
        <f t="shared" si="13"/>
        <v>-0.000000003041350283</v>
      </c>
      <c r="N23" s="110">
        <f t="shared" si="13"/>
        <v>-0.000000003041350283</v>
      </c>
      <c r="O23" s="110">
        <f t="shared" si="13"/>
        <v>-0.000000003041350283</v>
      </c>
      <c r="P23" s="110">
        <f>J23+P20+P21</f>
        <v>-0.000000003026798368</v>
      </c>
      <c r="Q23" s="50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ht="15.75" customHeight="1">
      <c r="A24" s="49"/>
      <c r="B24" s="99"/>
      <c r="C24" s="99"/>
      <c r="D24" s="50"/>
      <c r="E24" s="50"/>
      <c r="F24" s="50"/>
      <c r="G24" s="50"/>
      <c r="H24" s="50"/>
      <c r="I24" s="49"/>
      <c r="J24" s="49"/>
      <c r="K24" s="49"/>
      <c r="L24" s="50"/>
      <c r="M24" s="50"/>
      <c r="N24" s="50"/>
      <c r="O24" s="50"/>
      <c r="P24" s="50"/>
      <c r="Q24" s="50"/>
      <c r="R24" s="99"/>
      <c r="S24" s="99"/>
      <c r="T24" s="99"/>
      <c r="U24" s="99"/>
      <c r="V24" s="99"/>
      <c r="W24" s="99"/>
      <c r="X24" s="99"/>
      <c r="Y24" s="99"/>
      <c r="Z24" s="99"/>
      <c r="AA24" s="99"/>
    </row>
    <row r="25" ht="15.75" customHeight="1">
      <c r="A25" s="49"/>
      <c r="B25" s="99"/>
      <c r="C25" s="99"/>
      <c r="D25" s="99"/>
      <c r="E25" s="99"/>
      <c r="F25" s="99"/>
      <c r="G25" s="99"/>
      <c r="H25" s="99"/>
      <c r="I25" s="111" t="s">
        <v>159</v>
      </c>
      <c r="J25" s="112">
        <f t="shared" ref="J25:O25" si="14">J8+J14+J20</f>
        <v>0</v>
      </c>
      <c r="K25" s="112">
        <f t="shared" si="14"/>
        <v>250000</v>
      </c>
      <c r="L25" s="112">
        <f t="shared" si="14"/>
        <v>250000</v>
      </c>
      <c r="M25" s="112">
        <f t="shared" si="14"/>
        <v>250000</v>
      </c>
      <c r="N25" s="112">
        <f t="shared" si="14"/>
        <v>250000</v>
      </c>
      <c r="O25" s="112">
        <f t="shared" si="14"/>
        <v>250000</v>
      </c>
      <c r="P25" s="113">
        <f t="shared" ref="P25:P27" si="16">SUM(K25:O25)</f>
        <v>1250000</v>
      </c>
      <c r="Q25" s="50"/>
      <c r="R25" s="99"/>
      <c r="S25" s="99"/>
      <c r="T25" s="99"/>
      <c r="U25" s="99"/>
      <c r="V25" s="99"/>
      <c r="W25" s="99"/>
      <c r="X25" s="99"/>
      <c r="Y25" s="99"/>
      <c r="Z25" s="99"/>
      <c r="AA25" s="99"/>
    </row>
    <row r="26" ht="15.75" customHeight="1">
      <c r="A26" s="49"/>
      <c r="B26" s="100" t="s">
        <v>157</v>
      </c>
      <c r="C26" s="99"/>
      <c r="D26" s="99"/>
      <c r="E26" s="99"/>
      <c r="F26" s="99"/>
      <c r="G26" s="99"/>
      <c r="H26" s="99"/>
      <c r="I26" s="114" t="s">
        <v>160</v>
      </c>
      <c r="J26" s="50">
        <f t="shared" ref="J26:O26" si="15">J9+J15+J21</f>
        <v>0</v>
      </c>
      <c r="K26" s="50">
        <f t="shared" si="15"/>
        <v>-346646.721</v>
      </c>
      <c r="L26" s="50">
        <f t="shared" si="15"/>
        <v>-318673.8448</v>
      </c>
      <c r="M26" s="50">
        <f t="shared" si="15"/>
        <v>-250000</v>
      </c>
      <c r="N26" s="50">
        <f t="shared" si="15"/>
        <v>-250000</v>
      </c>
      <c r="O26" s="50">
        <f t="shared" si="15"/>
        <v>-250000</v>
      </c>
      <c r="P26" s="115">
        <f t="shared" si="16"/>
        <v>-1415320.566</v>
      </c>
      <c r="Q26" s="50"/>
      <c r="R26" s="99"/>
      <c r="S26" s="99"/>
      <c r="T26" s="99"/>
      <c r="U26" s="99"/>
      <c r="V26" s="99"/>
      <c r="W26" s="99"/>
      <c r="X26" s="99"/>
      <c r="Y26" s="99"/>
      <c r="Z26" s="99"/>
      <c r="AA26" s="99"/>
    </row>
    <row r="27" ht="15.75" customHeight="1">
      <c r="A27" s="49"/>
      <c r="B27" s="103" t="s">
        <v>145</v>
      </c>
      <c r="C27" s="50">
        <v>30000.0</v>
      </c>
      <c r="D27" s="99"/>
      <c r="E27" s="99"/>
      <c r="F27" s="99"/>
      <c r="G27" s="99"/>
      <c r="H27" s="99"/>
      <c r="I27" s="114" t="s">
        <v>161</v>
      </c>
      <c r="J27" s="50">
        <f t="shared" ref="J27:O27" si="17">J10+J16+J22</f>
        <v>0</v>
      </c>
      <c r="K27" s="50">
        <f t="shared" si="17"/>
        <v>7719.009913</v>
      </c>
      <c r="L27" s="50">
        <f t="shared" si="17"/>
        <v>5202.154565</v>
      </c>
      <c r="M27" s="50">
        <f t="shared" si="17"/>
        <v>4081.096275</v>
      </c>
      <c r="N27" s="50">
        <f t="shared" si="17"/>
        <v>4081.096275</v>
      </c>
      <c r="O27" s="50">
        <f t="shared" si="17"/>
        <v>4081.096275</v>
      </c>
      <c r="P27" s="115">
        <f t="shared" si="16"/>
        <v>25164.4533</v>
      </c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</row>
    <row r="28" ht="15.75" customHeight="1">
      <c r="A28" s="49"/>
      <c r="B28" s="103" t="s">
        <v>146</v>
      </c>
      <c r="C28" s="106">
        <v>0.03</v>
      </c>
      <c r="D28" s="99"/>
      <c r="E28" s="99"/>
      <c r="F28" s="99"/>
      <c r="G28" s="99"/>
      <c r="H28" s="99"/>
      <c r="I28" s="116" t="s">
        <v>156</v>
      </c>
      <c r="J28" s="117">
        <f>J11+J17+J23</f>
        <v>165320.5659</v>
      </c>
      <c r="K28" s="117">
        <f t="shared" ref="K28:O28" si="18">J28+K25+K26</f>
        <v>68673.84482</v>
      </c>
      <c r="L28" s="117">
        <f t="shared" si="18"/>
        <v>-0.00000001327134669</v>
      </c>
      <c r="M28" s="117">
        <f t="shared" si="18"/>
        <v>-0.00000001810258254</v>
      </c>
      <c r="N28" s="117">
        <f t="shared" si="18"/>
        <v>-0.0000000229338184</v>
      </c>
      <c r="O28" s="117">
        <f t="shared" si="18"/>
        <v>-0.00000002776505426</v>
      </c>
      <c r="P28" s="117">
        <f>J28+P25+P26</f>
        <v>-0.00000002793967724</v>
      </c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</row>
    <row r="29" ht="15.75" customHeight="1">
      <c r="A29" s="49"/>
      <c r="B29" s="103" t="s">
        <v>148</v>
      </c>
      <c r="C29" s="50">
        <v>12.0</v>
      </c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</row>
    <row r="30" ht="15.75" customHeight="1">
      <c r="A30" s="4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</row>
    <row r="31" ht="15.75" customHeight="1">
      <c r="A31" s="49"/>
      <c r="B31" s="108" t="s">
        <v>151</v>
      </c>
      <c r="C31" s="108" t="s">
        <v>152</v>
      </c>
      <c r="D31" s="108" t="s">
        <v>153</v>
      </c>
      <c r="E31" s="108" t="s">
        <v>154</v>
      </c>
      <c r="F31" s="108" t="s">
        <v>149</v>
      </c>
      <c r="G31" s="108" t="s">
        <v>155</v>
      </c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</row>
    <row r="32" ht="15.75" customHeight="1">
      <c r="A32" s="49"/>
      <c r="B32" s="99">
        <v>1.0</v>
      </c>
      <c r="C32" s="50">
        <f>+C27</f>
        <v>30000</v>
      </c>
      <c r="D32" s="50">
        <f>PMT(C28/12,C29,C27)</f>
        <v>-2540.810963</v>
      </c>
      <c r="E32" s="50">
        <f t="shared" ref="E32:E43" si="19">+C32*$C$28/12</f>
        <v>75</v>
      </c>
      <c r="F32" s="50">
        <f t="shared" ref="F32:F43" si="20">+D32+E32</f>
        <v>-2465.810963</v>
      </c>
      <c r="G32" s="50">
        <f t="shared" ref="G32:G43" si="21">+C32+F32</f>
        <v>27534.18904</v>
      </c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</row>
    <row r="33" ht="15.75" customHeight="1">
      <c r="A33" s="49"/>
      <c r="B33" s="99">
        <f t="shared" ref="B33:B43" si="22">B32+1</f>
        <v>2</v>
      </c>
      <c r="C33" s="50">
        <f t="shared" ref="C33:C43" si="23">+G32</f>
        <v>27534.18904</v>
      </c>
      <c r="D33" s="50">
        <f t="shared" ref="D33:D43" si="24">+D32</f>
        <v>-2540.810963</v>
      </c>
      <c r="E33" s="50">
        <f t="shared" si="19"/>
        <v>68.83547259</v>
      </c>
      <c r="F33" s="50">
        <f t="shared" si="20"/>
        <v>-2471.97549</v>
      </c>
      <c r="G33" s="50">
        <f t="shared" si="21"/>
        <v>25062.21355</v>
      </c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</row>
    <row r="34" ht="15.75" customHeight="1">
      <c r="A34" s="49"/>
      <c r="B34" s="99">
        <f t="shared" si="22"/>
        <v>3</v>
      </c>
      <c r="C34" s="50">
        <f t="shared" si="23"/>
        <v>25062.21355</v>
      </c>
      <c r="D34" s="50">
        <f t="shared" si="24"/>
        <v>-2540.810963</v>
      </c>
      <c r="E34" s="50">
        <f t="shared" si="19"/>
        <v>62.65553387</v>
      </c>
      <c r="F34" s="50">
        <f t="shared" si="20"/>
        <v>-2478.155429</v>
      </c>
      <c r="G34" s="50">
        <f t="shared" si="21"/>
        <v>22584.05812</v>
      </c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</row>
    <row r="35" ht="15.75" customHeight="1">
      <c r="A35" s="49"/>
      <c r="B35" s="99">
        <f t="shared" si="22"/>
        <v>4</v>
      </c>
      <c r="C35" s="50">
        <f t="shared" si="23"/>
        <v>22584.05812</v>
      </c>
      <c r="D35" s="50">
        <f t="shared" si="24"/>
        <v>-2540.810963</v>
      </c>
      <c r="E35" s="50">
        <f t="shared" si="19"/>
        <v>56.4601453</v>
      </c>
      <c r="F35" s="50">
        <f t="shared" si="20"/>
        <v>-2484.350817</v>
      </c>
      <c r="G35" s="50">
        <f t="shared" si="21"/>
        <v>20099.7073</v>
      </c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</row>
    <row r="36" ht="15.75" customHeight="1">
      <c r="A36" s="49"/>
      <c r="B36" s="99">
        <f t="shared" si="22"/>
        <v>5</v>
      </c>
      <c r="C36" s="50">
        <f t="shared" si="23"/>
        <v>20099.7073</v>
      </c>
      <c r="D36" s="50">
        <f t="shared" si="24"/>
        <v>-2540.810963</v>
      </c>
      <c r="E36" s="50">
        <f t="shared" si="19"/>
        <v>50.24926825</v>
      </c>
      <c r="F36" s="50">
        <f t="shared" si="20"/>
        <v>-2490.561695</v>
      </c>
      <c r="G36" s="50">
        <f t="shared" si="21"/>
        <v>17609.14561</v>
      </c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</row>
    <row r="37" ht="15.75" customHeight="1">
      <c r="A37" s="49"/>
      <c r="B37" s="99">
        <f t="shared" si="22"/>
        <v>6</v>
      </c>
      <c r="C37" s="50">
        <f t="shared" si="23"/>
        <v>17609.14561</v>
      </c>
      <c r="D37" s="50">
        <f t="shared" si="24"/>
        <v>-2540.810963</v>
      </c>
      <c r="E37" s="50">
        <f t="shared" si="19"/>
        <v>44.02286402</v>
      </c>
      <c r="F37" s="50">
        <f t="shared" si="20"/>
        <v>-2496.788099</v>
      </c>
      <c r="G37" s="50">
        <f t="shared" si="21"/>
        <v>15112.35751</v>
      </c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</row>
    <row r="38" ht="15.75" customHeight="1">
      <c r="A38" s="49"/>
      <c r="B38" s="99">
        <f t="shared" si="22"/>
        <v>7</v>
      </c>
      <c r="C38" s="50">
        <f t="shared" si="23"/>
        <v>15112.35751</v>
      </c>
      <c r="D38" s="50">
        <f t="shared" si="24"/>
        <v>-2540.810963</v>
      </c>
      <c r="E38" s="50">
        <f t="shared" si="19"/>
        <v>37.78089377</v>
      </c>
      <c r="F38" s="50">
        <f t="shared" si="20"/>
        <v>-2503.030069</v>
      </c>
      <c r="G38" s="50">
        <f t="shared" si="21"/>
        <v>12609.32744</v>
      </c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</row>
    <row r="39" ht="15.75" customHeight="1">
      <c r="A39" s="49"/>
      <c r="B39" s="99">
        <f t="shared" si="22"/>
        <v>8</v>
      </c>
      <c r="C39" s="50">
        <f t="shared" si="23"/>
        <v>12609.32744</v>
      </c>
      <c r="D39" s="50">
        <f t="shared" si="24"/>
        <v>-2540.810963</v>
      </c>
      <c r="E39" s="50">
        <f t="shared" si="19"/>
        <v>31.5233186</v>
      </c>
      <c r="F39" s="50">
        <f t="shared" si="20"/>
        <v>-2509.287644</v>
      </c>
      <c r="G39" s="50">
        <f t="shared" si="21"/>
        <v>10100.03979</v>
      </c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</row>
    <row r="40" ht="15.75" customHeight="1">
      <c r="A40" s="49"/>
      <c r="B40" s="99">
        <f t="shared" si="22"/>
        <v>9</v>
      </c>
      <c r="C40" s="50">
        <f t="shared" si="23"/>
        <v>10100.03979</v>
      </c>
      <c r="D40" s="50">
        <f t="shared" si="24"/>
        <v>-2540.810963</v>
      </c>
      <c r="E40" s="50">
        <f t="shared" si="19"/>
        <v>25.25009949</v>
      </c>
      <c r="F40" s="50">
        <f t="shared" si="20"/>
        <v>-2515.560863</v>
      </c>
      <c r="G40" s="50">
        <f t="shared" si="21"/>
        <v>7584.478931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</row>
    <row r="41" ht="15.75" customHeight="1">
      <c r="A41" s="49"/>
      <c r="B41" s="99">
        <f t="shared" si="22"/>
        <v>10</v>
      </c>
      <c r="C41" s="50">
        <f t="shared" si="23"/>
        <v>7584.478931</v>
      </c>
      <c r="D41" s="50">
        <f t="shared" si="24"/>
        <v>-2540.810963</v>
      </c>
      <c r="E41" s="50">
        <f t="shared" si="19"/>
        <v>18.96119733</v>
      </c>
      <c r="F41" s="50">
        <f t="shared" si="20"/>
        <v>-2521.849765</v>
      </c>
      <c r="G41" s="50">
        <f t="shared" si="21"/>
        <v>5062.629166</v>
      </c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</row>
    <row r="42" ht="15.75" customHeight="1">
      <c r="A42" s="49"/>
      <c r="B42" s="99">
        <f t="shared" si="22"/>
        <v>11</v>
      </c>
      <c r="C42" s="50">
        <f t="shared" si="23"/>
        <v>5062.629166</v>
      </c>
      <c r="D42" s="50">
        <f t="shared" si="24"/>
        <v>-2540.810963</v>
      </c>
      <c r="E42" s="50">
        <f t="shared" si="19"/>
        <v>12.65657291</v>
      </c>
      <c r="F42" s="50">
        <f t="shared" si="20"/>
        <v>-2528.15439</v>
      </c>
      <c r="G42" s="50">
        <f t="shared" si="21"/>
        <v>2534.474776</v>
      </c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</row>
    <row r="43" ht="15.75" customHeight="1">
      <c r="A43" s="49"/>
      <c r="B43" s="99">
        <f t="shared" si="22"/>
        <v>12</v>
      </c>
      <c r="C43" s="50">
        <f t="shared" si="23"/>
        <v>2534.474776</v>
      </c>
      <c r="D43" s="50">
        <f t="shared" si="24"/>
        <v>-2540.810963</v>
      </c>
      <c r="E43" s="50">
        <f t="shared" si="19"/>
        <v>6.33618694</v>
      </c>
      <c r="F43" s="50">
        <f t="shared" si="20"/>
        <v>-2534.474776</v>
      </c>
      <c r="G43" s="50">
        <f t="shared" si="21"/>
        <v>-0.0000000005807123671</v>
      </c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</row>
    <row r="44" ht="15.75" customHeight="1">
      <c r="A44" s="4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</row>
    <row r="45" ht="15.75" customHeight="1">
      <c r="A45" s="4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</row>
    <row r="46" ht="15.75" customHeight="1">
      <c r="A46" s="4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</row>
    <row r="47" ht="15.75" customHeight="1">
      <c r="A47" s="49"/>
      <c r="B47" s="100" t="s">
        <v>158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</row>
    <row r="48" ht="15.75" customHeight="1">
      <c r="A48" s="49"/>
      <c r="B48" s="103" t="s">
        <v>145</v>
      </c>
      <c r="C48" s="50">
        <f>+FINANCIEROS!F50</f>
        <v>200000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</row>
    <row r="49" ht="15.75" customHeight="1">
      <c r="A49" s="49"/>
      <c r="B49" s="103" t="s">
        <v>146</v>
      </c>
      <c r="C49" s="106">
        <v>0.03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</row>
    <row r="50" ht="15.75" customHeight="1">
      <c r="A50" s="49"/>
      <c r="B50" s="103" t="s">
        <v>148</v>
      </c>
      <c r="C50" s="50">
        <f>3*12</f>
        <v>36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</row>
    <row r="51" ht="15.75" customHeight="1">
      <c r="A51" s="4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</row>
    <row r="52" ht="15.75" customHeight="1">
      <c r="A52" s="49"/>
      <c r="B52" s="108" t="s">
        <v>151</v>
      </c>
      <c r="C52" s="108" t="s">
        <v>152</v>
      </c>
      <c r="D52" s="108" t="s">
        <v>153</v>
      </c>
      <c r="E52" s="108" t="s">
        <v>154</v>
      </c>
      <c r="F52" s="108" t="s">
        <v>149</v>
      </c>
      <c r="G52" s="108" t="s">
        <v>155</v>
      </c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</row>
    <row r="53" ht="15.75" customHeight="1">
      <c r="A53" s="49"/>
      <c r="B53" s="99">
        <v>1.0</v>
      </c>
      <c r="C53" s="50">
        <f>+C48</f>
        <v>200000</v>
      </c>
      <c r="D53" s="50">
        <f>PMT(C49/12,C50,C48)</f>
        <v>-5816.241926</v>
      </c>
      <c r="E53" s="50">
        <f t="shared" ref="E53:E88" si="25">+C53*$C$49/12</f>
        <v>500</v>
      </c>
      <c r="F53" s="50">
        <f t="shared" ref="F53:F88" si="26">+D53+E53</f>
        <v>-5316.241926</v>
      </c>
      <c r="G53" s="50">
        <f t="shared" ref="G53:G88" si="27">+C53+F53</f>
        <v>194683.7581</v>
      </c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</row>
    <row r="54" ht="15.75" customHeight="1">
      <c r="A54" s="49"/>
      <c r="B54" s="99">
        <f t="shared" ref="B54:B88" si="28">B53+1</f>
        <v>2</v>
      </c>
      <c r="C54" s="50">
        <f t="shared" ref="C54:C88" si="29">+G53</f>
        <v>194683.7581</v>
      </c>
      <c r="D54" s="50">
        <f t="shared" ref="D54:D88" si="30">+D53</f>
        <v>-5816.241926</v>
      </c>
      <c r="E54" s="50">
        <f t="shared" si="25"/>
        <v>486.7093952</v>
      </c>
      <c r="F54" s="50">
        <f t="shared" si="26"/>
        <v>-5329.532531</v>
      </c>
      <c r="G54" s="50">
        <f t="shared" si="27"/>
        <v>189354.2255</v>
      </c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</row>
    <row r="55" ht="15.75" customHeight="1">
      <c r="A55" s="49"/>
      <c r="B55" s="99">
        <f t="shared" si="28"/>
        <v>3</v>
      </c>
      <c r="C55" s="50">
        <f t="shared" si="29"/>
        <v>189354.2255</v>
      </c>
      <c r="D55" s="50">
        <f t="shared" si="30"/>
        <v>-5816.241926</v>
      </c>
      <c r="E55" s="50">
        <f t="shared" si="25"/>
        <v>473.3855639</v>
      </c>
      <c r="F55" s="50">
        <f t="shared" si="26"/>
        <v>-5342.856362</v>
      </c>
      <c r="G55" s="50">
        <f t="shared" si="27"/>
        <v>184011.3692</v>
      </c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</row>
    <row r="56" ht="15.75" customHeight="1">
      <c r="A56" s="49"/>
      <c r="B56" s="99">
        <f t="shared" si="28"/>
        <v>4</v>
      </c>
      <c r="C56" s="50">
        <f t="shared" si="29"/>
        <v>184011.3692</v>
      </c>
      <c r="D56" s="50">
        <f t="shared" si="30"/>
        <v>-5816.241926</v>
      </c>
      <c r="E56" s="50">
        <f t="shared" si="25"/>
        <v>460.028423</v>
      </c>
      <c r="F56" s="50">
        <f t="shared" si="26"/>
        <v>-5356.213503</v>
      </c>
      <c r="G56" s="50">
        <f t="shared" si="27"/>
        <v>178655.1557</v>
      </c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</row>
    <row r="57" ht="15.75" customHeight="1">
      <c r="A57" s="49"/>
      <c r="B57" s="99">
        <f t="shared" si="28"/>
        <v>5</v>
      </c>
      <c r="C57" s="50">
        <f t="shared" si="29"/>
        <v>178655.1557</v>
      </c>
      <c r="D57" s="50">
        <f t="shared" si="30"/>
        <v>-5816.241926</v>
      </c>
      <c r="E57" s="50">
        <f t="shared" si="25"/>
        <v>446.6378892</v>
      </c>
      <c r="F57" s="50">
        <f t="shared" si="26"/>
        <v>-5369.604037</v>
      </c>
      <c r="G57" s="50">
        <f t="shared" si="27"/>
        <v>173285.5516</v>
      </c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</row>
    <row r="58" ht="15.75" customHeight="1">
      <c r="A58" s="49"/>
      <c r="B58" s="99">
        <f t="shared" si="28"/>
        <v>6</v>
      </c>
      <c r="C58" s="50">
        <f t="shared" si="29"/>
        <v>173285.5516</v>
      </c>
      <c r="D58" s="50">
        <f t="shared" si="30"/>
        <v>-5816.241926</v>
      </c>
      <c r="E58" s="50">
        <f t="shared" si="25"/>
        <v>433.2138791</v>
      </c>
      <c r="F58" s="50">
        <f t="shared" si="26"/>
        <v>-5383.028047</v>
      </c>
      <c r="G58" s="50">
        <f t="shared" si="27"/>
        <v>167902.5236</v>
      </c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</row>
    <row r="59" ht="15.75" customHeight="1">
      <c r="A59" s="49"/>
      <c r="B59" s="99">
        <f t="shared" si="28"/>
        <v>7</v>
      </c>
      <c r="C59" s="50">
        <f t="shared" si="29"/>
        <v>167902.5236</v>
      </c>
      <c r="D59" s="50">
        <f t="shared" si="30"/>
        <v>-5816.241926</v>
      </c>
      <c r="E59" s="50">
        <f t="shared" si="25"/>
        <v>419.756309</v>
      </c>
      <c r="F59" s="50">
        <f t="shared" si="26"/>
        <v>-5396.485617</v>
      </c>
      <c r="G59" s="50">
        <f t="shared" si="27"/>
        <v>162506.038</v>
      </c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</row>
    <row r="60" ht="15.75" customHeight="1">
      <c r="A60" s="49"/>
      <c r="B60" s="99">
        <f t="shared" si="28"/>
        <v>8</v>
      </c>
      <c r="C60" s="50">
        <f t="shared" si="29"/>
        <v>162506.038</v>
      </c>
      <c r="D60" s="50">
        <f t="shared" si="30"/>
        <v>-5816.241926</v>
      </c>
      <c r="E60" s="50">
        <f t="shared" si="25"/>
        <v>406.2650949</v>
      </c>
      <c r="F60" s="50">
        <f t="shared" si="26"/>
        <v>-5409.976831</v>
      </c>
      <c r="G60" s="50">
        <f t="shared" si="27"/>
        <v>157096.0611</v>
      </c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</row>
    <row r="61" ht="15.75" customHeight="1">
      <c r="A61" s="49"/>
      <c r="B61" s="99">
        <f t="shared" si="28"/>
        <v>9</v>
      </c>
      <c r="C61" s="50">
        <f t="shared" si="29"/>
        <v>157096.0611</v>
      </c>
      <c r="D61" s="50">
        <f t="shared" si="30"/>
        <v>-5816.241926</v>
      </c>
      <c r="E61" s="50">
        <f t="shared" si="25"/>
        <v>392.7401529</v>
      </c>
      <c r="F61" s="50">
        <f t="shared" si="26"/>
        <v>-5423.501773</v>
      </c>
      <c r="G61" s="50">
        <f t="shared" si="27"/>
        <v>151672.5594</v>
      </c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</row>
    <row r="62" ht="15.75" customHeight="1">
      <c r="A62" s="49"/>
      <c r="B62" s="99">
        <f t="shared" si="28"/>
        <v>10</v>
      </c>
      <c r="C62" s="50">
        <f t="shared" si="29"/>
        <v>151672.5594</v>
      </c>
      <c r="D62" s="50">
        <f t="shared" si="30"/>
        <v>-5816.241926</v>
      </c>
      <c r="E62" s="50">
        <f t="shared" si="25"/>
        <v>379.1813984</v>
      </c>
      <c r="F62" s="50">
        <f t="shared" si="26"/>
        <v>-5437.060528</v>
      </c>
      <c r="G62" s="50">
        <f t="shared" si="27"/>
        <v>146235.4988</v>
      </c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</row>
    <row r="63" ht="15.75" customHeight="1">
      <c r="A63" s="49"/>
      <c r="B63" s="99">
        <f t="shared" si="28"/>
        <v>11</v>
      </c>
      <c r="C63" s="50">
        <f t="shared" si="29"/>
        <v>146235.4988</v>
      </c>
      <c r="D63" s="50">
        <f t="shared" si="30"/>
        <v>-5816.241926</v>
      </c>
      <c r="E63" s="50">
        <f t="shared" si="25"/>
        <v>365.5887471</v>
      </c>
      <c r="F63" s="50">
        <f t="shared" si="26"/>
        <v>-5450.653179</v>
      </c>
      <c r="G63" s="50">
        <f t="shared" si="27"/>
        <v>140784.8457</v>
      </c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</row>
    <row r="64" ht="15.75" customHeight="1">
      <c r="A64" s="49"/>
      <c r="B64" s="99">
        <f t="shared" si="28"/>
        <v>12</v>
      </c>
      <c r="C64" s="50">
        <f t="shared" si="29"/>
        <v>140784.8457</v>
      </c>
      <c r="D64" s="50">
        <f t="shared" si="30"/>
        <v>-5816.241926</v>
      </c>
      <c r="E64" s="50">
        <f t="shared" si="25"/>
        <v>351.9621142</v>
      </c>
      <c r="F64" s="50">
        <f t="shared" si="26"/>
        <v>-5464.279812</v>
      </c>
      <c r="G64" s="98">
        <f t="shared" si="27"/>
        <v>135320.5659</v>
      </c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</row>
    <row r="65" ht="15.75" customHeight="1">
      <c r="A65" s="49"/>
      <c r="B65" s="99">
        <f t="shared" si="28"/>
        <v>13</v>
      </c>
      <c r="C65" s="50">
        <f t="shared" si="29"/>
        <v>135320.5659</v>
      </c>
      <c r="D65" s="50">
        <f t="shared" si="30"/>
        <v>-5816.241926</v>
      </c>
      <c r="E65" s="50">
        <f t="shared" si="25"/>
        <v>338.3014146</v>
      </c>
      <c r="F65" s="50">
        <f t="shared" si="26"/>
        <v>-5477.940511</v>
      </c>
      <c r="G65" s="118">
        <f t="shared" si="27"/>
        <v>129842.6253</v>
      </c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</row>
    <row r="66" ht="15.75" customHeight="1">
      <c r="A66" s="49"/>
      <c r="B66" s="99">
        <f t="shared" si="28"/>
        <v>14</v>
      </c>
      <c r="C66" s="50">
        <f t="shared" si="29"/>
        <v>129842.6253</v>
      </c>
      <c r="D66" s="50">
        <f t="shared" si="30"/>
        <v>-5816.241926</v>
      </c>
      <c r="E66" s="50">
        <f t="shared" si="25"/>
        <v>324.6065634</v>
      </c>
      <c r="F66" s="50">
        <f t="shared" si="26"/>
        <v>-5491.635363</v>
      </c>
      <c r="G66" s="118">
        <f t="shared" si="27"/>
        <v>124350.99</v>
      </c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</row>
    <row r="67" ht="15.75" customHeight="1">
      <c r="A67" s="49"/>
      <c r="B67" s="99">
        <f t="shared" si="28"/>
        <v>15</v>
      </c>
      <c r="C67" s="50">
        <f t="shared" si="29"/>
        <v>124350.99</v>
      </c>
      <c r="D67" s="50">
        <f t="shared" si="30"/>
        <v>-5816.241926</v>
      </c>
      <c r="E67" s="50">
        <f t="shared" si="25"/>
        <v>310.8774749</v>
      </c>
      <c r="F67" s="50">
        <f t="shared" si="26"/>
        <v>-5505.364451</v>
      </c>
      <c r="G67" s="118">
        <f t="shared" si="27"/>
        <v>118845.6255</v>
      </c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</row>
    <row r="68" ht="15.75" customHeight="1">
      <c r="A68" s="49"/>
      <c r="B68" s="99">
        <f t="shared" si="28"/>
        <v>16</v>
      </c>
      <c r="C68" s="50">
        <f t="shared" si="29"/>
        <v>118845.6255</v>
      </c>
      <c r="D68" s="50">
        <f t="shared" si="30"/>
        <v>-5816.241926</v>
      </c>
      <c r="E68" s="50">
        <f t="shared" si="25"/>
        <v>297.1140638</v>
      </c>
      <c r="F68" s="50">
        <f t="shared" si="26"/>
        <v>-5519.127862</v>
      </c>
      <c r="G68" s="118">
        <f t="shared" si="27"/>
        <v>113326.4977</v>
      </c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</row>
    <row r="69" ht="15.75" customHeight="1">
      <c r="A69" s="49"/>
      <c r="B69" s="99">
        <f t="shared" si="28"/>
        <v>17</v>
      </c>
      <c r="C69" s="50">
        <f t="shared" si="29"/>
        <v>113326.4977</v>
      </c>
      <c r="D69" s="50">
        <f t="shared" si="30"/>
        <v>-5816.241926</v>
      </c>
      <c r="E69" s="50">
        <f t="shared" si="25"/>
        <v>283.3162442</v>
      </c>
      <c r="F69" s="50">
        <f t="shared" si="26"/>
        <v>-5532.925682</v>
      </c>
      <c r="G69" s="118">
        <f t="shared" si="27"/>
        <v>107793.572</v>
      </c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</row>
    <row r="70" ht="15.75" customHeight="1">
      <c r="A70" s="49"/>
      <c r="B70" s="99">
        <f t="shared" si="28"/>
        <v>18</v>
      </c>
      <c r="C70" s="50">
        <f t="shared" si="29"/>
        <v>107793.572</v>
      </c>
      <c r="D70" s="50">
        <f t="shared" si="30"/>
        <v>-5816.241926</v>
      </c>
      <c r="E70" s="50">
        <f t="shared" si="25"/>
        <v>269.48393</v>
      </c>
      <c r="F70" s="50">
        <f t="shared" si="26"/>
        <v>-5546.757996</v>
      </c>
      <c r="G70" s="118">
        <f t="shared" si="27"/>
        <v>102246.814</v>
      </c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</row>
    <row r="71" ht="15.75" customHeight="1">
      <c r="A71" s="49"/>
      <c r="B71" s="99">
        <f t="shared" si="28"/>
        <v>19</v>
      </c>
      <c r="C71" s="50">
        <f t="shared" si="29"/>
        <v>102246.814</v>
      </c>
      <c r="D71" s="50">
        <f t="shared" si="30"/>
        <v>-5816.241926</v>
      </c>
      <c r="E71" s="50">
        <f t="shared" si="25"/>
        <v>255.617035</v>
      </c>
      <c r="F71" s="50">
        <f t="shared" si="26"/>
        <v>-5560.624891</v>
      </c>
      <c r="G71" s="118">
        <f t="shared" si="27"/>
        <v>96686.1891</v>
      </c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</row>
    <row r="72" ht="15.75" customHeight="1">
      <c r="A72" s="49"/>
      <c r="B72" s="99">
        <f t="shared" si="28"/>
        <v>20</v>
      </c>
      <c r="C72" s="50">
        <f t="shared" si="29"/>
        <v>96686.1891</v>
      </c>
      <c r="D72" s="50">
        <f t="shared" si="30"/>
        <v>-5816.241926</v>
      </c>
      <c r="E72" s="50">
        <f t="shared" si="25"/>
        <v>241.7154727</v>
      </c>
      <c r="F72" s="50">
        <f t="shared" si="26"/>
        <v>-5574.526453</v>
      </c>
      <c r="G72" s="118">
        <f t="shared" si="27"/>
        <v>91111.66264</v>
      </c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</row>
    <row r="73" ht="15.75" customHeight="1">
      <c r="A73" s="49"/>
      <c r="B73" s="99">
        <f t="shared" si="28"/>
        <v>21</v>
      </c>
      <c r="C73" s="50">
        <f t="shared" si="29"/>
        <v>91111.66264</v>
      </c>
      <c r="D73" s="50">
        <f t="shared" si="30"/>
        <v>-5816.241926</v>
      </c>
      <c r="E73" s="50">
        <f t="shared" si="25"/>
        <v>227.7791566</v>
      </c>
      <c r="F73" s="50">
        <f t="shared" si="26"/>
        <v>-5588.46277</v>
      </c>
      <c r="G73" s="118">
        <f t="shared" si="27"/>
        <v>85523.19987</v>
      </c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</row>
    <row r="74" ht="15.75" customHeight="1">
      <c r="A74" s="49"/>
      <c r="B74" s="99">
        <f t="shared" si="28"/>
        <v>22</v>
      </c>
      <c r="C74" s="50">
        <f t="shared" si="29"/>
        <v>85523.19987</v>
      </c>
      <c r="D74" s="50">
        <f t="shared" si="30"/>
        <v>-5816.241926</v>
      </c>
      <c r="E74" s="50">
        <f t="shared" si="25"/>
        <v>213.8079997</v>
      </c>
      <c r="F74" s="50">
        <f t="shared" si="26"/>
        <v>-5602.433926</v>
      </c>
      <c r="G74" s="118">
        <f t="shared" si="27"/>
        <v>79920.76595</v>
      </c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</row>
    <row r="75" ht="15.75" customHeight="1">
      <c r="A75" s="49"/>
      <c r="B75" s="99">
        <f t="shared" si="28"/>
        <v>23</v>
      </c>
      <c r="C75" s="50">
        <f t="shared" si="29"/>
        <v>79920.76595</v>
      </c>
      <c r="D75" s="50">
        <f t="shared" si="30"/>
        <v>-5816.241926</v>
      </c>
      <c r="E75" s="50">
        <f t="shared" si="25"/>
        <v>199.8019149</v>
      </c>
      <c r="F75" s="50">
        <f t="shared" si="26"/>
        <v>-5616.440011</v>
      </c>
      <c r="G75" s="118">
        <f t="shared" si="27"/>
        <v>74304.32594</v>
      </c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</row>
    <row r="76" ht="15.75" customHeight="1">
      <c r="A76" s="49"/>
      <c r="B76" s="99">
        <f t="shared" si="28"/>
        <v>24</v>
      </c>
      <c r="C76" s="50">
        <f t="shared" si="29"/>
        <v>74304.32594</v>
      </c>
      <c r="D76" s="50">
        <f t="shared" si="30"/>
        <v>-5816.241926</v>
      </c>
      <c r="E76" s="50">
        <f t="shared" si="25"/>
        <v>185.7608148</v>
      </c>
      <c r="F76" s="50">
        <f t="shared" si="26"/>
        <v>-5630.481111</v>
      </c>
      <c r="G76" s="118">
        <f t="shared" si="27"/>
        <v>68673.84482</v>
      </c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</row>
    <row r="77" ht="15.75" customHeight="1">
      <c r="A77" s="49"/>
      <c r="B77" s="99">
        <f t="shared" si="28"/>
        <v>25</v>
      </c>
      <c r="C77" s="50">
        <f t="shared" si="29"/>
        <v>68673.84482</v>
      </c>
      <c r="D77" s="50">
        <f t="shared" si="30"/>
        <v>-5816.241926</v>
      </c>
      <c r="E77" s="50">
        <f t="shared" si="25"/>
        <v>171.6846121</v>
      </c>
      <c r="F77" s="50">
        <f t="shared" si="26"/>
        <v>-5644.557314</v>
      </c>
      <c r="G77" s="119">
        <f t="shared" si="27"/>
        <v>63029.28751</v>
      </c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</row>
    <row r="78" ht="15.75" customHeight="1">
      <c r="A78" s="49"/>
      <c r="B78" s="99">
        <f t="shared" si="28"/>
        <v>26</v>
      </c>
      <c r="C78" s="50">
        <f t="shared" si="29"/>
        <v>63029.28751</v>
      </c>
      <c r="D78" s="50">
        <f t="shared" si="30"/>
        <v>-5816.241926</v>
      </c>
      <c r="E78" s="50">
        <f t="shared" si="25"/>
        <v>157.5732188</v>
      </c>
      <c r="F78" s="50">
        <f t="shared" si="26"/>
        <v>-5658.668707</v>
      </c>
      <c r="G78" s="119">
        <f t="shared" si="27"/>
        <v>57370.6188</v>
      </c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</row>
    <row r="79" ht="15.75" customHeight="1">
      <c r="A79" s="49"/>
      <c r="B79" s="99">
        <f t="shared" si="28"/>
        <v>27</v>
      </c>
      <c r="C79" s="50">
        <f t="shared" si="29"/>
        <v>57370.6188</v>
      </c>
      <c r="D79" s="50">
        <f t="shared" si="30"/>
        <v>-5816.241926</v>
      </c>
      <c r="E79" s="50">
        <f t="shared" si="25"/>
        <v>143.426547</v>
      </c>
      <c r="F79" s="50">
        <f t="shared" si="26"/>
        <v>-5672.815379</v>
      </c>
      <c r="G79" s="119">
        <f t="shared" si="27"/>
        <v>51697.80342</v>
      </c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</row>
    <row r="80" ht="15.75" customHeight="1">
      <c r="A80" s="49"/>
      <c r="B80" s="99">
        <f t="shared" si="28"/>
        <v>28</v>
      </c>
      <c r="C80" s="50">
        <f t="shared" si="29"/>
        <v>51697.80342</v>
      </c>
      <c r="D80" s="50">
        <f t="shared" si="30"/>
        <v>-5816.241926</v>
      </c>
      <c r="E80" s="50">
        <f t="shared" si="25"/>
        <v>129.2445086</v>
      </c>
      <c r="F80" s="50">
        <f t="shared" si="26"/>
        <v>-5686.997418</v>
      </c>
      <c r="G80" s="119">
        <f t="shared" si="27"/>
        <v>46010.80601</v>
      </c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</row>
    <row r="81" ht="15.75" customHeight="1">
      <c r="A81" s="49"/>
      <c r="B81" s="99">
        <f t="shared" si="28"/>
        <v>29</v>
      </c>
      <c r="C81" s="50">
        <f t="shared" si="29"/>
        <v>46010.80601</v>
      </c>
      <c r="D81" s="50">
        <f t="shared" si="30"/>
        <v>-5816.241926</v>
      </c>
      <c r="E81" s="50">
        <f t="shared" si="25"/>
        <v>115.027015</v>
      </c>
      <c r="F81" s="50">
        <f t="shared" si="26"/>
        <v>-5701.214911</v>
      </c>
      <c r="G81" s="119">
        <f t="shared" si="27"/>
        <v>40309.59109</v>
      </c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</row>
    <row r="82" ht="15.75" customHeight="1">
      <c r="A82" s="49"/>
      <c r="B82" s="99">
        <f t="shared" si="28"/>
        <v>30</v>
      </c>
      <c r="C82" s="50">
        <f t="shared" si="29"/>
        <v>40309.59109</v>
      </c>
      <c r="D82" s="50">
        <f t="shared" si="30"/>
        <v>-5816.241926</v>
      </c>
      <c r="E82" s="50">
        <f t="shared" si="25"/>
        <v>100.7739777</v>
      </c>
      <c r="F82" s="50">
        <f t="shared" si="26"/>
        <v>-5715.467948</v>
      </c>
      <c r="G82" s="119">
        <f t="shared" si="27"/>
        <v>34594.12315</v>
      </c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</row>
    <row r="83" ht="15.75" customHeight="1">
      <c r="A83" s="49"/>
      <c r="B83" s="99">
        <f t="shared" si="28"/>
        <v>31</v>
      </c>
      <c r="C83" s="50">
        <f t="shared" si="29"/>
        <v>34594.12315</v>
      </c>
      <c r="D83" s="50">
        <f t="shared" si="30"/>
        <v>-5816.241926</v>
      </c>
      <c r="E83" s="50">
        <f t="shared" si="25"/>
        <v>86.48530787</v>
      </c>
      <c r="F83" s="50">
        <f t="shared" si="26"/>
        <v>-5729.756618</v>
      </c>
      <c r="G83" s="119">
        <f t="shared" si="27"/>
        <v>28864.36653</v>
      </c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</row>
    <row r="84" ht="15.75" customHeight="1">
      <c r="A84" s="49"/>
      <c r="B84" s="99">
        <f t="shared" si="28"/>
        <v>32</v>
      </c>
      <c r="C84" s="50">
        <f t="shared" si="29"/>
        <v>28864.36653</v>
      </c>
      <c r="D84" s="50">
        <f t="shared" si="30"/>
        <v>-5816.241926</v>
      </c>
      <c r="E84" s="50">
        <f t="shared" si="25"/>
        <v>72.16091632</v>
      </c>
      <c r="F84" s="50">
        <f t="shared" si="26"/>
        <v>-5744.08101</v>
      </c>
      <c r="G84" s="119">
        <f t="shared" si="27"/>
        <v>23120.28552</v>
      </c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</row>
    <row r="85" ht="15.75" customHeight="1">
      <c r="A85" s="49"/>
      <c r="B85" s="99">
        <f t="shared" si="28"/>
        <v>33</v>
      </c>
      <c r="C85" s="50">
        <f t="shared" si="29"/>
        <v>23120.28552</v>
      </c>
      <c r="D85" s="50">
        <f t="shared" si="30"/>
        <v>-5816.241926</v>
      </c>
      <c r="E85" s="50">
        <f t="shared" si="25"/>
        <v>57.8007138</v>
      </c>
      <c r="F85" s="50">
        <f t="shared" si="26"/>
        <v>-5758.441212</v>
      </c>
      <c r="G85" s="119">
        <f t="shared" si="27"/>
        <v>17361.84431</v>
      </c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</row>
    <row r="86" ht="15.75" customHeight="1">
      <c r="A86" s="49"/>
      <c r="B86" s="99">
        <f t="shared" si="28"/>
        <v>34</v>
      </c>
      <c r="C86" s="50">
        <f t="shared" si="29"/>
        <v>17361.84431</v>
      </c>
      <c r="D86" s="50">
        <f t="shared" si="30"/>
        <v>-5816.241926</v>
      </c>
      <c r="E86" s="50">
        <f t="shared" si="25"/>
        <v>43.40461077</v>
      </c>
      <c r="F86" s="50">
        <f t="shared" si="26"/>
        <v>-5772.837315</v>
      </c>
      <c r="G86" s="119">
        <f t="shared" si="27"/>
        <v>11589.00699</v>
      </c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</row>
    <row r="87" ht="15.75" customHeight="1">
      <c r="A87" s="49"/>
      <c r="B87" s="99">
        <f t="shared" si="28"/>
        <v>35</v>
      </c>
      <c r="C87" s="50">
        <f t="shared" si="29"/>
        <v>11589.00699</v>
      </c>
      <c r="D87" s="50">
        <f t="shared" si="30"/>
        <v>-5816.241926</v>
      </c>
      <c r="E87" s="50">
        <f t="shared" si="25"/>
        <v>28.97251748</v>
      </c>
      <c r="F87" s="50">
        <f t="shared" si="26"/>
        <v>-5787.269409</v>
      </c>
      <c r="G87" s="119">
        <f t="shared" si="27"/>
        <v>5801.737582</v>
      </c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</row>
    <row r="88" ht="15.75" customHeight="1">
      <c r="A88" s="49"/>
      <c r="B88" s="99">
        <f t="shared" si="28"/>
        <v>36</v>
      </c>
      <c r="C88" s="50">
        <f t="shared" si="29"/>
        <v>5801.737582</v>
      </c>
      <c r="D88" s="50">
        <f t="shared" si="30"/>
        <v>-5816.241926</v>
      </c>
      <c r="E88" s="50">
        <f t="shared" si="25"/>
        <v>14.50434396</v>
      </c>
      <c r="F88" s="50">
        <f t="shared" si="26"/>
        <v>-5801.737582</v>
      </c>
      <c r="G88" s="119">
        <f t="shared" si="27"/>
        <v>-0.000000004504727258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</row>
    <row r="89" ht="15.75" customHeight="1">
      <c r="A89" s="4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</row>
    <row r="90" ht="15.75" customHeight="1">
      <c r="A90" s="4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</row>
    <row r="91" ht="15.75" customHeight="1">
      <c r="A91" s="4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</row>
    <row r="92" ht="15.75" customHeight="1">
      <c r="A92" s="4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</row>
    <row r="93" ht="15.75" customHeight="1">
      <c r="A93" s="4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</row>
    <row r="94" ht="15.75" customHeight="1">
      <c r="A94" s="4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</row>
    <row r="95" ht="15.75" customHeight="1">
      <c r="A95" s="4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</row>
    <row r="96" ht="15.75" customHeight="1">
      <c r="A96" s="4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</row>
    <row r="97" ht="15.75" customHeight="1">
      <c r="A97" s="4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</row>
    <row r="98" ht="15.75" customHeight="1">
      <c r="A98" s="4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</row>
    <row r="99" ht="15.75" customHeight="1">
      <c r="A99" s="4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</row>
    <row r="100" ht="15.75" customHeight="1">
      <c r="A100" s="4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</row>
    <row r="101" ht="15.75" customHeight="1">
      <c r="A101" s="4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</row>
    <row r="102" ht="15.75" customHeight="1">
      <c r="A102" s="4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</row>
    <row r="103" ht="15.75" customHeight="1">
      <c r="A103" s="4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 ht="15.75" customHeight="1">
      <c r="A104" s="4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</row>
    <row r="105" ht="15.75" customHeight="1">
      <c r="A105" s="4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</row>
    <row r="106" ht="15.75" customHeight="1">
      <c r="A106" s="4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</row>
    <row r="107" ht="15.75" customHeight="1">
      <c r="A107" s="4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</row>
    <row r="108" ht="15.75" customHeight="1">
      <c r="A108" s="4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</row>
    <row r="109" ht="15.75" customHeight="1">
      <c r="A109" s="4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</row>
    <row r="110" ht="15.75" customHeight="1">
      <c r="A110" s="4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</row>
    <row r="111" ht="15.75" customHeight="1">
      <c r="A111" s="4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</row>
    <row r="112" ht="15.75" customHeight="1">
      <c r="A112" s="4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</row>
    <row r="113" ht="15.75" customHeight="1">
      <c r="A113" s="4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</row>
    <row r="114" ht="15.75" customHeight="1">
      <c r="A114" s="4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</row>
    <row r="115" ht="15.75" customHeight="1">
      <c r="A115" s="4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</row>
    <row r="116" ht="15.75" customHeight="1">
      <c r="A116" s="4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</row>
    <row r="117" ht="15.75" customHeight="1">
      <c r="A117" s="4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</row>
    <row r="118" ht="15.75" customHeight="1">
      <c r="A118" s="4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</row>
    <row r="119" ht="15.75" customHeight="1">
      <c r="A119" s="4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</row>
    <row r="120" ht="15.75" customHeight="1">
      <c r="A120" s="4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</row>
    <row r="121" ht="15.75" customHeight="1">
      <c r="A121" s="4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ht="15.75" customHeight="1">
      <c r="A122" s="4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</row>
    <row r="123" ht="15.75" customHeight="1">
      <c r="A123" s="4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</row>
    <row r="124" ht="15.75" customHeight="1">
      <c r="A124" s="4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</row>
    <row r="125" ht="15.75" customHeight="1">
      <c r="A125" s="4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</row>
    <row r="126" ht="15.75" customHeight="1">
      <c r="A126" s="4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</row>
    <row r="127" ht="15.75" customHeight="1">
      <c r="A127" s="4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</row>
    <row r="128" ht="15.75" customHeight="1">
      <c r="A128" s="4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</row>
    <row r="129" ht="15.75" customHeight="1">
      <c r="A129" s="4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</row>
    <row r="130" ht="15.75" customHeight="1">
      <c r="A130" s="4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</row>
    <row r="131" ht="15.75" customHeight="1">
      <c r="A131" s="4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</row>
    <row r="132" ht="15.75" customHeight="1">
      <c r="A132" s="4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</row>
    <row r="133" ht="15.75" customHeight="1">
      <c r="A133" s="4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</row>
    <row r="134" ht="15.75" customHeight="1">
      <c r="A134" s="4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</row>
    <row r="135" ht="15.75" customHeight="1">
      <c r="A135" s="4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</row>
    <row r="136" ht="15.75" customHeight="1">
      <c r="A136" s="4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</row>
    <row r="137" ht="15.75" customHeight="1">
      <c r="A137" s="4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</row>
    <row r="138" ht="15.75" customHeight="1">
      <c r="A138" s="4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</row>
    <row r="139" ht="15.75" customHeight="1">
      <c r="A139" s="4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</row>
    <row r="140" ht="15.75" customHeight="1">
      <c r="A140" s="4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</row>
    <row r="141" ht="15.75" customHeight="1">
      <c r="A141" s="4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</row>
    <row r="142" ht="15.75" customHeight="1">
      <c r="A142" s="4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</row>
    <row r="143" ht="15.75" customHeight="1">
      <c r="A143" s="4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 ht="15.75" customHeight="1">
      <c r="A144" s="4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</row>
    <row r="145" ht="15.75" customHeight="1">
      <c r="A145" s="4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5.75" customHeight="1">
      <c r="A146" s="4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</row>
    <row r="147" ht="15.75" customHeight="1">
      <c r="A147" s="4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 ht="15.75" customHeight="1">
      <c r="A148" s="4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 ht="15.75" customHeight="1">
      <c r="A149" s="4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</row>
    <row r="150" ht="15.75" customHeight="1">
      <c r="A150" s="4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 ht="15.75" customHeight="1">
      <c r="A151" s="4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</row>
    <row r="152" ht="15.75" customHeight="1">
      <c r="A152" s="4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 ht="15.75" customHeight="1">
      <c r="A153" s="4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</row>
    <row r="154" ht="15.75" customHeight="1">
      <c r="A154" s="4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 ht="15.75" customHeight="1">
      <c r="A155" s="4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</row>
    <row r="156" ht="15.75" customHeight="1">
      <c r="A156" s="4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</row>
    <row r="157" ht="15.75" customHeight="1">
      <c r="A157" s="4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</row>
    <row r="158" ht="15.75" customHeight="1">
      <c r="A158" s="4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</row>
    <row r="159" ht="15.75" customHeight="1">
      <c r="A159" s="4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</row>
    <row r="160" ht="15.75" customHeight="1">
      <c r="A160" s="4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</row>
    <row r="161" ht="15.75" customHeight="1">
      <c r="A161" s="4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</row>
    <row r="162" ht="15.75" customHeight="1">
      <c r="A162" s="4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</row>
    <row r="163" ht="15.75" customHeight="1">
      <c r="A163" s="4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</row>
    <row r="164" ht="15.75" customHeight="1">
      <c r="A164" s="4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</row>
    <row r="165" ht="15.75" customHeight="1">
      <c r="A165" s="4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</row>
    <row r="166" ht="15.75" customHeight="1">
      <c r="A166" s="4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</row>
    <row r="167" ht="15.75" customHeight="1">
      <c r="A167" s="4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</row>
    <row r="168" ht="15.75" customHeight="1">
      <c r="A168" s="4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</row>
    <row r="169" ht="15.75" customHeight="1">
      <c r="A169" s="4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</row>
    <row r="170" ht="15.75" customHeight="1">
      <c r="A170" s="4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</row>
    <row r="171" ht="15.75" customHeight="1">
      <c r="A171" s="4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</row>
    <row r="172" ht="15.75" customHeight="1">
      <c r="A172" s="4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</row>
    <row r="173" ht="15.75" customHeight="1">
      <c r="A173" s="4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</row>
    <row r="174" ht="15.75" customHeight="1">
      <c r="A174" s="4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</row>
    <row r="175" ht="15.75" customHeight="1">
      <c r="A175" s="4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</row>
    <row r="176" ht="15.75" customHeight="1">
      <c r="A176" s="4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</row>
    <row r="177" ht="15.75" customHeight="1">
      <c r="A177" s="4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</row>
    <row r="178" ht="15.75" customHeight="1">
      <c r="A178" s="4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</row>
    <row r="179" ht="15.75" customHeight="1">
      <c r="A179" s="4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</row>
    <row r="180" ht="15.75" customHeight="1">
      <c r="A180" s="4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</row>
    <row r="181" ht="15.75" customHeight="1">
      <c r="A181" s="4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</row>
    <row r="182" ht="15.75" customHeight="1">
      <c r="A182" s="4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</row>
    <row r="183" ht="15.75" customHeight="1">
      <c r="A183" s="4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</row>
    <row r="184" ht="15.75" customHeight="1">
      <c r="A184" s="4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</row>
    <row r="185" ht="15.75" customHeight="1">
      <c r="A185" s="4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</row>
    <row r="186" ht="15.75" customHeight="1">
      <c r="A186" s="4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</row>
    <row r="187" ht="15.75" customHeight="1">
      <c r="A187" s="4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</row>
    <row r="188" ht="15.75" customHeight="1">
      <c r="A188" s="4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</row>
    <row r="189" ht="15.75" customHeight="1">
      <c r="A189" s="4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</row>
    <row r="190" ht="15.75" customHeight="1">
      <c r="A190" s="4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</row>
    <row r="191" ht="15.75" customHeight="1">
      <c r="A191" s="4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</row>
    <row r="192" ht="15.75" customHeight="1">
      <c r="A192" s="4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</row>
    <row r="193" ht="15.75" customHeight="1">
      <c r="A193" s="4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</row>
    <row r="194" ht="15.75" customHeight="1">
      <c r="A194" s="4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</row>
    <row r="195" ht="15.75" customHeight="1">
      <c r="A195" s="4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</row>
    <row r="196" ht="15.75" customHeight="1">
      <c r="A196" s="4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</row>
    <row r="197" ht="15.75" customHeight="1">
      <c r="A197" s="4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</row>
    <row r="198" ht="15.75" customHeight="1">
      <c r="A198" s="4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</row>
    <row r="199" ht="15.75" customHeight="1">
      <c r="A199" s="4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</row>
    <row r="200" ht="15.75" customHeight="1">
      <c r="A200" s="4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</row>
    <row r="201" ht="15.75" customHeight="1">
      <c r="A201" s="4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</row>
    <row r="202" ht="15.75" customHeight="1">
      <c r="A202" s="4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</row>
    <row r="203" ht="15.75" customHeight="1">
      <c r="A203" s="4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</row>
    <row r="204" ht="15.75" customHeight="1">
      <c r="A204" s="4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</row>
    <row r="205" ht="15.75" customHeight="1">
      <c r="A205" s="4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</row>
    <row r="206" ht="15.75" customHeight="1">
      <c r="A206" s="4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</row>
    <row r="207" ht="15.75" customHeight="1">
      <c r="A207" s="4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</row>
    <row r="208" ht="15.75" customHeight="1">
      <c r="A208" s="4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</row>
    <row r="209" ht="15.75" customHeight="1">
      <c r="A209" s="4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</row>
    <row r="210" ht="15.75" customHeight="1">
      <c r="A210" s="4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</row>
    <row r="211" ht="15.75" customHeight="1">
      <c r="A211" s="4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</row>
    <row r="212" ht="15.75" customHeight="1">
      <c r="A212" s="4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</row>
    <row r="213" ht="15.75" customHeight="1">
      <c r="A213" s="4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</row>
    <row r="214" ht="15.75" customHeight="1">
      <c r="A214" s="4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</row>
    <row r="215" ht="15.75" customHeight="1">
      <c r="A215" s="4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</row>
    <row r="216" ht="15.75" customHeight="1">
      <c r="A216" s="4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</row>
    <row r="217" ht="15.75" customHeight="1">
      <c r="A217" s="4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</row>
    <row r="218" ht="15.75" customHeight="1">
      <c r="A218" s="4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</row>
    <row r="219" ht="15.75" customHeight="1">
      <c r="A219" s="4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</row>
    <row r="220" ht="15.75" customHeight="1">
      <c r="A220" s="4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</row>
    <row r="221" ht="15.75" customHeight="1">
      <c r="A221" s="4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</row>
    <row r="222" ht="15.75" customHeight="1">
      <c r="A222" s="4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</row>
    <row r="223" ht="15.75" customHeight="1">
      <c r="A223" s="4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</row>
    <row r="224" ht="15.75" customHeight="1">
      <c r="A224" s="4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</row>
    <row r="225" ht="15.75" customHeight="1">
      <c r="A225" s="4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</row>
    <row r="226" ht="15.75" customHeight="1">
      <c r="A226" s="4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</row>
    <row r="227" ht="15.75" customHeight="1">
      <c r="A227" s="4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</row>
    <row r="228" ht="15.75" customHeight="1">
      <c r="A228" s="4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</row>
    <row r="229" ht="15.75" customHeight="1">
      <c r="A229" s="4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</row>
    <row r="230" ht="15.75" customHeight="1">
      <c r="A230" s="4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</row>
    <row r="231" ht="15.75" customHeight="1">
      <c r="A231" s="4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</row>
    <row r="232" ht="15.75" customHeight="1">
      <c r="A232" s="4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</row>
    <row r="233" ht="15.75" customHeight="1">
      <c r="A233" s="4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</row>
    <row r="234" ht="15.75" customHeight="1">
      <c r="A234" s="4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</row>
    <row r="235" ht="15.75" customHeight="1">
      <c r="A235" s="4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</row>
    <row r="236" ht="15.75" customHeight="1">
      <c r="A236" s="4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</row>
    <row r="237" ht="15.75" customHeight="1">
      <c r="A237" s="4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</row>
    <row r="238" ht="15.75" customHeight="1">
      <c r="A238" s="4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</row>
    <row r="239" ht="15.75" customHeight="1">
      <c r="A239" s="4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</row>
    <row r="240" ht="15.75" customHeight="1">
      <c r="A240" s="4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</row>
    <row r="241" ht="15.75" customHeight="1">
      <c r="A241" s="4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</row>
    <row r="242" ht="15.75" customHeight="1">
      <c r="A242" s="4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</row>
    <row r="243" ht="15.75" customHeight="1">
      <c r="A243" s="4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</row>
    <row r="244" ht="15.75" customHeight="1">
      <c r="A244" s="4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</row>
    <row r="245" ht="15.75" customHeight="1">
      <c r="A245" s="4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</row>
    <row r="246" ht="15.75" customHeight="1">
      <c r="A246" s="4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</row>
    <row r="247" ht="15.75" customHeight="1">
      <c r="A247" s="4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</row>
    <row r="248" ht="15.75" customHeight="1">
      <c r="A248" s="4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</row>
    <row r="249" ht="15.75" customHeight="1">
      <c r="A249" s="4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</row>
    <row r="250" ht="15.75" customHeight="1">
      <c r="A250" s="4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</row>
    <row r="251" ht="15.75" customHeight="1">
      <c r="A251" s="4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</row>
    <row r="252" ht="15.75" customHeight="1">
      <c r="A252" s="4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</row>
    <row r="253" ht="15.75" customHeight="1">
      <c r="A253" s="4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</row>
    <row r="254" ht="15.75" customHeight="1">
      <c r="A254" s="4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</row>
    <row r="255" ht="15.75" customHeight="1">
      <c r="A255" s="4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</row>
    <row r="256" ht="15.75" customHeight="1">
      <c r="A256" s="4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</row>
    <row r="257" ht="15.75" customHeight="1">
      <c r="A257" s="4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</row>
    <row r="258" ht="15.75" customHeight="1">
      <c r="A258" s="4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</row>
    <row r="259" ht="15.75" customHeight="1">
      <c r="A259" s="4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</row>
    <row r="260" ht="15.75" customHeight="1">
      <c r="A260" s="4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</row>
    <row r="261" ht="15.75" customHeight="1">
      <c r="A261" s="4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</row>
    <row r="262" ht="15.75" customHeight="1">
      <c r="A262" s="4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</row>
    <row r="263" ht="15.75" customHeight="1">
      <c r="A263" s="4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</row>
    <row r="264" ht="15.75" customHeight="1">
      <c r="A264" s="4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</row>
    <row r="265" ht="15.75" customHeight="1">
      <c r="A265" s="4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</row>
    <row r="266" ht="15.75" customHeight="1">
      <c r="A266" s="4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</row>
    <row r="267" ht="15.75" customHeight="1">
      <c r="A267" s="4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</row>
    <row r="268" ht="15.75" customHeight="1">
      <c r="A268" s="4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</row>
    <row r="269" ht="15.75" customHeight="1">
      <c r="A269" s="4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</row>
    <row r="270" ht="15.75" customHeight="1">
      <c r="A270" s="4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</row>
    <row r="271" ht="15.75" customHeight="1">
      <c r="A271" s="4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</row>
    <row r="272" ht="15.75" customHeight="1">
      <c r="A272" s="4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</row>
    <row r="273" ht="15.75" customHeight="1">
      <c r="A273" s="4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</row>
    <row r="274" ht="15.75" customHeight="1">
      <c r="A274" s="4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</row>
    <row r="275" ht="15.75" customHeight="1">
      <c r="A275" s="4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</row>
    <row r="276" ht="15.75" customHeight="1">
      <c r="A276" s="4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</row>
    <row r="277" ht="15.75" customHeight="1">
      <c r="A277" s="4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</row>
    <row r="278" ht="15.75" customHeight="1">
      <c r="A278" s="4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</row>
    <row r="279" ht="15.75" customHeight="1">
      <c r="A279" s="4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</row>
    <row r="280" ht="15.75" customHeight="1">
      <c r="A280" s="4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</row>
    <row r="281" ht="15.75" customHeight="1">
      <c r="A281" s="4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</row>
    <row r="282" ht="15.75" customHeight="1">
      <c r="A282" s="4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</row>
    <row r="283" ht="15.75" customHeight="1">
      <c r="A283" s="4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</row>
    <row r="284" ht="15.75" customHeight="1">
      <c r="A284" s="4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</row>
    <row r="285" ht="15.75" customHeight="1">
      <c r="A285" s="4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</row>
    <row r="286" ht="15.75" customHeight="1">
      <c r="A286" s="4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</row>
    <row r="287" ht="15.75" customHeight="1">
      <c r="A287" s="4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</row>
    <row r="288" ht="15.75" customHeight="1">
      <c r="A288" s="4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1">
    <mergeCell ref="I2:J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35.7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5.6"/>
    <col customWidth="1" min="22" max="22" width="9.0"/>
    <col customWidth="1" min="23" max="26" width="9.6"/>
    <col customWidth="1" min="27" max="27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49"/>
    </row>
    <row r="3">
      <c r="A3" s="50"/>
      <c r="B3" s="7" t="s">
        <v>162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49"/>
    </row>
    <row r="5" ht="15.0" customHeight="1">
      <c r="A5" s="50"/>
      <c r="B5" s="9" t="s">
        <v>163</v>
      </c>
      <c r="C5" s="11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49"/>
    </row>
    <row r="6">
      <c r="A6" s="50"/>
      <c r="B6" s="15"/>
      <c r="C6" s="16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49"/>
    </row>
    <row r="7">
      <c r="A7" s="50"/>
      <c r="B7" s="12"/>
      <c r="C7" s="14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49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3">+C15/C$15</f>
        <v>1</v>
      </c>
      <c r="J15" s="60">
        <f t="shared" si="3"/>
        <v>1</v>
      </c>
      <c r="K15" s="60">
        <f t="shared" si="3"/>
        <v>1</v>
      </c>
      <c r="L15" s="60">
        <f t="shared" si="3"/>
        <v>1</v>
      </c>
      <c r="M15" s="60">
        <f t="shared" si="3"/>
        <v>1</v>
      </c>
      <c r="N15" s="50"/>
      <c r="O15" s="61">
        <f t="shared" ref="O15:O27" si="6">IFERROR(C15/C15,0)</f>
        <v>1</v>
      </c>
      <c r="P15" s="61">
        <f t="shared" ref="P15:S15" si="4">IFERROR(D15/$C15,0)</f>
        <v>1.266666667</v>
      </c>
      <c r="Q15" s="61">
        <f t="shared" si="4"/>
        <v>2.1</v>
      </c>
      <c r="R15" s="61">
        <f t="shared" si="4"/>
        <v>2.533333333</v>
      </c>
      <c r="S15" s="61">
        <f t="shared" si="4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5">+C16/C$15</f>
        <v>-0.5733333333</v>
      </c>
      <c r="J16" s="60">
        <f t="shared" si="5"/>
        <v>-0.6315789474</v>
      </c>
      <c r="K16" s="60">
        <f t="shared" si="5"/>
        <v>-0.4285714286</v>
      </c>
      <c r="L16" s="60">
        <f t="shared" si="5"/>
        <v>-0.3631578947</v>
      </c>
      <c r="M16" s="60">
        <f t="shared" si="5"/>
        <v>-0.4411764706</v>
      </c>
      <c r="N16" s="50"/>
      <c r="O16" s="61">
        <f t="shared" si="6"/>
        <v>1</v>
      </c>
      <c r="P16" s="61">
        <f t="shared" ref="P16:S16" si="7">IFERROR(D16/$C16,0)</f>
        <v>1.395348837</v>
      </c>
      <c r="Q16" s="61">
        <f t="shared" si="7"/>
        <v>1.569767442</v>
      </c>
      <c r="R16" s="61">
        <f t="shared" si="7"/>
        <v>1.604651163</v>
      </c>
      <c r="S16" s="61">
        <f t="shared" si="7"/>
        <v>3.488372093</v>
      </c>
      <c r="T16" s="61"/>
      <c r="U16" s="50" t="s">
        <v>92</v>
      </c>
      <c r="V16" s="50">
        <f t="shared" ref="V16:Z16" si="8">-V15*V4</f>
        <v>-403920</v>
      </c>
      <c r="W16" s="50">
        <f t="shared" si="8"/>
        <v>-545292</v>
      </c>
      <c r="X16" s="50">
        <f t="shared" si="8"/>
        <v>-702683.1</v>
      </c>
      <c r="Y16" s="50">
        <f t="shared" si="8"/>
        <v>-948622.185</v>
      </c>
      <c r="Z16" s="50">
        <f t="shared" si="8"/>
        <v>-1280639.95</v>
      </c>
      <c r="AA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9">+C17/C$15</f>
        <v>-0.06</v>
      </c>
      <c r="J17" s="96">
        <f t="shared" si="9"/>
        <v>-0.06315789474</v>
      </c>
      <c r="K17" s="96">
        <f t="shared" si="9"/>
        <v>-0.05238095238</v>
      </c>
      <c r="L17" s="96">
        <f t="shared" si="9"/>
        <v>-0.05657894737</v>
      </c>
      <c r="M17" s="96">
        <f t="shared" si="9"/>
        <v>-0.05661764706</v>
      </c>
      <c r="N17" s="50"/>
      <c r="O17" s="97">
        <f t="shared" si="6"/>
        <v>1</v>
      </c>
      <c r="P17" s="97">
        <f t="shared" ref="P17:S17" si="10">IFERROR(D17/$C17,0)</f>
        <v>1.333333333</v>
      </c>
      <c r="Q17" s="97">
        <f t="shared" si="10"/>
        <v>1.833333333</v>
      </c>
      <c r="R17" s="97">
        <f t="shared" si="10"/>
        <v>2.388888889</v>
      </c>
      <c r="S17" s="97">
        <f t="shared" si="10"/>
        <v>4.277777778</v>
      </c>
      <c r="T17" s="61"/>
      <c r="U17" s="50" t="s">
        <v>93</v>
      </c>
      <c r="V17" s="62">
        <f t="shared" ref="V17:Z17" si="11">-V15*6%*(1+V5)</f>
        <v>-60588</v>
      </c>
      <c r="W17" s="62">
        <f t="shared" si="11"/>
        <v>-85511.7</v>
      </c>
      <c r="X17" s="62">
        <f t="shared" si="11"/>
        <v>-115440.795</v>
      </c>
      <c r="Y17" s="62">
        <f t="shared" si="11"/>
        <v>-162620.946</v>
      </c>
      <c r="Z17" s="62">
        <f t="shared" si="11"/>
        <v>-228685.7053</v>
      </c>
      <c r="AA17" s="49"/>
    </row>
    <row r="18">
      <c r="A18" s="50"/>
      <c r="B18" s="63" t="s">
        <v>94</v>
      </c>
      <c r="C18" s="64">
        <f t="shared" ref="C18:G18" si="12">SUM(C15:C17)</f>
        <v>55000</v>
      </c>
      <c r="D18" s="64">
        <f t="shared" si="12"/>
        <v>58000</v>
      </c>
      <c r="E18" s="64">
        <f t="shared" si="12"/>
        <v>163500</v>
      </c>
      <c r="F18" s="64">
        <f t="shared" si="12"/>
        <v>220500</v>
      </c>
      <c r="G18" s="64">
        <f t="shared" si="12"/>
        <v>341500</v>
      </c>
      <c r="H18" s="50"/>
      <c r="I18" s="65">
        <f t="shared" ref="I18:M18" si="13">+C18/C$15</f>
        <v>0.3666666667</v>
      </c>
      <c r="J18" s="66">
        <f t="shared" si="13"/>
        <v>0.3052631579</v>
      </c>
      <c r="K18" s="66">
        <f t="shared" si="13"/>
        <v>0.519047619</v>
      </c>
      <c r="L18" s="66">
        <f t="shared" si="13"/>
        <v>0.5802631579</v>
      </c>
      <c r="M18" s="67">
        <f t="shared" si="13"/>
        <v>0.5022058824</v>
      </c>
      <c r="N18" s="50"/>
      <c r="O18" s="68">
        <f t="shared" si="6"/>
        <v>1</v>
      </c>
      <c r="P18" s="69">
        <f t="shared" ref="P18:S18" si="14">IFERROR(D18/$C18,0)</f>
        <v>1.054545455</v>
      </c>
      <c r="Q18" s="69">
        <f t="shared" si="14"/>
        <v>2.972727273</v>
      </c>
      <c r="R18" s="69">
        <f t="shared" si="14"/>
        <v>4.009090909</v>
      </c>
      <c r="S18" s="70">
        <f t="shared" si="14"/>
        <v>6.209090909</v>
      </c>
      <c r="T18" s="61"/>
      <c r="U18" s="63" t="s">
        <v>94</v>
      </c>
      <c r="V18" s="64">
        <f t="shared" ref="V18:Z18" si="15">SUM(V15:V17)</f>
        <v>453492</v>
      </c>
      <c r="W18" s="64">
        <f t="shared" si="15"/>
        <v>608496.3</v>
      </c>
      <c r="X18" s="64">
        <f t="shared" si="15"/>
        <v>854931.105</v>
      </c>
      <c r="Y18" s="64">
        <f t="shared" si="15"/>
        <v>1147381.119</v>
      </c>
      <c r="Z18" s="64">
        <f t="shared" si="15"/>
        <v>1539817.082</v>
      </c>
      <c r="AA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16">+C19/C$15</f>
        <v>-0.16</v>
      </c>
      <c r="J19" s="60">
        <f t="shared" si="16"/>
        <v>-0.1552631579</v>
      </c>
      <c r="K19" s="60">
        <f t="shared" si="16"/>
        <v>-0.1580952381</v>
      </c>
      <c r="L19" s="60">
        <f t="shared" si="16"/>
        <v>-0.1592105263</v>
      </c>
      <c r="M19" s="60">
        <f t="shared" si="16"/>
        <v>-0.1588235294</v>
      </c>
      <c r="N19" s="50"/>
      <c r="O19" s="61">
        <f t="shared" si="6"/>
        <v>1</v>
      </c>
      <c r="P19" s="61">
        <f t="shared" ref="P19:S19" si="17">IFERROR(D19/$C19,0)</f>
        <v>1.229166667</v>
      </c>
      <c r="Q19" s="61">
        <f t="shared" si="17"/>
        <v>2.075</v>
      </c>
      <c r="R19" s="61">
        <f t="shared" si="17"/>
        <v>2.520833333</v>
      </c>
      <c r="S19" s="61">
        <f t="shared" si="17"/>
        <v>4.5</v>
      </c>
      <c r="T19" s="61"/>
      <c r="U19" s="50" t="s">
        <v>95</v>
      </c>
      <c r="V19" s="50">
        <f>G19*(1+V5)</f>
        <v>-118800</v>
      </c>
      <c r="W19" s="50">
        <f t="shared" ref="W19:Z19" si="18">+V19*(1+W5)</f>
        <v>-136620</v>
      </c>
      <c r="X19" s="50">
        <f t="shared" si="18"/>
        <v>-157113</v>
      </c>
      <c r="Y19" s="50">
        <f t="shared" si="18"/>
        <v>-188535.6</v>
      </c>
      <c r="Z19" s="50">
        <f t="shared" si="18"/>
        <v>-235669.5</v>
      </c>
      <c r="AA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19">+C20/C$15</f>
        <v>-0.08</v>
      </c>
      <c r="J20" s="60">
        <f t="shared" si="19"/>
        <v>-0.09210526316</v>
      </c>
      <c r="K20" s="60">
        <f t="shared" si="19"/>
        <v>-0.09682539683</v>
      </c>
      <c r="L20" s="60">
        <f t="shared" si="19"/>
        <v>-0.09473684211</v>
      </c>
      <c r="M20" s="60">
        <f t="shared" si="19"/>
        <v>-0.09926470588</v>
      </c>
      <c r="N20" s="50"/>
      <c r="O20" s="61">
        <f t="shared" si="6"/>
        <v>1</v>
      </c>
      <c r="P20" s="61">
        <f t="shared" ref="P20:S20" si="20">IFERROR(D20/$C20,0)</f>
        <v>1.458333333</v>
      </c>
      <c r="Q20" s="61">
        <f t="shared" si="20"/>
        <v>2.541666667</v>
      </c>
      <c r="R20" s="61">
        <f t="shared" si="20"/>
        <v>3</v>
      </c>
      <c r="S20" s="61">
        <f t="shared" si="20"/>
        <v>5.625</v>
      </c>
      <c r="T20" s="61"/>
      <c r="U20" s="50" t="s">
        <v>96</v>
      </c>
      <c r="V20" s="50">
        <f>+G20*(1+V6)</f>
        <v>-74250</v>
      </c>
      <c r="W20" s="50">
        <f t="shared" ref="W20:Z20" si="21">+V20*(1+W6)</f>
        <v>-85387.5</v>
      </c>
      <c r="X20" s="50">
        <f t="shared" si="21"/>
        <v>-98195.625</v>
      </c>
      <c r="Y20" s="50">
        <f t="shared" si="21"/>
        <v>-117834.75</v>
      </c>
      <c r="Z20" s="50">
        <f t="shared" si="21"/>
        <v>-147293.4375</v>
      </c>
      <c r="AA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22">+C21/C$15</f>
        <v>-0.0006666666667</v>
      </c>
      <c r="J21" s="60">
        <f t="shared" si="22"/>
        <v>-0.0006315789474</v>
      </c>
      <c r="K21" s="60">
        <f t="shared" si="22"/>
        <v>-0.003111111111</v>
      </c>
      <c r="L21" s="60">
        <f t="shared" si="22"/>
        <v>-0.002894736842</v>
      </c>
      <c r="M21" s="60">
        <f t="shared" si="22"/>
        <v>-0.002794117647</v>
      </c>
      <c r="N21" s="50"/>
      <c r="O21" s="61">
        <f t="shared" si="6"/>
        <v>1</v>
      </c>
      <c r="P21" s="61">
        <f t="shared" ref="P21:S21" si="23">IFERROR(D21/$C21,0)</f>
        <v>1.2</v>
      </c>
      <c r="Q21" s="61">
        <f t="shared" si="23"/>
        <v>9.8</v>
      </c>
      <c r="R21" s="61">
        <f t="shared" si="23"/>
        <v>11</v>
      </c>
      <c r="S21" s="61">
        <f t="shared" si="23"/>
        <v>19</v>
      </c>
      <c r="T21" s="61"/>
      <c r="U21" s="50" t="s">
        <v>97</v>
      </c>
      <c r="V21" s="50">
        <f t="shared" ref="V21:Z21" si="24">-V15*V7/2</f>
        <v>-4590</v>
      </c>
      <c r="W21" s="50">
        <f t="shared" si="24"/>
        <v>-6196.5</v>
      </c>
      <c r="X21" s="50">
        <f t="shared" si="24"/>
        <v>-8365.275</v>
      </c>
      <c r="Y21" s="50">
        <f t="shared" si="24"/>
        <v>-11293.12125</v>
      </c>
      <c r="Z21" s="50">
        <f t="shared" si="24"/>
        <v>-15245.71369</v>
      </c>
      <c r="AA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25">+C22/C$15</f>
        <v>-0.003466666667</v>
      </c>
      <c r="J22" s="60">
        <f t="shared" si="25"/>
        <v>-0.003578947368</v>
      </c>
      <c r="K22" s="60">
        <f t="shared" si="25"/>
        <v>-0.01022222222</v>
      </c>
      <c r="L22" s="60">
        <f t="shared" si="25"/>
        <v>-0.008947368421</v>
      </c>
      <c r="M22" s="60">
        <f t="shared" si="25"/>
        <v>-0.0075</v>
      </c>
      <c r="N22" s="50"/>
      <c r="O22" s="61">
        <f t="shared" si="6"/>
        <v>1</v>
      </c>
      <c r="P22" s="61">
        <f t="shared" ref="P22:S22" si="26">IFERROR(D22/$C22,0)</f>
        <v>1.307692308</v>
      </c>
      <c r="Q22" s="61">
        <f t="shared" si="26"/>
        <v>6.192307692</v>
      </c>
      <c r="R22" s="61">
        <f t="shared" si="26"/>
        <v>6.538461538</v>
      </c>
      <c r="S22" s="61">
        <f t="shared" si="26"/>
        <v>9.807692308</v>
      </c>
      <c r="T22" s="61"/>
      <c r="U22" s="50" t="s">
        <v>98</v>
      </c>
      <c r="V22" s="62">
        <f t="shared" ref="V22:Z22" si="27">-V15*V7/2</f>
        <v>-4590</v>
      </c>
      <c r="W22" s="62">
        <f t="shared" si="27"/>
        <v>-6196.5</v>
      </c>
      <c r="X22" s="62">
        <f t="shared" si="27"/>
        <v>-8365.275</v>
      </c>
      <c r="Y22" s="62">
        <f t="shared" si="27"/>
        <v>-11293.12125</v>
      </c>
      <c r="Z22" s="62">
        <f t="shared" si="27"/>
        <v>-15245.71369</v>
      </c>
      <c r="AA22" s="49"/>
    </row>
    <row r="23" ht="15.75" customHeight="1">
      <c r="A23" s="50"/>
      <c r="B23" s="63" t="s">
        <v>99</v>
      </c>
      <c r="C23" s="64">
        <f t="shared" ref="C23:G23" si="28">SUM(C18:C22)</f>
        <v>18380</v>
      </c>
      <c r="D23" s="64">
        <f t="shared" si="28"/>
        <v>10200</v>
      </c>
      <c r="E23" s="64">
        <f t="shared" si="28"/>
        <v>79000</v>
      </c>
      <c r="F23" s="64">
        <f t="shared" si="28"/>
        <v>119500</v>
      </c>
      <c r="G23" s="64">
        <f t="shared" si="28"/>
        <v>159000</v>
      </c>
      <c r="H23" s="50"/>
      <c r="I23" s="65">
        <f t="shared" ref="I23:M23" si="29">+C23/C$15</f>
        <v>0.1225333333</v>
      </c>
      <c r="J23" s="66">
        <f t="shared" si="29"/>
        <v>0.05368421053</v>
      </c>
      <c r="K23" s="66">
        <f t="shared" si="29"/>
        <v>0.2507936508</v>
      </c>
      <c r="L23" s="66">
        <f t="shared" si="29"/>
        <v>0.3144736842</v>
      </c>
      <c r="M23" s="67">
        <f t="shared" si="29"/>
        <v>0.2338235294</v>
      </c>
      <c r="N23" s="50"/>
      <c r="O23" s="68">
        <f t="shared" si="6"/>
        <v>1</v>
      </c>
      <c r="P23" s="69">
        <f t="shared" ref="P23:S23" si="30">IFERROR(D23/$C23,0)</f>
        <v>0.5549510337</v>
      </c>
      <c r="Q23" s="69">
        <f t="shared" si="30"/>
        <v>4.298150163</v>
      </c>
      <c r="R23" s="69">
        <f t="shared" si="30"/>
        <v>6.501632209</v>
      </c>
      <c r="S23" s="70">
        <f t="shared" si="30"/>
        <v>8.650707291</v>
      </c>
      <c r="T23" s="71"/>
      <c r="U23" s="63" t="s">
        <v>99</v>
      </c>
      <c r="V23" s="64">
        <f t="shared" ref="V23:Z23" si="31">SUM(V18:V22)</f>
        <v>251262</v>
      </c>
      <c r="W23" s="64">
        <f t="shared" si="31"/>
        <v>374095.8</v>
      </c>
      <c r="X23" s="64">
        <f t="shared" si="31"/>
        <v>582891.93</v>
      </c>
      <c r="Y23" s="64">
        <f t="shared" si="31"/>
        <v>818424.5265</v>
      </c>
      <c r="Z23" s="64">
        <f t="shared" si="31"/>
        <v>1126362.718</v>
      </c>
      <c r="AA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32">+C24/C$15</f>
        <v>-0.005666666667</v>
      </c>
      <c r="J24" s="60">
        <f t="shared" si="32"/>
        <v>-0.006842105263</v>
      </c>
      <c r="K24" s="60">
        <f t="shared" si="32"/>
        <v>-0.007301587302</v>
      </c>
      <c r="L24" s="60">
        <f t="shared" si="32"/>
        <v>-0.008421052632</v>
      </c>
      <c r="M24" s="60">
        <f t="shared" si="32"/>
        <v>-0.00875</v>
      </c>
      <c r="N24" s="50"/>
      <c r="O24" s="61">
        <f t="shared" si="6"/>
        <v>1</v>
      </c>
      <c r="P24" s="61">
        <f t="shared" ref="P24:S24" si="33">IFERROR(D24/$C24,0)</f>
        <v>1.529411765</v>
      </c>
      <c r="Q24" s="61">
        <f t="shared" si="33"/>
        <v>2.705882353</v>
      </c>
      <c r="R24" s="61">
        <f t="shared" si="33"/>
        <v>3.764705882</v>
      </c>
      <c r="S24" s="61">
        <f t="shared" si="33"/>
        <v>7</v>
      </c>
      <c r="T24" s="61"/>
      <c r="U24" s="50" t="s">
        <v>100</v>
      </c>
      <c r="V24" s="62">
        <f>-'TABLAS AMORTIZACION'!K27</f>
        <v>-7719.009913</v>
      </c>
      <c r="W24" s="62">
        <f>-'TABLAS AMORTIZACION'!L27</f>
        <v>-5202.154565</v>
      </c>
      <c r="X24" s="62">
        <f>-'TABLAS AMORTIZACION'!M27</f>
        <v>-4081.096275</v>
      </c>
      <c r="Y24" s="62">
        <f>-'TABLAS AMORTIZACION'!N27</f>
        <v>-4081.096275</v>
      </c>
      <c r="Z24" s="62">
        <f>-'TABLAS AMORTIZACION'!O27</f>
        <v>-4081.096275</v>
      </c>
      <c r="AA24" s="49"/>
    </row>
    <row r="25" ht="15.75" customHeight="1">
      <c r="A25" s="50"/>
      <c r="B25" s="63" t="s">
        <v>101</v>
      </c>
      <c r="C25" s="64">
        <f t="shared" ref="C25:G25" si="34">SUM(C23:C24)</f>
        <v>17530</v>
      </c>
      <c r="D25" s="64">
        <f t="shared" si="34"/>
        <v>8900</v>
      </c>
      <c r="E25" s="64">
        <f t="shared" si="34"/>
        <v>76700</v>
      </c>
      <c r="F25" s="64">
        <f t="shared" si="34"/>
        <v>116300</v>
      </c>
      <c r="G25" s="64">
        <f t="shared" si="34"/>
        <v>153050</v>
      </c>
      <c r="H25" s="50"/>
      <c r="I25" s="65">
        <f t="shared" ref="I25:M25" si="35">+C25/C$15</f>
        <v>0.1168666667</v>
      </c>
      <c r="J25" s="66">
        <f t="shared" si="35"/>
        <v>0.04684210526</v>
      </c>
      <c r="K25" s="66">
        <f t="shared" si="35"/>
        <v>0.2434920635</v>
      </c>
      <c r="L25" s="66">
        <f t="shared" si="35"/>
        <v>0.3060526316</v>
      </c>
      <c r="M25" s="67">
        <f t="shared" si="35"/>
        <v>0.2250735294</v>
      </c>
      <c r="N25" s="50"/>
      <c r="O25" s="68">
        <f t="shared" si="6"/>
        <v>1</v>
      </c>
      <c r="P25" s="69">
        <f t="shared" ref="P25:S25" si="36">IFERROR(D25/$C25,0)</f>
        <v>0.5077010839</v>
      </c>
      <c r="Q25" s="69">
        <f t="shared" si="36"/>
        <v>4.375356532</v>
      </c>
      <c r="R25" s="69">
        <f t="shared" si="36"/>
        <v>6.634341129</v>
      </c>
      <c r="S25" s="70">
        <f t="shared" si="36"/>
        <v>8.73074729</v>
      </c>
      <c r="T25" s="71"/>
      <c r="U25" s="63" t="s">
        <v>101</v>
      </c>
      <c r="V25" s="64">
        <f t="shared" ref="V25:Z25" si="37">SUM(V23:V24)</f>
        <v>243542.9901</v>
      </c>
      <c r="W25" s="64">
        <f t="shared" si="37"/>
        <v>368893.6454</v>
      </c>
      <c r="X25" s="64">
        <f t="shared" si="37"/>
        <v>578810.8337</v>
      </c>
      <c r="Y25" s="64">
        <f t="shared" si="37"/>
        <v>814343.4302</v>
      </c>
      <c r="Z25" s="64">
        <f t="shared" si="37"/>
        <v>1122281.621</v>
      </c>
      <c r="AA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38">+C26/C$15</f>
        <v>-0.1966666667</v>
      </c>
      <c r="J26" s="60">
        <f t="shared" si="38"/>
        <v>-0.2263157895</v>
      </c>
      <c r="K26" s="60">
        <f t="shared" si="38"/>
        <v>-0.1498412698</v>
      </c>
      <c r="L26" s="60">
        <f t="shared" si="38"/>
        <v>-0.07651315789</v>
      </c>
      <c r="M26" s="60">
        <f t="shared" si="38"/>
        <v>-0.1455882353</v>
      </c>
      <c r="N26" s="50"/>
      <c r="O26" s="61">
        <f t="shared" si="6"/>
        <v>1</v>
      </c>
      <c r="P26" s="61">
        <f t="shared" ref="P26:S26" si="39">IFERROR(D26/$C26,0)</f>
        <v>1.457627119</v>
      </c>
      <c r="Q26" s="61">
        <f t="shared" si="39"/>
        <v>1.6</v>
      </c>
      <c r="R26" s="61">
        <f t="shared" si="39"/>
        <v>0.9855932203</v>
      </c>
      <c r="S26" s="61">
        <f t="shared" si="39"/>
        <v>3.355932203</v>
      </c>
      <c r="T26" s="61"/>
      <c r="U26" s="50" t="s">
        <v>102</v>
      </c>
      <c r="V26" s="50">
        <f t="shared" ref="V26:Z26" si="40">-V25*V9</f>
        <v>-60885.74752</v>
      </c>
      <c r="W26" s="50">
        <f t="shared" si="40"/>
        <v>-92223.41136</v>
      </c>
      <c r="X26" s="50">
        <f t="shared" si="40"/>
        <v>-144702.7084</v>
      </c>
      <c r="Y26" s="50">
        <f t="shared" si="40"/>
        <v>-203585.8576</v>
      </c>
      <c r="Z26" s="50">
        <f t="shared" si="40"/>
        <v>-280570.4053</v>
      </c>
      <c r="AA26" s="49"/>
    </row>
    <row r="27" ht="15.75" customHeight="1">
      <c r="A27" s="50"/>
      <c r="B27" s="63" t="s">
        <v>103</v>
      </c>
      <c r="C27" s="72">
        <f t="shared" ref="C27:G27" si="41">+C25+C26</f>
        <v>-11970</v>
      </c>
      <c r="D27" s="72">
        <f t="shared" si="41"/>
        <v>-34100</v>
      </c>
      <c r="E27" s="72">
        <f t="shared" si="41"/>
        <v>29500</v>
      </c>
      <c r="F27" s="72">
        <f t="shared" si="41"/>
        <v>87225</v>
      </c>
      <c r="G27" s="72">
        <f t="shared" si="41"/>
        <v>54050</v>
      </c>
      <c r="H27" s="50"/>
      <c r="I27" s="65">
        <f t="shared" ref="I27:M27" si="42">+C27/C$15</f>
        <v>-0.0798</v>
      </c>
      <c r="J27" s="66">
        <f t="shared" si="42"/>
        <v>-0.1794736842</v>
      </c>
      <c r="K27" s="66">
        <f t="shared" si="42"/>
        <v>0.09365079365</v>
      </c>
      <c r="L27" s="66">
        <f t="shared" si="42"/>
        <v>0.2295394737</v>
      </c>
      <c r="M27" s="67">
        <f t="shared" si="42"/>
        <v>0.07948529412</v>
      </c>
      <c r="N27" s="50"/>
      <c r="O27" s="68">
        <f t="shared" si="6"/>
        <v>1</v>
      </c>
      <c r="P27" s="69">
        <f t="shared" ref="P27:S27" si="43">IFERROR(D27/$C27,0)</f>
        <v>2.848788638</v>
      </c>
      <c r="Q27" s="69">
        <f t="shared" si="43"/>
        <v>-2.46449457</v>
      </c>
      <c r="R27" s="69">
        <f t="shared" si="43"/>
        <v>-7.286967419</v>
      </c>
      <c r="S27" s="70">
        <f t="shared" si="43"/>
        <v>-4.515455305</v>
      </c>
      <c r="T27" s="71"/>
      <c r="U27" s="63" t="s">
        <v>103</v>
      </c>
      <c r="V27" s="72">
        <f t="shared" ref="V27:Z27" si="44">+V25+V26</f>
        <v>182657.2426</v>
      </c>
      <c r="W27" s="72">
        <f t="shared" si="44"/>
        <v>276670.2341</v>
      </c>
      <c r="X27" s="72">
        <f t="shared" si="44"/>
        <v>434108.1253</v>
      </c>
      <c r="Y27" s="72">
        <f t="shared" si="44"/>
        <v>610757.5727</v>
      </c>
      <c r="Z27" s="72">
        <f t="shared" si="44"/>
        <v>841711.216</v>
      </c>
      <c r="AA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49"/>
    </row>
    <row r="29" ht="15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49"/>
    </row>
    <row r="30" ht="15.75" customHeight="1">
      <c r="A30" s="50"/>
      <c r="B30" s="53" t="s">
        <v>104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0"/>
      <c r="X30" s="50"/>
      <c r="Y30" s="50"/>
      <c r="Z30" s="50"/>
      <c r="AA30" s="49"/>
    </row>
    <row r="31" ht="15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49"/>
    </row>
    <row r="32" ht="15.75" customHeight="1">
      <c r="A32" s="50"/>
      <c r="B32" s="50"/>
      <c r="C32" s="59">
        <v>2017.0</v>
      </c>
      <c r="D32" s="59">
        <v>2018.0</v>
      </c>
      <c r="E32" s="59">
        <v>2019.0</v>
      </c>
      <c r="F32" s="59">
        <v>2020.0</v>
      </c>
      <c r="G32" s="59">
        <v>2021.0</v>
      </c>
      <c r="H32" s="50"/>
      <c r="I32" s="59">
        <f t="shared" ref="I32:M32" si="45">+C32</f>
        <v>2017</v>
      </c>
      <c r="J32" s="59">
        <f t="shared" si="45"/>
        <v>2018</v>
      </c>
      <c r="K32" s="59">
        <f t="shared" si="45"/>
        <v>2019</v>
      </c>
      <c r="L32" s="59">
        <f t="shared" si="45"/>
        <v>2020</v>
      </c>
      <c r="M32" s="59">
        <f t="shared" si="45"/>
        <v>2021</v>
      </c>
      <c r="N32" s="50"/>
      <c r="O32" s="59">
        <f t="shared" ref="O32:S32" si="46">+C32</f>
        <v>2017</v>
      </c>
      <c r="P32" s="59">
        <f t="shared" si="46"/>
        <v>2018</v>
      </c>
      <c r="Q32" s="59">
        <f t="shared" si="46"/>
        <v>2019</v>
      </c>
      <c r="R32" s="59">
        <f t="shared" si="46"/>
        <v>2020</v>
      </c>
      <c r="S32" s="59">
        <f t="shared" si="46"/>
        <v>2021</v>
      </c>
      <c r="T32" s="58"/>
      <c r="U32" s="50"/>
      <c r="V32" s="58"/>
      <c r="W32" s="58"/>
      <c r="X32" s="58"/>
      <c r="Y32" s="58"/>
      <c r="Z32" s="58"/>
      <c r="AA32" s="49"/>
    </row>
    <row r="33" ht="15.75" customHeight="1">
      <c r="A33" s="50"/>
      <c r="B33" s="50" t="s">
        <v>105</v>
      </c>
      <c r="C33" s="50">
        <v>4000.0</v>
      </c>
      <c r="D33" s="50">
        <v>12000.0</v>
      </c>
      <c r="E33" s="50">
        <v>21000.0</v>
      </c>
      <c r="F33" s="50">
        <v>36000.0</v>
      </c>
      <c r="G33" s="50">
        <v>52000.0</v>
      </c>
      <c r="H33" s="50"/>
      <c r="I33" s="60">
        <f t="shared" ref="I33:M33" si="47">C33/C$42</f>
        <v>0.05545538157</v>
      </c>
      <c r="J33" s="60">
        <f t="shared" si="47"/>
        <v>0.1493464971</v>
      </c>
      <c r="K33" s="60">
        <f t="shared" si="47"/>
        <v>0.06543481779</v>
      </c>
      <c r="L33" s="60">
        <f t="shared" si="47"/>
        <v>0.1025713907</v>
      </c>
      <c r="M33" s="60">
        <f t="shared" si="47"/>
        <v>0.1615781834</v>
      </c>
      <c r="N33" s="50"/>
      <c r="O33" s="61">
        <f t="shared" ref="O33:O42" si="50">IFERROR(C33/C33,0)</f>
        <v>1</v>
      </c>
      <c r="P33" s="61">
        <f t="shared" ref="P33:S33" si="48">IFERROR(D33/$C33,0)</f>
        <v>3</v>
      </c>
      <c r="Q33" s="61">
        <f t="shared" si="48"/>
        <v>5.25</v>
      </c>
      <c r="R33" s="61">
        <f t="shared" si="48"/>
        <v>9</v>
      </c>
      <c r="S33" s="61">
        <f t="shared" si="48"/>
        <v>13</v>
      </c>
      <c r="T33" s="61"/>
      <c r="U33" s="50"/>
      <c r="V33" s="50"/>
      <c r="W33" s="50"/>
      <c r="X33" s="50"/>
      <c r="Y33" s="50"/>
      <c r="Z33" s="50"/>
      <c r="AA33" s="49"/>
    </row>
    <row r="34" ht="15.75" customHeight="1">
      <c r="A34" s="50"/>
      <c r="B34" s="50" t="s">
        <v>106</v>
      </c>
      <c r="C34" s="50">
        <v>-100.0</v>
      </c>
      <c r="D34" s="50">
        <v>-220.0</v>
      </c>
      <c r="E34" s="50">
        <v>-1200.0</v>
      </c>
      <c r="F34" s="50">
        <v>-2300.0</v>
      </c>
      <c r="G34" s="50">
        <v>-4200.0</v>
      </c>
      <c r="H34" s="50"/>
      <c r="I34" s="60">
        <f t="shared" ref="I34:M34" si="49">C34/C$42</f>
        <v>-0.001386384539</v>
      </c>
      <c r="J34" s="60">
        <f t="shared" si="49"/>
        <v>-0.002738019113</v>
      </c>
      <c r="K34" s="60">
        <f t="shared" si="49"/>
        <v>-0.003739132445</v>
      </c>
      <c r="L34" s="60">
        <f t="shared" si="49"/>
        <v>-0.006553172183</v>
      </c>
      <c r="M34" s="60">
        <f t="shared" si="49"/>
        <v>-0.01305054558</v>
      </c>
      <c r="N34" s="50"/>
      <c r="O34" s="61">
        <f t="shared" si="50"/>
        <v>1</v>
      </c>
      <c r="P34" s="61">
        <f t="shared" ref="P34:S34" si="51">IFERROR(D34/$C34,0)</f>
        <v>2.2</v>
      </c>
      <c r="Q34" s="61">
        <f t="shared" si="51"/>
        <v>12</v>
      </c>
      <c r="R34" s="61">
        <f t="shared" si="51"/>
        <v>23</v>
      </c>
      <c r="S34" s="61">
        <f t="shared" si="51"/>
        <v>42</v>
      </c>
      <c r="T34" s="61"/>
      <c r="U34" s="50"/>
      <c r="V34" s="50"/>
      <c r="W34" s="50"/>
      <c r="X34" s="50"/>
      <c r="Y34" s="50"/>
      <c r="Z34" s="50"/>
      <c r="AA34" s="49"/>
    </row>
    <row r="35" ht="15.75" customHeight="1">
      <c r="A35" s="50"/>
      <c r="B35" s="50" t="s">
        <v>107</v>
      </c>
      <c r="C35" s="50">
        <v>10000.0</v>
      </c>
      <c r="D35" s="50">
        <v>20000.0</v>
      </c>
      <c r="E35" s="50">
        <v>50000.0</v>
      </c>
      <c r="F35" s="50">
        <v>11000.0</v>
      </c>
      <c r="G35" s="50">
        <v>125000.0</v>
      </c>
      <c r="H35" s="50"/>
      <c r="I35" s="60">
        <f t="shared" ref="I35:M35" si="52">C35/C$42</f>
        <v>0.1386384539</v>
      </c>
      <c r="J35" s="60">
        <f t="shared" si="52"/>
        <v>0.2489108284</v>
      </c>
      <c r="K35" s="60">
        <f t="shared" si="52"/>
        <v>0.1557971852</v>
      </c>
      <c r="L35" s="60">
        <f t="shared" si="52"/>
        <v>0.03134125826</v>
      </c>
      <c r="M35" s="60">
        <f t="shared" si="52"/>
        <v>0.3884090947</v>
      </c>
      <c r="N35" s="50"/>
      <c r="O35" s="61">
        <f t="shared" si="50"/>
        <v>1</v>
      </c>
      <c r="P35" s="61">
        <f t="shared" ref="P35:S35" si="53">IFERROR(D35/$C35,0)</f>
        <v>2</v>
      </c>
      <c r="Q35" s="61">
        <f t="shared" si="53"/>
        <v>5</v>
      </c>
      <c r="R35" s="61">
        <f t="shared" si="53"/>
        <v>1.1</v>
      </c>
      <c r="S35" s="61">
        <f t="shared" si="53"/>
        <v>12.5</v>
      </c>
      <c r="T35" s="61"/>
      <c r="U35" s="50"/>
      <c r="V35" s="50"/>
      <c r="W35" s="50"/>
      <c r="X35" s="50"/>
      <c r="Y35" s="50"/>
      <c r="Z35" s="50"/>
      <c r="AA35" s="49"/>
    </row>
    <row r="36" ht="15.75" customHeight="1">
      <c r="A36" s="50"/>
      <c r="B36" s="50" t="s">
        <v>108</v>
      </c>
      <c r="C36" s="62">
        <v>-520.0</v>
      </c>
      <c r="D36" s="62">
        <v>-1200.0</v>
      </c>
      <c r="E36" s="62">
        <v>-4420.0</v>
      </c>
      <c r="F36" s="62">
        <v>-7820.0</v>
      </c>
      <c r="G36" s="62">
        <v>-12920.0</v>
      </c>
      <c r="H36" s="50"/>
      <c r="I36" s="60">
        <f t="shared" ref="I36:M36" si="54">C36/C$42</f>
        <v>-0.007209199604</v>
      </c>
      <c r="J36" s="60">
        <f t="shared" si="54"/>
        <v>-0.01493464971</v>
      </c>
      <c r="K36" s="60">
        <f t="shared" si="54"/>
        <v>-0.01377247117</v>
      </c>
      <c r="L36" s="60">
        <f t="shared" si="54"/>
        <v>-0.02228078542</v>
      </c>
      <c r="M36" s="60">
        <f t="shared" si="54"/>
        <v>-0.04014596403</v>
      </c>
      <c r="N36" s="50"/>
      <c r="O36" s="61">
        <f t="shared" si="50"/>
        <v>1</v>
      </c>
      <c r="P36" s="61">
        <f t="shared" ref="P36:S36" si="55">IFERROR(D36/$C36,0)</f>
        <v>2.307692308</v>
      </c>
      <c r="Q36" s="61">
        <f t="shared" si="55"/>
        <v>8.5</v>
      </c>
      <c r="R36" s="61">
        <f t="shared" si="55"/>
        <v>15.03846154</v>
      </c>
      <c r="S36" s="61">
        <f t="shared" si="55"/>
        <v>24.84615385</v>
      </c>
      <c r="T36" s="61"/>
      <c r="U36" s="50"/>
      <c r="V36" s="50"/>
      <c r="W36" s="50"/>
      <c r="X36" s="50"/>
      <c r="Y36" s="50"/>
      <c r="Z36" s="50"/>
      <c r="AA36" s="49"/>
    </row>
    <row r="37" ht="15.75" customHeight="1">
      <c r="A37" s="50"/>
      <c r="B37" s="63" t="s">
        <v>109</v>
      </c>
      <c r="C37" s="64">
        <f t="shared" ref="C37:G37" si="56">SUM(C33:C36)</f>
        <v>13380</v>
      </c>
      <c r="D37" s="64">
        <f t="shared" si="56"/>
        <v>30580</v>
      </c>
      <c r="E37" s="64">
        <f t="shared" si="56"/>
        <v>65380</v>
      </c>
      <c r="F37" s="64">
        <f t="shared" si="56"/>
        <v>36880</v>
      </c>
      <c r="G37" s="64">
        <f t="shared" si="56"/>
        <v>159880</v>
      </c>
      <c r="H37" s="50"/>
      <c r="I37" s="65">
        <f t="shared" ref="I37:M37" si="57">C37/C$42</f>
        <v>0.1854982514</v>
      </c>
      <c r="J37" s="66">
        <f t="shared" si="57"/>
        <v>0.3805846567</v>
      </c>
      <c r="K37" s="66">
        <f t="shared" si="57"/>
        <v>0.2037203994</v>
      </c>
      <c r="L37" s="66">
        <f t="shared" si="57"/>
        <v>0.1050786913</v>
      </c>
      <c r="M37" s="67">
        <f t="shared" si="57"/>
        <v>0.4967907685</v>
      </c>
      <c r="N37" s="50"/>
      <c r="O37" s="68">
        <f t="shared" si="50"/>
        <v>1</v>
      </c>
      <c r="P37" s="69">
        <f t="shared" ref="P37:S37" si="58">IFERROR(D37/$C37,0)</f>
        <v>2.285500747</v>
      </c>
      <c r="Q37" s="69">
        <f t="shared" si="58"/>
        <v>4.886397608</v>
      </c>
      <c r="R37" s="69">
        <f t="shared" si="58"/>
        <v>2.756352765</v>
      </c>
      <c r="S37" s="70">
        <f t="shared" si="58"/>
        <v>11.94917788</v>
      </c>
      <c r="T37" s="71"/>
      <c r="U37" s="63"/>
      <c r="V37" s="64"/>
      <c r="W37" s="64"/>
      <c r="X37" s="64"/>
      <c r="Y37" s="64"/>
      <c r="Z37" s="64"/>
      <c r="AA37" s="49"/>
    </row>
    <row r="38" ht="15.75" customHeight="1">
      <c r="A38" s="50"/>
      <c r="B38" s="50" t="s">
        <v>110</v>
      </c>
      <c r="C38" s="50">
        <v>0.0</v>
      </c>
      <c r="D38" s="50">
        <v>6350.0</v>
      </c>
      <c r="E38" s="50">
        <v>11800.0</v>
      </c>
      <c r="F38" s="50">
        <v>12000.0</v>
      </c>
      <c r="G38" s="50">
        <v>49500.0</v>
      </c>
      <c r="H38" s="50"/>
      <c r="I38" s="60">
        <f t="shared" ref="I38:M38" si="59">C38/C$42</f>
        <v>0</v>
      </c>
      <c r="J38" s="60">
        <f t="shared" si="59"/>
        <v>0.07902918803</v>
      </c>
      <c r="K38" s="60">
        <f t="shared" si="59"/>
        <v>0.03676813571</v>
      </c>
      <c r="L38" s="60">
        <f t="shared" si="59"/>
        <v>0.03419046356</v>
      </c>
      <c r="M38" s="60">
        <f t="shared" si="59"/>
        <v>0.1538100015</v>
      </c>
      <c r="N38" s="50"/>
      <c r="O38" s="61">
        <f t="shared" si="50"/>
        <v>0</v>
      </c>
      <c r="P38" s="61">
        <f t="shared" ref="P38:S38" si="60">IFERROR(D38/$C38,0)</f>
        <v>0</v>
      </c>
      <c r="Q38" s="61">
        <f t="shared" si="60"/>
        <v>0</v>
      </c>
      <c r="R38" s="61">
        <f t="shared" si="60"/>
        <v>0</v>
      </c>
      <c r="S38" s="61">
        <f t="shared" si="60"/>
        <v>0</v>
      </c>
      <c r="T38" s="61"/>
      <c r="U38" s="50"/>
      <c r="V38" s="50"/>
      <c r="W38" s="50"/>
      <c r="X38" s="50"/>
      <c r="Y38" s="50"/>
      <c r="Z38" s="50"/>
      <c r="AA38" s="49"/>
    </row>
    <row r="39" ht="15.75" customHeight="1">
      <c r="A39" s="50"/>
      <c r="B39" s="50" t="s">
        <v>111</v>
      </c>
      <c r="C39" s="50">
        <v>1576.45</v>
      </c>
      <c r="D39" s="50">
        <v>11051.41</v>
      </c>
      <c r="E39" s="50">
        <v>22000.0</v>
      </c>
      <c r="F39" s="50">
        <v>18000.0</v>
      </c>
      <c r="G39" s="50">
        <v>8000.0</v>
      </c>
      <c r="H39" s="50"/>
      <c r="I39" s="60">
        <f t="shared" ref="I39:M39" si="61">C39/C$42</f>
        <v>0.02185565907</v>
      </c>
      <c r="J39" s="60">
        <f t="shared" si="61"/>
        <v>0.1375407809</v>
      </c>
      <c r="K39" s="60">
        <f t="shared" si="61"/>
        <v>0.0685507615</v>
      </c>
      <c r="L39" s="60">
        <f t="shared" si="61"/>
        <v>0.05128569534</v>
      </c>
      <c r="M39" s="60">
        <f t="shared" si="61"/>
        <v>0.02485818206</v>
      </c>
      <c r="N39" s="50"/>
      <c r="O39" s="61">
        <f t="shared" si="50"/>
        <v>1</v>
      </c>
      <c r="P39" s="61">
        <f t="shared" ref="P39:S39" si="62">IFERROR(D39/$C39,0)</f>
        <v>7.010314314</v>
      </c>
      <c r="Q39" s="61">
        <f t="shared" si="62"/>
        <v>13.95540613</v>
      </c>
      <c r="R39" s="61">
        <f t="shared" si="62"/>
        <v>11.41805956</v>
      </c>
      <c r="S39" s="61">
        <f t="shared" si="62"/>
        <v>5.07469314</v>
      </c>
      <c r="T39" s="61"/>
      <c r="U39" s="50"/>
      <c r="V39" s="50"/>
      <c r="W39" s="50"/>
      <c r="X39" s="50"/>
      <c r="Y39" s="50"/>
      <c r="Z39" s="50"/>
      <c r="AA39" s="49"/>
    </row>
    <row r="40" ht="15.75" customHeight="1">
      <c r="A40" s="50"/>
      <c r="B40" s="50" t="s">
        <v>112</v>
      </c>
      <c r="C40" s="62">
        <v>57173.61</v>
      </c>
      <c r="D40" s="62">
        <v>32368.649999999994</v>
      </c>
      <c r="E40" s="62">
        <v>221750.06</v>
      </c>
      <c r="F40" s="62">
        <v>284095.06</v>
      </c>
      <c r="G40" s="62">
        <v>104445.62585321383</v>
      </c>
      <c r="H40" s="50"/>
      <c r="I40" s="60">
        <f t="shared" ref="I40:M40" si="63">C40/C$42</f>
        <v>0.7926460896</v>
      </c>
      <c r="J40" s="60">
        <f t="shared" si="63"/>
        <v>0.4028453744</v>
      </c>
      <c r="K40" s="60">
        <f t="shared" si="63"/>
        <v>0.6909607034</v>
      </c>
      <c r="L40" s="60">
        <f t="shared" si="63"/>
        <v>0.8094451497</v>
      </c>
      <c r="M40" s="60">
        <f t="shared" si="63"/>
        <v>0.3245410479</v>
      </c>
      <c r="N40" s="50"/>
      <c r="O40" s="61">
        <f t="shared" si="50"/>
        <v>1</v>
      </c>
      <c r="P40" s="61">
        <f t="shared" ref="P40:S40" si="64">IFERROR(D40/$C40,0)</f>
        <v>0.566146689</v>
      </c>
      <c r="Q40" s="61">
        <f t="shared" si="64"/>
        <v>3.878538717</v>
      </c>
      <c r="R40" s="61">
        <f t="shared" si="64"/>
        <v>4.968989364</v>
      </c>
      <c r="S40" s="61">
        <f t="shared" si="64"/>
        <v>1.826815306</v>
      </c>
      <c r="T40" s="61"/>
      <c r="U40" s="50"/>
      <c r="V40" s="50"/>
      <c r="W40" s="50"/>
      <c r="X40" s="50"/>
      <c r="Y40" s="50"/>
      <c r="Z40" s="50"/>
      <c r="AA40" s="49"/>
    </row>
    <row r="41" ht="15.75" customHeight="1">
      <c r="A41" s="50"/>
      <c r="B41" s="63" t="s">
        <v>113</v>
      </c>
      <c r="C41" s="74">
        <f t="shared" ref="C41:G41" si="65">SUM(C38:C40)</f>
        <v>58750.06</v>
      </c>
      <c r="D41" s="74">
        <f t="shared" si="65"/>
        <v>49770.06</v>
      </c>
      <c r="E41" s="74">
        <f t="shared" si="65"/>
        <v>255550.06</v>
      </c>
      <c r="F41" s="74">
        <f t="shared" si="65"/>
        <v>314095.06</v>
      </c>
      <c r="G41" s="74">
        <f t="shared" si="65"/>
        <v>161945.6259</v>
      </c>
      <c r="H41" s="50"/>
      <c r="I41" s="75">
        <f t="shared" ref="I41:M41" si="66">C41/C$42</f>
        <v>0.8145017486</v>
      </c>
      <c r="J41" s="75">
        <f t="shared" si="66"/>
        <v>0.6194153433</v>
      </c>
      <c r="K41" s="75">
        <f t="shared" si="66"/>
        <v>0.7962796006</v>
      </c>
      <c r="L41" s="75">
        <f t="shared" si="66"/>
        <v>0.8949213087</v>
      </c>
      <c r="M41" s="75">
        <f t="shared" si="66"/>
        <v>0.5032092315</v>
      </c>
      <c r="N41" s="50"/>
      <c r="O41" s="61">
        <f t="shared" si="50"/>
        <v>1</v>
      </c>
      <c r="P41" s="61">
        <f t="shared" ref="P41:S41" si="67">IFERROR(D41/$C41,0)</f>
        <v>0.8471490923</v>
      </c>
      <c r="Q41" s="61">
        <f t="shared" si="67"/>
        <v>4.349783813</v>
      </c>
      <c r="R41" s="61">
        <f t="shared" si="67"/>
        <v>5.346293434</v>
      </c>
      <c r="S41" s="61">
        <f t="shared" si="67"/>
        <v>2.756518476</v>
      </c>
      <c r="T41" s="61"/>
      <c r="U41" s="63"/>
      <c r="V41" s="64"/>
      <c r="W41" s="64"/>
      <c r="X41" s="64"/>
      <c r="Y41" s="64"/>
      <c r="Z41" s="64"/>
      <c r="AA41" s="49"/>
    </row>
    <row r="42" ht="15.75" customHeight="1">
      <c r="A42" s="50"/>
      <c r="B42" s="63" t="s">
        <v>114</v>
      </c>
      <c r="C42" s="72">
        <f t="shared" ref="C42:G42" si="68">+C37+C41</f>
        <v>72130.06</v>
      </c>
      <c r="D42" s="72">
        <f t="shared" si="68"/>
        <v>80350.06</v>
      </c>
      <c r="E42" s="72">
        <f t="shared" si="68"/>
        <v>320930.06</v>
      </c>
      <c r="F42" s="72">
        <f t="shared" si="68"/>
        <v>350975.06</v>
      </c>
      <c r="G42" s="72">
        <f t="shared" si="68"/>
        <v>321825.6259</v>
      </c>
      <c r="H42" s="50"/>
      <c r="I42" s="65">
        <f t="shared" ref="I42:M42" si="69">C42/C$42</f>
        <v>1</v>
      </c>
      <c r="J42" s="66">
        <f t="shared" si="69"/>
        <v>1</v>
      </c>
      <c r="K42" s="66">
        <f t="shared" si="69"/>
        <v>1</v>
      </c>
      <c r="L42" s="66">
        <f t="shared" si="69"/>
        <v>1</v>
      </c>
      <c r="M42" s="67">
        <f t="shared" si="69"/>
        <v>1</v>
      </c>
      <c r="N42" s="50"/>
      <c r="O42" s="68">
        <f t="shared" si="50"/>
        <v>1</v>
      </c>
      <c r="P42" s="69">
        <f t="shared" ref="P42:S42" si="70">IFERROR(D42/$C42,0)</f>
        <v>1.113960809</v>
      </c>
      <c r="Q42" s="69">
        <f t="shared" si="70"/>
        <v>4.449324734</v>
      </c>
      <c r="R42" s="69">
        <f t="shared" si="70"/>
        <v>4.865863969</v>
      </c>
      <c r="S42" s="70">
        <f t="shared" si="70"/>
        <v>4.46174072</v>
      </c>
      <c r="T42" s="71"/>
      <c r="U42" s="63"/>
      <c r="V42" s="64"/>
      <c r="W42" s="64"/>
      <c r="X42" s="64"/>
      <c r="Y42" s="64"/>
      <c r="Z42" s="64"/>
      <c r="AA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60"/>
      <c r="J43" s="60"/>
      <c r="K43" s="60"/>
      <c r="L43" s="60"/>
      <c r="M43" s="60"/>
      <c r="N43" s="50"/>
      <c r="O43" s="61"/>
      <c r="P43" s="61"/>
      <c r="Q43" s="61"/>
      <c r="R43" s="61"/>
      <c r="S43" s="61"/>
      <c r="T43" s="61"/>
      <c r="U43" s="50"/>
      <c r="V43" s="50"/>
      <c r="W43" s="50"/>
      <c r="X43" s="50"/>
      <c r="Y43" s="50"/>
      <c r="Z43" s="50"/>
      <c r="AA43" s="49"/>
    </row>
    <row r="44" ht="15.75" customHeight="1">
      <c r="A44" s="50"/>
      <c r="B44" s="50" t="s">
        <v>115</v>
      </c>
      <c r="C44" s="50">
        <v>80000.0</v>
      </c>
      <c r="D44" s="50">
        <v>120000.0</v>
      </c>
      <c r="E44" s="50">
        <v>80000.0</v>
      </c>
      <c r="F44" s="50">
        <v>60000.0</v>
      </c>
      <c r="G44" s="98">
        <v>30000.0</v>
      </c>
      <c r="H44" s="50"/>
      <c r="I44" s="60">
        <f t="shared" ref="I44:M44" si="71">C44/C$42</f>
        <v>1.109107631</v>
      </c>
      <c r="J44" s="60">
        <f t="shared" si="71"/>
        <v>1.493464971</v>
      </c>
      <c r="K44" s="60">
        <f t="shared" si="71"/>
        <v>0.2492754963</v>
      </c>
      <c r="L44" s="60">
        <f t="shared" si="71"/>
        <v>0.1709523178</v>
      </c>
      <c r="M44" s="60">
        <f t="shared" si="71"/>
        <v>0.09321818274</v>
      </c>
      <c r="N44" s="50"/>
      <c r="O44" s="61">
        <f t="shared" ref="O44:O48" si="74">IFERROR(C44/C44,0)</f>
        <v>1</v>
      </c>
      <c r="P44" s="61">
        <f t="shared" ref="P44:S44" si="72">IFERROR(D44/$C44,0)</f>
        <v>1.5</v>
      </c>
      <c r="Q44" s="61">
        <f t="shared" si="72"/>
        <v>1</v>
      </c>
      <c r="R44" s="61">
        <f t="shared" si="72"/>
        <v>0.75</v>
      </c>
      <c r="S44" s="61">
        <f t="shared" si="72"/>
        <v>0.375</v>
      </c>
      <c r="T44" s="61"/>
      <c r="U44" s="50"/>
      <c r="V44" s="50"/>
      <c r="W44" s="50"/>
      <c r="X44" s="50"/>
      <c r="Y44" s="50"/>
      <c r="Z44" s="50"/>
      <c r="AA44" s="49"/>
    </row>
    <row r="45" ht="15.75" customHeight="1">
      <c r="A45" s="50"/>
      <c r="B45" s="50" t="s">
        <v>116</v>
      </c>
      <c r="C45" s="50">
        <v>0.0</v>
      </c>
      <c r="D45" s="50">
        <v>2500.0</v>
      </c>
      <c r="E45" s="50">
        <v>3200.0</v>
      </c>
      <c r="F45" s="50">
        <v>15000.0</v>
      </c>
      <c r="G45" s="50">
        <v>25000.0</v>
      </c>
      <c r="H45" s="50"/>
      <c r="I45" s="60">
        <f t="shared" ref="I45:M45" si="73">C45/C$42</f>
        <v>0</v>
      </c>
      <c r="J45" s="60">
        <f t="shared" si="73"/>
        <v>0.03111385356</v>
      </c>
      <c r="K45" s="60">
        <f t="shared" si="73"/>
        <v>0.009971019854</v>
      </c>
      <c r="L45" s="60">
        <f t="shared" si="73"/>
        <v>0.04273807945</v>
      </c>
      <c r="M45" s="60">
        <f t="shared" si="73"/>
        <v>0.07768181895</v>
      </c>
      <c r="N45" s="50"/>
      <c r="O45" s="61">
        <f t="shared" si="74"/>
        <v>0</v>
      </c>
      <c r="P45" s="61">
        <f t="shared" ref="P45:S45" si="75">IFERROR(D45/$C45,0)</f>
        <v>0</v>
      </c>
      <c r="Q45" s="61">
        <f t="shared" si="75"/>
        <v>0</v>
      </c>
      <c r="R45" s="61">
        <f t="shared" si="75"/>
        <v>0</v>
      </c>
      <c r="S45" s="61">
        <f t="shared" si="75"/>
        <v>0</v>
      </c>
      <c r="T45" s="61"/>
      <c r="U45" s="50"/>
      <c r="V45" s="50"/>
      <c r="W45" s="50"/>
      <c r="X45" s="50"/>
      <c r="Y45" s="50"/>
      <c r="Z45" s="50"/>
      <c r="AA45" s="49"/>
    </row>
    <row r="46" ht="15.75" customHeight="1">
      <c r="A46" s="50"/>
      <c r="B46" s="50" t="s">
        <v>117</v>
      </c>
      <c r="C46" s="50">
        <v>300.0</v>
      </c>
      <c r="D46" s="50">
        <v>120.0</v>
      </c>
      <c r="E46" s="50">
        <v>250.0</v>
      </c>
      <c r="F46" s="50">
        <v>320.0</v>
      </c>
      <c r="G46" s="50">
        <v>650.0</v>
      </c>
      <c r="H46" s="50"/>
      <c r="I46" s="60">
        <f t="shared" ref="I46:M46" si="76">C46/C$42</f>
        <v>0.004159153618</v>
      </c>
      <c r="J46" s="60">
        <f t="shared" si="76"/>
        <v>0.001493464971</v>
      </c>
      <c r="K46" s="60">
        <f t="shared" si="76"/>
        <v>0.0007789859261</v>
      </c>
      <c r="L46" s="60">
        <f t="shared" si="76"/>
        <v>0.000911745695</v>
      </c>
      <c r="M46" s="60">
        <f t="shared" si="76"/>
        <v>0.002019727293</v>
      </c>
      <c r="N46" s="50"/>
      <c r="O46" s="61">
        <f t="shared" si="74"/>
        <v>1</v>
      </c>
      <c r="P46" s="61">
        <f t="shared" ref="P46:S46" si="77">IFERROR(D46/$C46,0)</f>
        <v>0.4</v>
      </c>
      <c r="Q46" s="61">
        <f t="shared" si="77"/>
        <v>0.8333333333</v>
      </c>
      <c r="R46" s="61">
        <f t="shared" si="77"/>
        <v>1.066666667</v>
      </c>
      <c r="S46" s="61">
        <f t="shared" si="77"/>
        <v>2.166666667</v>
      </c>
      <c r="T46" s="61"/>
      <c r="U46" s="50"/>
      <c r="V46" s="50"/>
      <c r="W46" s="50"/>
      <c r="X46" s="50"/>
      <c r="Y46" s="50"/>
      <c r="Z46" s="50"/>
      <c r="AA46" s="49"/>
    </row>
    <row r="47" ht="15.75" customHeight="1">
      <c r="A47" s="50"/>
      <c r="B47" s="50" t="s">
        <v>118</v>
      </c>
      <c r="C47" s="62">
        <v>0.0</v>
      </c>
      <c r="D47" s="62">
        <v>0.0</v>
      </c>
      <c r="E47" s="62">
        <v>250.0</v>
      </c>
      <c r="F47" s="62">
        <v>1200.0</v>
      </c>
      <c r="G47" s="62">
        <v>2350.0</v>
      </c>
      <c r="H47" s="50"/>
      <c r="I47" s="60">
        <f t="shared" ref="I47:M47" si="78">C47/C$42</f>
        <v>0</v>
      </c>
      <c r="J47" s="60">
        <f t="shared" si="78"/>
        <v>0</v>
      </c>
      <c r="K47" s="60">
        <f t="shared" si="78"/>
        <v>0.0007789859261</v>
      </c>
      <c r="L47" s="60">
        <f t="shared" si="78"/>
        <v>0.003419046356</v>
      </c>
      <c r="M47" s="60">
        <f t="shared" si="78"/>
        <v>0.007302090981</v>
      </c>
      <c r="N47" s="50"/>
      <c r="O47" s="61">
        <f t="shared" si="74"/>
        <v>0</v>
      </c>
      <c r="P47" s="61">
        <f t="shared" ref="P47:S47" si="79">IFERROR(D47/$C47,0)</f>
        <v>0</v>
      </c>
      <c r="Q47" s="61">
        <f t="shared" si="79"/>
        <v>0</v>
      </c>
      <c r="R47" s="61">
        <f t="shared" si="79"/>
        <v>0</v>
      </c>
      <c r="S47" s="61">
        <f t="shared" si="79"/>
        <v>0</v>
      </c>
      <c r="T47" s="61"/>
      <c r="U47" s="50"/>
      <c r="V47" s="50"/>
      <c r="W47" s="50"/>
      <c r="X47" s="50"/>
      <c r="Y47" s="50"/>
      <c r="Z47" s="50"/>
      <c r="AA47" s="49"/>
    </row>
    <row r="48" ht="15.75" customHeight="1">
      <c r="A48" s="50"/>
      <c r="B48" s="63" t="s">
        <v>119</v>
      </c>
      <c r="C48" s="76">
        <f t="shared" ref="C48:G48" si="80">SUM(C44:C47)</f>
        <v>80300</v>
      </c>
      <c r="D48" s="76">
        <f t="shared" si="80"/>
        <v>122620</v>
      </c>
      <c r="E48" s="76">
        <f t="shared" si="80"/>
        <v>83700</v>
      </c>
      <c r="F48" s="76">
        <f t="shared" si="80"/>
        <v>76520</v>
      </c>
      <c r="G48" s="76">
        <f t="shared" si="80"/>
        <v>58000</v>
      </c>
      <c r="H48" s="50"/>
      <c r="I48" s="65">
        <f t="shared" ref="I48:M48" si="81">C48/C$42</f>
        <v>1.113266785</v>
      </c>
      <c r="J48" s="66">
        <f t="shared" si="81"/>
        <v>1.526072289</v>
      </c>
      <c r="K48" s="66">
        <f t="shared" si="81"/>
        <v>0.2608044881</v>
      </c>
      <c r="L48" s="66">
        <f t="shared" si="81"/>
        <v>0.2180211893</v>
      </c>
      <c r="M48" s="67">
        <f t="shared" si="81"/>
        <v>0.18022182</v>
      </c>
      <c r="N48" s="50"/>
      <c r="O48" s="68">
        <f t="shared" si="74"/>
        <v>1</v>
      </c>
      <c r="P48" s="69">
        <f t="shared" ref="P48:S48" si="82">IFERROR(D48/$C48,0)</f>
        <v>1.527023661</v>
      </c>
      <c r="Q48" s="69">
        <f t="shared" si="82"/>
        <v>1.04234122</v>
      </c>
      <c r="R48" s="69">
        <f t="shared" si="82"/>
        <v>0.9529265255</v>
      </c>
      <c r="S48" s="70">
        <f t="shared" si="82"/>
        <v>0.7222914072</v>
      </c>
      <c r="T48" s="61"/>
      <c r="U48" s="63"/>
      <c r="V48" s="64"/>
      <c r="W48" s="64"/>
      <c r="X48" s="64"/>
      <c r="Y48" s="64"/>
      <c r="Z48" s="64"/>
      <c r="AA48" s="49"/>
    </row>
    <row r="49" ht="15.75" customHeight="1">
      <c r="A49" s="50"/>
      <c r="B49" s="63"/>
      <c r="C49" s="64"/>
      <c r="D49" s="64"/>
      <c r="E49" s="64"/>
      <c r="F49" s="64"/>
      <c r="G49" s="64"/>
      <c r="H49" s="50"/>
      <c r="I49" s="50"/>
      <c r="J49" s="50"/>
      <c r="K49" s="50"/>
      <c r="L49" s="50"/>
      <c r="M49" s="50"/>
      <c r="N49" s="50"/>
      <c r="O49" s="61"/>
      <c r="P49" s="61"/>
      <c r="Q49" s="61"/>
      <c r="R49" s="61"/>
      <c r="S49" s="61"/>
      <c r="T49" s="61"/>
      <c r="U49" s="63"/>
      <c r="V49" s="64"/>
      <c r="W49" s="64"/>
      <c r="X49" s="64"/>
      <c r="Y49" s="64"/>
      <c r="Z49" s="64"/>
      <c r="AA49" s="49"/>
    </row>
    <row r="50" ht="15.75" customHeight="1">
      <c r="A50" s="50"/>
      <c r="B50" s="50" t="s">
        <v>120</v>
      </c>
      <c r="C50" s="50">
        <v>0.0</v>
      </c>
      <c r="D50" s="50">
        <v>0.0</v>
      </c>
      <c r="E50" s="50">
        <v>250000.0</v>
      </c>
      <c r="F50" s="50">
        <v>200000.0</v>
      </c>
      <c r="G50" s="98">
        <v>135320.56585321383</v>
      </c>
      <c r="H50" s="50"/>
      <c r="I50" s="60">
        <f t="shared" ref="I50:M50" si="83">C50/C$42</f>
        <v>0</v>
      </c>
      <c r="J50" s="60">
        <f t="shared" si="83"/>
        <v>0</v>
      </c>
      <c r="K50" s="60">
        <f t="shared" si="83"/>
        <v>0.7789859261</v>
      </c>
      <c r="L50" s="60">
        <f t="shared" si="83"/>
        <v>0.5698410594</v>
      </c>
      <c r="M50" s="60">
        <f t="shared" si="83"/>
        <v>0.4204779079</v>
      </c>
      <c r="N50" s="50"/>
      <c r="O50" s="61">
        <f>IFERROR(C50/C50,0)</f>
        <v>0</v>
      </c>
      <c r="P50" s="61">
        <f t="shared" ref="P50:S50" si="84">IFERROR(D50/$C50,0)</f>
        <v>0</v>
      </c>
      <c r="Q50" s="61">
        <f t="shared" si="84"/>
        <v>0</v>
      </c>
      <c r="R50" s="61">
        <f t="shared" si="84"/>
        <v>0</v>
      </c>
      <c r="S50" s="61">
        <f t="shared" si="84"/>
        <v>0</v>
      </c>
      <c r="T50" s="61"/>
      <c r="U50" s="50"/>
      <c r="V50" s="50"/>
      <c r="W50" s="50"/>
      <c r="X50" s="50"/>
      <c r="Y50" s="50"/>
      <c r="Z50" s="50"/>
      <c r="AA50" s="49"/>
    </row>
    <row r="51" ht="15.75" customHeight="1">
      <c r="A51" s="50"/>
      <c r="B51" s="63"/>
      <c r="C51" s="74"/>
      <c r="D51" s="74"/>
      <c r="E51" s="74"/>
      <c r="F51" s="74"/>
      <c r="G51" s="74"/>
      <c r="H51" s="50"/>
      <c r="I51" s="75"/>
      <c r="J51" s="75"/>
      <c r="K51" s="75"/>
      <c r="L51" s="75"/>
      <c r="M51" s="75"/>
      <c r="N51" s="50"/>
      <c r="O51" s="61"/>
      <c r="P51" s="61"/>
      <c r="Q51" s="61"/>
      <c r="R51" s="61"/>
      <c r="S51" s="61"/>
      <c r="T51" s="61"/>
      <c r="U51" s="63"/>
      <c r="V51" s="64"/>
      <c r="W51" s="64"/>
      <c r="X51" s="64"/>
      <c r="Y51" s="64"/>
      <c r="Z51" s="64"/>
      <c r="AA51" s="49"/>
    </row>
    <row r="52" ht="15.75" customHeight="1">
      <c r="A52" s="50"/>
      <c r="B52" s="63" t="s">
        <v>121</v>
      </c>
      <c r="C52" s="64">
        <f t="shared" ref="C52:G52" si="85">+C50+C48</f>
        <v>80300</v>
      </c>
      <c r="D52" s="64">
        <f t="shared" si="85"/>
        <v>122620</v>
      </c>
      <c r="E52" s="64">
        <f t="shared" si="85"/>
        <v>333700</v>
      </c>
      <c r="F52" s="64">
        <f t="shared" si="85"/>
        <v>276520</v>
      </c>
      <c r="G52" s="64">
        <f t="shared" si="85"/>
        <v>193320.5659</v>
      </c>
      <c r="H52" s="50"/>
      <c r="I52" s="65">
        <f t="shared" ref="I52:M52" si="86">C52/C$42</f>
        <v>1.113266785</v>
      </c>
      <c r="J52" s="66">
        <f t="shared" si="86"/>
        <v>1.526072289</v>
      </c>
      <c r="K52" s="66">
        <f t="shared" si="86"/>
        <v>1.039790414</v>
      </c>
      <c r="L52" s="66">
        <f t="shared" si="86"/>
        <v>0.7878622487</v>
      </c>
      <c r="M52" s="67">
        <f t="shared" si="86"/>
        <v>0.6006997278</v>
      </c>
      <c r="N52" s="50"/>
      <c r="O52" s="68">
        <f>IFERROR(C52/C52,0)</f>
        <v>1</v>
      </c>
      <c r="P52" s="69">
        <f t="shared" ref="P52:S52" si="87">IFERROR(D52/$C52,0)</f>
        <v>1.527023661</v>
      </c>
      <c r="Q52" s="69">
        <f t="shared" si="87"/>
        <v>4.155666252</v>
      </c>
      <c r="R52" s="69">
        <f t="shared" si="87"/>
        <v>3.44358655</v>
      </c>
      <c r="S52" s="70">
        <f t="shared" si="87"/>
        <v>2.407479027</v>
      </c>
      <c r="T52" s="71"/>
      <c r="U52" s="63"/>
      <c r="V52" s="64"/>
      <c r="W52" s="64"/>
      <c r="X52" s="64"/>
      <c r="Y52" s="64"/>
      <c r="Z52" s="64"/>
      <c r="AA52" s="49"/>
    </row>
    <row r="53" ht="15.75" customHeight="1">
      <c r="A53" s="50"/>
      <c r="B53" s="63"/>
      <c r="C53" s="64"/>
      <c r="D53" s="64"/>
      <c r="E53" s="64"/>
      <c r="F53" s="64"/>
      <c r="G53" s="64"/>
      <c r="H53" s="50"/>
      <c r="I53" s="75"/>
      <c r="J53" s="75"/>
      <c r="K53" s="75"/>
      <c r="L53" s="75"/>
      <c r="M53" s="75"/>
      <c r="N53" s="50"/>
      <c r="O53" s="71"/>
      <c r="P53" s="71"/>
      <c r="Q53" s="71"/>
      <c r="R53" s="71"/>
      <c r="S53" s="71"/>
      <c r="T53" s="71"/>
      <c r="U53" s="63"/>
      <c r="V53" s="64"/>
      <c r="W53" s="64"/>
      <c r="X53" s="64"/>
      <c r="Y53" s="64"/>
      <c r="Z53" s="64"/>
      <c r="AA53" s="49"/>
    </row>
    <row r="54" ht="15.75" customHeight="1">
      <c r="A54" s="50"/>
      <c r="B54" s="50" t="s">
        <v>122</v>
      </c>
      <c r="C54" s="50">
        <v>3000.06</v>
      </c>
      <c r="D54" s="50">
        <v>3000.06</v>
      </c>
      <c r="E54" s="50">
        <v>3000.06</v>
      </c>
      <c r="F54" s="50">
        <v>3000.06</v>
      </c>
      <c r="G54" s="50">
        <v>3000.06</v>
      </c>
      <c r="H54" s="50"/>
      <c r="I54" s="60">
        <f t="shared" ref="I54:M54" si="88">C54/C$42</f>
        <v>0.04159236801</v>
      </c>
      <c r="J54" s="60">
        <f t="shared" si="88"/>
        <v>0.037337371</v>
      </c>
      <c r="K54" s="60">
        <f t="shared" si="88"/>
        <v>0.00934801807</v>
      </c>
      <c r="L54" s="60">
        <f t="shared" si="88"/>
        <v>0.008547786843</v>
      </c>
      <c r="M54" s="60">
        <f t="shared" si="88"/>
        <v>0.00932200471</v>
      </c>
      <c r="N54" s="50"/>
      <c r="O54" s="61">
        <f t="shared" ref="O54:O58" si="91">IFERROR(C54/C54,0)</f>
        <v>1</v>
      </c>
      <c r="P54" s="61">
        <f t="shared" ref="P54:S54" si="89">IFERROR(D54/$C54,0)</f>
        <v>1</v>
      </c>
      <c r="Q54" s="61">
        <f t="shared" si="89"/>
        <v>1</v>
      </c>
      <c r="R54" s="61">
        <f t="shared" si="89"/>
        <v>1</v>
      </c>
      <c r="S54" s="61">
        <f t="shared" si="89"/>
        <v>1</v>
      </c>
      <c r="T54" s="61"/>
      <c r="U54" s="50"/>
      <c r="V54" s="50"/>
      <c r="W54" s="50"/>
      <c r="X54" s="50"/>
      <c r="Y54" s="50"/>
      <c r="Z54" s="50"/>
      <c r="AA54" s="49"/>
    </row>
    <row r="55" ht="15.75" customHeight="1">
      <c r="A55" s="50"/>
      <c r="B55" s="50" t="s">
        <v>123</v>
      </c>
      <c r="C55" s="50">
        <v>800.0</v>
      </c>
      <c r="D55" s="50">
        <v>800.0</v>
      </c>
      <c r="E55" s="50">
        <v>800.0</v>
      </c>
      <c r="F55" s="50">
        <v>800.0</v>
      </c>
      <c r="G55" s="50">
        <v>800.0</v>
      </c>
      <c r="H55" s="50"/>
      <c r="I55" s="60">
        <f t="shared" ref="I55:M55" si="90">C55/C$42</f>
        <v>0.01109107631</v>
      </c>
      <c r="J55" s="60">
        <f t="shared" si="90"/>
        <v>0.009956433138</v>
      </c>
      <c r="K55" s="60">
        <f t="shared" si="90"/>
        <v>0.002492754963</v>
      </c>
      <c r="L55" s="60">
        <f t="shared" si="90"/>
        <v>0.002279364237</v>
      </c>
      <c r="M55" s="60">
        <f t="shared" si="90"/>
        <v>0.002485818206</v>
      </c>
      <c r="N55" s="50"/>
      <c r="O55" s="61">
        <f t="shared" si="91"/>
        <v>1</v>
      </c>
      <c r="P55" s="61">
        <f t="shared" ref="P55:S55" si="92">IFERROR(D55/$C55,0)</f>
        <v>1</v>
      </c>
      <c r="Q55" s="61">
        <f t="shared" si="92"/>
        <v>1</v>
      </c>
      <c r="R55" s="61">
        <f t="shared" si="92"/>
        <v>1</v>
      </c>
      <c r="S55" s="61">
        <f t="shared" si="92"/>
        <v>1</v>
      </c>
      <c r="T55" s="61"/>
      <c r="U55" s="50"/>
      <c r="V55" s="50"/>
      <c r="W55" s="50"/>
      <c r="X55" s="50"/>
      <c r="Y55" s="50"/>
      <c r="Z55" s="50"/>
      <c r="AA55" s="49"/>
    </row>
    <row r="56" ht="15.75" customHeight="1">
      <c r="A56" s="50"/>
      <c r="B56" s="50" t="s">
        <v>124</v>
      </c>
      <c r="C56" s="50">
        <v>0.0</v>
      </c>
      <c r="D56" s="50">
        <f t="shared" ref="D56:G56" si="93">+C56+C57</f>
        <v>-11970</v>
      </c>
      <c r="E56" s="50">
        <f t="shared" si="93"/>
        <v>-46070</v>
      </c>
      <c r="F56" s="50">
        <f t="shared" si="93"/>
        <v>-16570</v>
      </c>
      <c r="G56" s="50">
        <f t="shared" si="93"/>
        <v>70655</v>
      </c>
      <c r="H56" s="50"/>
      <c r="I56" s="60">
        <f t="shared" ref="I56:M56" si="94">C56/C$42</f>
        <v>0</v>
      </c>
      <c r="J56" s="60">
        <f t="shared" si="94"/>
        <v>-0.1489731308</v>
      </c>
      <c r="K56" s="60">
        <f t="shared" si="94"/>
        <v>-0.1435515265</v>
      </c>
      <c r="L56" s="60">
        <f t="shared" si="94"/>
        <v>-0.04721133177</v>
      </c>
      <c r="M56" s="60">
        <f t="shared" si="94"/>
        <v>0.2195443567</v>
      </c>
      <c r="N56" s="50"/>
      <c r="O56" s="61">
        <f t="shared" si="91"/>
        <v>0</v>
      </c>
      <c r="P56" s="61">
        <f t="shared" ref="P56:S56" si="95">IFERROR(D56/$C56,0)</f>
        <v>0</v>
      </c>
      <c r="Q56" s="61">
        <f t="shared" si="95"/>
        <v>0</v>
      </c>
      <c r="R56" s="61">
        <f t="shared" si="95"/>
        <v>0</v>
      </c>
      <c r="S56" s="61">
        <f t="shared" si="95"/>
        <v>0</v>
      </c>
      <c r="T56" s="61"/>
      <c r="U56" s="50"/>
      <c r="V56" s="50"/>
      <c r="W56" s="50"/>
      <c r="X56" s="50"/>
      <c r="Y56" s="50"/>
      <c r="Z56" s="50"/>
      <c r="AA56" s="49"/>
    </row>
    <row r="57" ht="15.75" customHeight="1">
      <c r="A57" s="50"/>
      <c r="B57" s="50" t="s">
        <v>125</v>
      </c>
      <c r="C57" s="62">
        <f t="shared" ref="C57:G57" si="96">+C27</f>
        <v>-11970</v>
      </c>
      <c r="D57" s="62">
        <f t="shared" si="96"/>
        <v>-34100</v>
      </c>
      <c r="E57" s="62">
        <f t="shared" si="96"/>
        <v>29500</v>
      </c>
      <c r="F57" s="62">
        <f t="shared" si="96"/>
        <v>87225</v>
      </c>
      <c r="G57" s="62">
        <f t="shared" si="96"/>
        <v>54050</v>
      </c>
      <c r="H57" s="50"/>
      <c r="I57" s="60">
        <f t="shared" ref="I57:M57" si="97">C57/C$42</f>
        <v>-0.1659502293</v>
      </c>
      <c r="J57" s="60">
        <f t="shared" si="97"/>
        <v>-0.4243929625</v>
      </c>
      <c r="K57" s="60">
        <f t="shared" si="97"/>
        <v>0.09192033928</v>
      </c>
      <c r="L57" s="60">
        <f t="shared" si="97"/>
        <v>0.248521932</v>
      </c>
      <c r="M57" s="60">
        <f t="shared" si="97"/>
        <v>0.1679480926</v>
      </c>
      <c r="N57" s="50"/>
      <c r="O57" s="61">
        <f t="shared" si="91"/>
        <v>1</v>
      </c>
      <c r="P57" s="61">
        <f t="shared" ref="P57:S57" si="98">IFERROR(D57/$C57,0)</f>
        <v>2.848788638</v>
      </c>
      <c r="Q57" s="61">
        <f t="shared" si="98"/>
        <v>-2.46449457</v>
      </c>
      <c r="R57" s="61">
        <f t="shared" si="98"/>
        <v>-7.286967419</v>
      </c>
      <c r="S57" s="61">
        <f t="shared" si="98"/>
        <v>-4.515455305</v>
      </c>
      <c r="T57" s="61"/>
      <c r="U57" s="50"/>
      <c r="V57" s="50"/>
      <c r="W57" s="50"/>
      <c r="X57" s="50"/>
      <c r="Y57" s="50"/>
      <c r="Z57" s="50"/>
      <c r="AA57" s="49"/>
    </row>
    <row r="58" ht="15.75" customHeight="1">
      <c r="A58" s="50"/>
      <c r="B58" s="63" t="s">
        <v>126</v>
      </c>
      <c r="C58" s="64">
        <f t="shared" ref="C58:G58" si="99">SUM(C54:C57)</f>
        <v>-8169.94</v>
      </c>
      <c r="D58" s="64">
        <f t="shared" si="99"/>
        <v>-42269.94</v>
      </c>
      <c r="E58" s="64">
        <f t="shared" si="99"/>
        <v>-12769.94</v>
      </c>
      <c r="F58" s="64">
        <f t="shared" si="99"/>
        <v>74455.06</v>
      </c>
      <c r="G58" s="64">
        <f t="shared" si="99"/>
        <v>128505.06</v>
      </c>
      <c r="H58" s="50"/>
      <c r="I58" s="65">
        <f t="shared" ref="I58:M58" si="100">C58/C$42</f>
        <v>-0.113266785</v>
      </c>
      <c r="J58" s="66">
        <f t="shared" si="100"/>
        <v>-0.5260722892</v>
      </c>
      <c r="K58" s="66">
        <f t="shared" si="100"/>
        <v>-0.03979041415</v>
      </c>
      <c r="L58" s="66">
        <f t="shared" si="100"/>
        <v>0.2121377513</v>
      </c>
      <c r="M58" s="67">
        <f t="shared" si="100"/>
        <v>0.3993002722</v>
      </c>
      <c r="N58" s="50"/>
      <c r="O58" s="68">
        <f t="shared" si="91"/>
        <v>1</v>
      </c>
      <c r="P58" s="69">
        <f t="shared" ref="P58:S58" si="101">IFERROR(D58/$C58,0)</f>
        <v>5.173837262</v>
      </c>
      <c r="Q58" s="69">
        <f t="shared" si="101"/>
        <v>1.563039631</v>
      </c>
      <c r="R58" s="69">
        <f t="shared" si="101"/>
        <v>-9.113293366</v>
      </c>
      <c r="S58" s="70">
        <f t="shared" si="101"/>
        <v>-15.72900903</v>
      </c>
      <c r="T58" s="71"/>
      <c r="U58" s="63"/>
      <c r="V58" s="64"/>
      <c r="W58" s="64"/>
      <c r="X58" s="64"/>
      <c r="Y58" s="64"/>
      <c r="Z58" s="64"/>
      <c r="AA58" s="49"/>
    </row>
    <row r="59" ht="15.75" customHeight="1">
      <c r="A59" s="50"/>
      <c r="B59" s="63"/>
      <c r="C59" s="64"/>
      <c r="D59" s="64"/>
      <c r="E59" s="64"/>
      <c r="F59" s="64"/>
      <c r="G59" s="64"/>
      <c r="H59" s="50"/>
      <c r="I59" s="75"/>
      <c r="J59" s="75"/>
      <c r="K59" s="75"/>
      <c r="L59" s="75"/>
      <c r="M59" s="75"/>
      <c r="N59" s="50"/>
      <c r="O59" s="61"/>
      <c r="P59" s="61"/>
      <c r="Q59" s="61"/>
      <c r="R59" s="61"/>
      <c r="S59" s="61"/>
      <c r="T59" s="61"/>
      <c r="U59" s="63"/>
      <c r="V59" s="64"/>
      <c r="W59" s="64"/>
      <c r="X59" s="64"/>
      <c r="Y59" s="64"/>
      <c r="Z59" s="64"/>
      <c r="AA59" s="49"/>
    </row>
    <row r="60" ht="15.75" customHeight="1">
      <c r="A60" s="50"/>
      <c r="B60" s="63" t="s">
        <v>127</v>
      </c>
      <c r="C60" s="72">
        <f t="shared" ref="C60:G60" si="102">+C58+C52</f>
        <v>72130.06</v>
      </c>
      <c r="D60" s="72">
        <f t="shared" si="102"/>
        <v>80350.06</v>
      </c>
      <c r="E60" s="72">
        <f t="shared" si="102"/>
        <v>320930.06</v>
      </c>
      <c r="F60" s="72">
        <f t="shared" si="102"/>
        <v>350975.06</v>
      </c>
      <c r="G60" s="72">
        <f t="shared" si="102"/>
        <v>321825.6259</v>
      </c>
      <c r="H60" s="50"/>
      <c r="I60" s="65">
        <f t="shared" ref="I60:M60" si="103">C60/C$42</f>
        <v>1</v>
      </c>
      <c r="J60" s="66">
        <f t="shared" si="103"/>
        <v>1</v>
      </c>
      <c r="K60" s="66">
        <f t="shared" si="103"/>
        <v>1</v>
      </c>
      <c r="L60" s="66">
        <f t="shared" si="103"/>
        <v>1</v>
      </c>
      <c r="M60" s="67">
        <f t="shared" si="103"/>
        <v>1</v>
      </c>
      <c r="N60" s="50"/>
      <c r="O60" s="68">
        <f>IFERROR(C60/C60,0)</f>
        <v>1</v>
      </c>
      <c r="P60" s="69">
        <f t="shared" ref="P60:S60" si="104">IFERROR(D60/$C60,0)</f>
        <v>1.113960809</v>
      </c>
      <c r="Q60" s="69">
        <f t="shared" si="104"/>
        <v>4.449324734</v>
      </c>
      <c r="R60" s="69">
        <f t="shared" si="104"/>
        <v>4.865863969</v>
      </c>
      <c r="S60" s="70">
        <f t="shared" si="104"/>
        <v>4.46174072</v>
      </c>
      <c r="T60" s="71"/>
      <c r="U60" s="63"/>
      <c r="V60" s="64"/>
      <c r="W60" s="64"/>
      <c r="X60" s="64"/>
      <c r="Y60" s="64"/>
      <c r="Z60" s="64"/>
      <c r="AA60" s="49"/>
    </row>
    <row r="61" ht="15.75" customHeight="1">
      <c r="A61" s="50"/>
      <c r="B61" s="50"/>
      <c r="C61" s="77">
        <f t="shared" ref="C61:G61" si="105">+C60-C42</f>
        <v>0</v>
      </c>
      <c r="D61" s="77">
        <f t="shared" si="105"/>
        <v>0</v>
      </c>
      <c r="E61" s="77">
        <f t="shared" si="105"/>
        <v>0</v>
      </c>
      <c r="F61" s="77">
        <f t="shared" si="105"/>
        <v>0</v>
      </c>
      <c r="G61" s="77">
        <f t="shared" si="105"/>
        <v>0</v>
      </c>
      <c r="H61" s="50"/>
      <c r="I61" s="64"/>
      <c r="J61" s="64"/>
      <c r="K61" s="64"/>
      <c r="L61" s="64"/>
      <c r="M61" s="64"/>
      <c r="N61" s="50"/>
      <c r="O61" s="50"/>
      <c r="P61" s="50"/>
      <c r="Q61" s="50"/>
      <c r="R61" s="50"/>
      <c r="S61" s="50"/>
      <c r="T61" s="50"/>
      <c r="U61" s="50"/>
      <c r="V61" s="77"/>
      <c r="W61" s="77"/>
      <c r="X61" s="77"/>
      <c r="Y61" s="77"/>
      <c r="Z61" s="77"/>
      <c r="AA61" s="49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49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49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49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49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49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49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49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49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49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49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49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mergeCells count="5">
    <mergeCell ref="B5:C7"/>
    <mergeCell ref="C13:G13"/>
    <mergeCell ref="I13:M13"/>
    <mergeCell ref="O13:S13"/>
    <mergeCell ref="V13:Z1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35.7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5.6"/>
    <col customWidth="1" min="22" max="22" width="9.0"/>
    <col customWidth="1" min="23" max="26" width="9.6"/>
    <col customWidth="1" min="27" max="39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</row>
    <row r="3">
      <c r="A3" s="50"/>
      <c r="B3" s="7" t="s">
        <v>164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</row>
    <row r="5" ht="15.0" customHeight="1">
      <c r="A5" s="50"/>
      <c r="B5" s="9" t="s">
        <v>165</v>
      </c>
      <c r="C5" s="10"/>
      <c r="D5" s="11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</row>
    <row r="6">
      <c r="A6" s="50"/>
      <c r="B6" s="15"/>
      <c r="D6" s="16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</row>
    <row r="7">
      <c r="A7" s="50"/>
      <c r="B7" s="12"/>
      <c r="C7" s="13"/>
      <c r="D7" s="14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3">+C15/C$15</f>
        <v>1</v>
      </c>
      <c r="J15" s="60">
        <f t="shared" si="3"/>
        <v>1</v>
      </c>
      <c r="K15" s="60">
        <f t="shared" si="3"/>
        <v>1</v>
      </c>
      <c r="L15" s="60">
        <f t="shared" si="3"/>
        <v>1</v>
      </c>
      <c r="M15" s="60">
        <f t="shared" si="3"/>
        <v>1</v>
      </c>
      <c r="N15" s="50"/>
      <c r="O15" s="61">
        <f t="shared" ref="O15:O27" si="6">IFERROR(C15/C15,0)</f>
        <v>1</v>
      </c>
      <c r="P15" s="61">
        <f t="shared" ref="P15:S15" si="4">IFERROR(D15/$C15,0)</f>
        <v>1.266666667</v>
      </c>
      <c r="Q15" s="61">
        <f t="shared" si="4"/>
        <v>2.1</v>
      </c>
      <c r="R15" s="61">
        <f t="shared" si="4"/>
        <v>2.533333333</v>
      </c>
      <c r="S15" s="61">
        <f t="shared" si="4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5">+C16/C$15</f>
        <v>-0.5733333333</v>
      </c>
      <c r="J16" s="60">
        <f t="shared" si="5"/>
        <v>-0.6315789474</v>
      </c>
      <c r="K16" s="60">
        <f t="shared" si="5"/>
        <v>-0.4285714286</v>
      </c>
      <c r="L16" s="60">
        <f t="shared" si="5"/>
        <v>-0.3631578947</v>
      </c>
      <c r="M16" s="60">
        <f t="shared" si="5"/>
        <v>-0.4411764706</v>
      </c>
      <c r="N16" s="50"/>
      <c r="O16" s="61">
        <f t="shared" si="6"/>
        <v>1</v>
      </c>
      <c r="P16" s="61">
        <f t="shared" ref="P16:S16" si="7">IFERROR(D16/$C16,0)</f>
        <v>1.395348837</v>
      </c>
      <c r="Q16" s="61">
        <f t="shared" si="7"/>
        <v>1.569767442</v>
      </c>
      <c r="R16" s="61">
        <f t="shared" si="7"/>
        <v>1.604651163</v>
      </c>
      <c r="S16" s="61">
        <f t="shared" si="7"/>
        <v>3.488372093</v>
      </c>
      <c r="T16" s="61"/>
      <c r="U16" s="50" t="s">
        <v>92</v>
      </c>
      <c r="V16" s="50">
        <f t="shared" ref="V16:Z16" si="8">-V15*V4</f>
        <v>-403920</v>
      </c>
      <c r="W16" s="50">
        <f t="shared" si="8"/>
        <v>-545292</v>
      </c>
      <c r="X16" s="50">
        <f t="shared" si="8"/>
        <v>-702683.1</v>
      </c>
      <c r="Y16" s="50">
        <f t="shared" si="8"/>
        <v>-948622.185</v>
      </c>
      <c r="Z16" s="50">
        <f t="shared" si="8"/>
        <v>-1280639.95</v>
      </c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9">+C17/C$15</f>
        <v>-0.06</v>
      </c>
      <c r="J17" s="96">
        <f t="shared" si="9"/>
        <v>-0.06315789474</v>
      </c>
      <c r="K17" s="96">
        <f t="shared" si="9"/>
        <v>-0.05238095238</v>
      </c>
      <c r="L17" s="96">
        <f t="shared" si="9"/>
        <v>-0.05657894737</v>
      </c>
      <c r="M17" s="96">
        <f t="shared" si="9"/>
        <v>-0.05661764706</v>
      </c>
      <c r="N17" s="50"/>
      <c r="O17" s="97">
        <f t="shared" si="6"/>
        <v>1</v>
      </c>
      <c r="P17" s="97">
        <f t="shared" ref="P17:S17" si="10">IFERROR(D17/$C17,0)</f>
        <v>1.333333333</v>
      </c>
      <c r="Q17" s="97">
        <f t="shared" si="10"/>
        <v>1.833333333</v>
      </c>
      <c r="R17" s="97">
        <f t="shared" si="10"/>
        <v>2.388888889</v>
      </c>
      <c r="S17" s="97">
        <f t="shared" si="10"/>
        <v>4.277777778</v>
      </c>
      <c r="T17" s="61"/>
      <c r="U17" s="50" t="s">
        <v>93</v>
      </c>
      <c r="V17" s="62">
        <f t="shared" ref="V17:Z17" si="11">-V15*6%*(1+V5)</f>
        <v>-60588</v>
      </c>
      <c r="W17" s="62">
        <f t="shared" si="11"/>
        <v>-85511.7</v>
      </c>
      <c r="X17" s="62">
        <f t="shared" si="11"/>
        <v>-115440.795</v>
      </c>
      <c r="Y17" s="62">
        <f t="shared" si="11"/>
        <v>-162620.946</v>
      </c>
      <c r="Z17" s="62">
        <f t="shared" si="11"/>
        <v>-228685.7053</v>
      </c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</row>
    <row r="18">
      <c r="A18" s="50"/>
      <c r="B18" s="63" t="s">
        <v>94</v>
      </c>
      <c r="C18" s="64">
        <f t="shared" ref="C18:G18" si="12">SUM(C15:C17)</f>
        <v>55000</v>
      </c>
      <c r="D18" s="64">
        <f t="shared" si="12"/>
        <v>58000</v>
      </c>
      <c r="E18" s="64">
        <f t="shared" si="12"/>
        <v>163500</v>
      </c>
      <c r="F18" s="64">
        <f t="shared" si="12"/>
        <v>220500</v>
      </c>
      <c r="G18" s="64">
        <f t="shared" si="12"/>
        <v>341500</v>
      </c>
      <c r="H18" s="50"/>
      <c r="I18" s="65">
        <f t="shared" ref="I18:M18" si="13">+C18/C$15</f>
        <v>0.3666666667</v>
      </c>
      <c r="J18" s="66">
        <f t="shared" si="13"/>
        <v>0.3052631579</v>
      </c>
      <c r="K18" s="66">
        <f t="shared" si="13"/>
        <v>0.519047619</v>
      </c>
      <c r="L18" s="66">
        <f t="shared" si="13"/>
        <v>0.5802631579</v>
      </c>
      <c r="M18" s="67">
        <f t="shared" si="13"/>
        <v>0.5022058824</v>
      </c>
      <c r="N18" s="50"/>
      <c r="O18" s="68">
        <f t="shared" si="6"/>
        <v>1</v>
      </c>
      <c r="P18" s="69">
        <f t="shared" ref="P18:S18" si="14">IFERROR(D18/$C18,0)</f>
        <v>1.054545455</v>
      </c>
      <c r="Q18" s="69">
        <f t="shared" si="14"/>
        <v>2.972727273</v>
      </c>
      <c r="R18" s="69">
        <f t="shared" si="14"/>
        <v>4.009090909</v>
      </c>
      <c r="S18" s="70">
        <f t="shared" si="14"/>
        <v>6.209090909</v>
      </c>
      <c r="T18" s="61"/>
      <c r="U18" s="63" t="s">
        <v>94</v>
      </c>
      <c r="V18" s="64">
        <f t="shared" ref="V18:Z18" si="15">SUM(V15:V17)</f>
        <v>453492</v>
      </c>
      <c r="W18" s="64">
        <f t="shared" si="15"/>
        <v>608496.3</v>
      </c>
      <c r="X18" s="64">
        <f t="shared" si="15"/>
        <v>854931.105</v>
      </c>
      <c r="Y18" s="64">
        <f t="shared" si="15"/>
        <v>1147381.119</v>
      </c>
      <c r="Z18" s="64">
        <f t="shared" si="15"/>
        <v>1539817.082</v>
      </c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16">+C19/C$15</f>
        <v>-0.16</v>
      </c>
      <c r="J19" s="60">
        <f t="shared" si="16"/>
        <v>-0.1552631579</v>
      </c>
      <c r="K19" s="60">
        <f t="shared" si="16"/>
        <v>-0.1580952381</v>
      </c>
      <c r="L19" s="60">
        <f t="shared" si="16"/>
        <v>-0.1592105263</v>
      </c>
      <c r="M19" s="60">
        <f t="shared" si="16"/>
        <v>-0.1588235294</v>
      </c>
      <c r="N19" s="50"/>
      <c r="O19" s="61">
        <f t="shared" si="6"/>
        <v>1</v>
      </c>
      <c r="P19" s="61">
        <f t="shared" ref="P19:S19" si="17">IFERROR(D19/$C19,0)</f>
        <v>1.229166667</v>
      </c>
      <c r="Q19" s="61">
        <f t="shared" si="17"/>
        <v>2.075</v>
      </c>
      <c r="R19" s="61">
        <f t="shared" si="17"/>
        <v>2.520833333</v>
      </c>
      <c r="S19" s="61">
        <f t="shared" si="17"/>
        <v>4.5</v>
      </c>
      <c r="T19" s="61"/>
      <c r="U19" s="50" t="s">
        <v>95</v>
      </c>
      <c r="V19" s="50">
        <f>G19*(1+V5)</f>
        <v>-118800</v>
      </c>
      <c r="W19" s="50">
        <f t="shared" ref="W19:Z19" si="18">+V19*(1+W5)</f>
        <v>-136620</v>
      </c>
      <c r="X19" s="50">
        <f t="shared" si="18"/>
        <v>-157113</v>
      </c>
      <c r="Y19" s="50">
        <f t="shared" si="18"/>
        <v>-188535.6</v>
      </c>
      <c r="Z19" s="50">
        <f t="shared" si="18"/>
        <v>-235669.5</v>
      </c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19">+C20/C$15</f>
        <v>-0.08</v>
      </c>
      <c r="J20" s="60">
        <f t="shared" si="19"/>
        <v>-0.09210526316</v>
      </c>
      <c r="K20" s="60">
        <f t="shared" si="19"/>
        <v>-0.09682539683</v>
      </c>
      <c r="L20" s="60">
        <f t="shared" si="19"/>
        <v>-0.09473684211</v>
      </c>
      <c r="M20" s="60">
        <f t="shared" si="19"/>
        <v>-0.09926470588</v>
      </c>
      <c r="N20" s="50"/>
      <c r="O20" s="61">
        <f t="shared" si="6"/>
        <v>1</v>
      </c>
      <c r="P20" s="61">
        <f t="shared" ref="P20:S20" si="20">IFERROR(D20/$C20,0)</f>
        <v>1.458333333</v>
      </c>
      <c r="Q20" s="61">
        <f t="shared" si="20"/>
        <v>2.541666667</v>
      </c>
      <c r="R20" s="61">
        <f t="shared" si="20"/>
        <v>3</v>
      </c>
      <c r="S20" s="61">
        <f t="shared" si="20"/>
        <v>5.625</v>
      </c>
      <c r="T20" s="61"/>
      <c r="U20" s="50" t="s">
        <v>96</v>
      </c>
      <c r="V20" s="50">
        <f>+G20*(1+V6)</f>
        <v>-74250</v>
      </c>
      <c r="W20" s="50">
        <f t="shared" ref="W20:Z20" si="21">+V20*(1+W6)</f>
        <v>-85387.5</v>
      </c>
      <c r="X20" s="50">
        <f t="shared" si="21"/>
        <v>-98195.625</v>
      </c>
      <c r="Y20" s="50">
        <f t="shared" si="21"/>
        <v>-117834.75</v>
      </c>
      <c r="Z20" s="50">
        <f t="shared" si="21"/>
        <v>-147293.4375</v>
      </c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22">+C21/C$15</f>
        <v>-0.0006666666667</v>
      </c>
      <c r="J21" s="60">
        <f t="shared" si="22"/>
        <v>-0.0006315789474</v>
      </c>
      <c r="K21" s="60">
        <f t="shared" si="22"/>
        <v>-0.003111111111</v>
      </c>
      <c r="L21" s="60">
        <f t="shared" si="22"/>
        <v>-0.002894736842</v>
      </c>
      <c r="M21" s="60">
        <f t="shared" si="22"/>
        <v>-0.002794117647</v>
      </c>
      <c r="N21" s="50"/>
      <c r="O21" s="61">
        <f t="shared" si="6"/>
        <v>1</v>
      </c>
      <c r="P21" s="61">
        <f t="shared" ref="P21:S21" si="23">IFERROR(D21/$C21,0)</f>
        <v>1.2</v>
      </c>
      <c r="Q21" s="61">
        <f t="shared" si="23"/>
        <v>9.8</v>
      </c>
      <c r="R21" s="61">
        <f t="shared" si="23"/>
        <v>11</v>
      </c>
      <c r="S21" s="61">
        <f t="shared" si="23"/>
        <v>19</v>
      </c>
      <c r="T21" s="61"/>
      <c r="U21" s="50" t="s">
        <v>97</v>
      </c>
      <c r="V21" s="50">
        <f t="shared" ref="V21:Z21" si="24">-V15*V7/2</f>
        <v>-4590</v>
      </c>
      <c r="W21" s="50">
        <f t="shared" si="24"/>
        <v>-6196.5</v>
      </c>
      <c r="X21" s="50">
        <f t="shared" si="24"/>
        <v>-8365.275</v>
      </c>
      <c r="Y21" s="50">
        <f t="shared" si="24"/>
        <v>-11293.12125</v>
      </c>
      <c r="Z21" s="50">
        <f t="shared" si="24"/>
        <v>-15245.71369</v>
      </c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25">+C22/C$15</f>
        <v>-0.003466666667</v>
      </c>
      <c r="J22" s="60">
        <f t="shared" si="25"/>
        <v>-0.003578947368</v>
      </c>
      <c r="K22" s="60">
        <f t="shared" si="25"/>
        <v>-0.01022222222</v>
      </c>
      <c r="L22" s="60">
        <f t="shared" si="25"/>
        <v>-0.008947368421</v>
      </c>
      <c r="M22" s="60">
        <f t="shared" si="25"/>
        <v>-0.0075</v>
      </c>
      <c r="N22" s="50"/>
      <c r="O22" s="61">
        <f t="shared" si="6"/>
        <v>1</v>
      </c>
      <c r="P22" s="61">
        <f t="shared" ref="P22:S22" si="26">IFERROR(D22/$C22,0)</f>
        <v>1.307692308</v>
      </c>
      <c r="Q22" s="61">
        <f t="shared" si="26"/>
        <v>6.192307692</v>
      </c>
      <c r="R22" s="61">
        <f t="shared" si="26"/>
        <v>6.538461538</v>
      </c>
      <c r="S22" s="61">
        <f t="shared" si="26"/>
        <v>9.807692308</v>
      </c>
      <c r="T22" s="61"/>
      <c r="U22" s="50" t="s">
        <v>98</v>
      </c>
      <c r="V22" s="62">
        <f t="shared" ref="V22:Z22" si="27">-V15*V7/2</f>
        <v>-4590</v>
      </c>
      <c r="W22" s="62">
        <f t="shared" si="27"/>
        <v>-6196.5</v>
      </c>
      <c r="X22" s="62">
        <f t="shared" si="27"/>
        <v>-8365.275</v>
      </c>
      <c r="Y22" s="62">
        <f t="shared" si="27"/>
        <v>-11293.12125</v>
      </c>
      <c r="Z22" s="62">
        <f t="shared" si="27"/>
        <v>-15245.71369</v>
      </c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</row>
    <row r="23" ht="15.75" customHeight="1">
      <c r="A23" s="50"/>
      <c r="B23" s="63" t="s">
        <v>99</v>
      </c>
      <c r="C23" s="64">
        <f t="shared" ref="C23:G23" si="28">SUM(C18:C22)</f>
        <v>18380</v>
      </c>
      <c r="D23" s="64">
        <f t="shared" si="28"/>
        <v>10200</v>
      </c>
      <c r="E23" s="64">
        <f t="shared" si="28"/>
        <v>79000</v>
      </c>
      <c r="F23" s="64">
        <f t="shared" si="28"/>
        <v>119500</v>
      </c>
      <c r="G23" s="64">
        <f t="shared" si="28"/>
        <v>159000</v>
      </c>
      <c r="H23" s="50"/>
      <c r="I23" s="65">
        <f t="shared" ref="I23:M23" si="29">+C23/C$15</f>
        <v>0.1225333333</v>
      </c>
      <c r="J23" s="66">
        <f t="shared" si="29"/>
        <v>0.05368421053</v>
      </c>
      <c r="K23" s="66">
        <f t="shared" si="29"/>
        <v>0.2507936508</v>
      </c>
      <c r="L23" s="66">
        <f t="shared" si="29"/>
        <v>0.3144736842</v>
      </c>
      <c r="M23" s="67">
        <f t="shared" si="29"/>
        <v>0.2338235294</v>
      </c>
      <c r="N23" s="50"/>
      <c r="O23" s="68">
        <f t="shared" si="6"/>
        <v>1</v>
      </c>
      <c r="P23" s="69">
        <f t="shared" ref="P23:S23" si="30">IFERROR(D23/$C23,0)</f>
        <v>0.5549510337</v>
      </c>
      <c r="Q23" s="69">
        <f t="shared" si="30"/>
        <v>4.298150163</v>
      </c>
      <c r="R23" s="69">
        <f t="shared" si="30"/>
        <v>6.501632209</v>
      </c>
      <c r="S23" s="70">
        <f t="shared" si="30"/>
        <v>8.650707291</v>
      </c>
      <c r="T23" s="71"/>
      <c r="U23" s="63" t="s">
        <v>99</v>
      </c>
      <c r="V23" s="64">
        <f t="shared" ref="V23:Z23" si="31">SUM(V18:V22)</f>
        <v>251262</v>
      </c>
      <c r="W23" s="64">
        <f t="shared" si="31"/>
        <v>374095.8</v>
      </c>
      <c r="X23" s="64">
        <f t="shared" si="31"/>
        <v>582891.93</v>
      </c>
      <c r="Y23" s="64">
        <f t="shared" si="31"/>
        <v>818424.5265</v>
      </c>
      <c r="Z23" s="64">
        <f t="shared" si="31"/>
        <v>1126362.718</v>
      </c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32">+C24/C$15</f>
        <v>-0.005666666667</v>
      </c>
      <c r="J24" s="60">
        <f t="shared" si="32"/>
        <v>-0.006842105263</v>
      </c>
      <c r="K24" s="60">
        <f t="shared" si="32"/>
        <v>-0.007301587302</v>
      </c>
      <c r="L24" s="60">
        <f t="shared" si="32"/>
        <v>-0.008421052632</v>
      </c>
      <c r="M24" s="60">
        <f t="shared" si="32"/>
        <v>-0.00875</v>
      </c>
      <c r="N24" s="50"/>
      <c r="O24" s="61">
        <f t="shared" si="6"/>
        <v>1</v>
      </c>
      <c r="P24" s="61">
        <f t="shared" ref="P24:S24" si="33">IFERROR(D24/$C24,0)</f>
        <v>1.529411765</v>
      </c>
      <c r="Q24" s="61">
        <f t="shared" si="33"/>
        <v>2.705882353</v>
      </c>
      <c r="R24" s="61">
        <f t="shared" si="33"/>
        <v>3.764705882</v>
      </c>
      <c r="S24" s="61">
        <f t="shared" si="33"/>
        <v>7</v>
      </c>
      <c r="T24" s="61"/>
      <c r="U24" s="50" t="s">
        <v>100</v>
      </c>
      <c r="V24" s="62">
        <f>-'TABLAS AMORTIZACION'!K27</f>
        <v>-7719.009913</v>
      </c>
      <c r="W24" s="62">
        <f>-'TABLAS AMORTIZACION'!L27</f>
        <v>-5202.154565</v>
      </c>
      <c r="X24" s="62">
        <f>-'TABLAS AMORTIZACION'!M27</f>
        <v>-4081.096275</v>
      </c>
      <c r="Y24" s="62">
        <f>-'TABLAS AMORTIZACION'!N27</f>
        <v>-4081.096275</v>
      </c>
      <c r="Z24" s="62">
        <f>-'TABLAS AMORTIZACION'!O27</f>
        <v>-4081.096275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</row>
    <row r="25" ht="15.75" customHeight="1">
      <c r="A25" s="50"/>
      <c r="B25" s="63" t="s">
        <v>101</v>
      </c>
      <c r="C25" s="64">
        <f t="shared" ref="C25:G25" si="34">SUM(C23:C24)</f>
        <v>17530</v>
      </c>
      <c r="D25" s="64">
        <f t="shared" si="34"/>
        <v>8900</v>
      </c>
      <c r="E25" s="64">
        <f t="shared" si="34"/>
        <v>76700</v>
      </c>
      <c r="F25" s="64">
        <f t="shared" si="34"/>
        <v>116300</v>
      </c>
      <c r="G25" s="64">
        <f t="shared" si="34"/>
        <v>153050</v>
      </c>
      <c r="H25" s="50"/>
      <c r="I25" s="65">
        <f t="shared" ref="I25:M25" si="35">+C25/C$15</f>
        <v>0.1168666667</v>
      </c>
      <c r="J25" s="66">
        <f t="shared" si="35"/>
        <v>0.04684210526</v>
      </c>
      <c r="K25" s="66">
        <f t="shared" si="35"/>
        <v>0.2434920635</v>
      </c>
      <c r="L25" s="66">
        <f t="shared" si="35"/>
        <v>0.3060526316</v>
      </c>
      <c r="M25" s="67">
        <f t="shared" si="35"/>
        <v>0.2250735294</v>
      </c>
      <c r="N25" s="50"/>
      <c r="O25" s="68">
        <f t="shared" si="6"/>
        <v>1</v>
      </c>
      <c r="P25" s="69">
        <f t="shared" ref="P25:S25" si="36">IFERROR(D25/$C25,0)</f>
        <v>0.5077010839</v>
      </c>
      <c r="Q25" s="69">
        <f t="shared" si="36"/>
        <v>4.375356532</v>
      </c>
      <c r="R25" s="69">
        <f t="shared" si="36"/>
        <v>6.634341129</v>
      </c>
      <c r="S25" s="70">
        <f t="shared" si="36"/>
        <v>8.73074729</v>
      </c>
      <c r="T25" s="71"/>
      <c r="U25" s="63" t="s">
        <v>101</v>
      </c>
      <c r="V25" s="64">
        <f t="shared" ref="V25:Z25" si="37">SUM(V23:V24)</f>
        <v>243542.9901</v>
      </c>
      <c r="W25" s="64">
        <f t="shared" si="37"/>
        <v>368893.6454</v>
      </c>
      <c r="X25" s="64">
        <f t="shared" si="37"/>
        <v>578810.8337</v>
      </c>
      <c r="Y25" s="64">
        <f t="shared" si="37"/>
        <v>814343.4302</v>
      </c>
      <c r="Z25" s="64">
        <f t="shared" si="37"/>
        <v>1122281.621</v>
      </c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38">+C26/C$15</f>
        <v>-0.1966666667</v>
      </c>
      <c r="J26" s="60">
        <f t="shared" si="38"/>
        <v>-0.2263157895</v>
      </c>
      <c r="K26" s="60">
        <f t="shared" si="38"/>
        <v>-0.1498412698</v>
      </c>
      <c r="L26" s="60">
        <f t="shared" si="38"/>
        <v>-0.07651315789</v>
      </c>
      <c r="M26" s="60">
        <f t="shared" si="38"/>
        <v>-0.1455882353</v>
      </c>
      <c r="N26" s="50"/>
      <c r="O26" s="61">
        <f t="shared" si="6"/>
        <v>1</v>
      </c>
      <c r="P26" s="61">
        <f t="shared" ref="P26:S26" si="39">IFERROR(D26/$C26,0)</f>
        <v>1.457627119</v>
      </c>
      <c r="Q26" s="61">
        <f t="shared" si="39"/>
        <v>1.6</v>
      </c>
      <c r="R26" s="61">
        <f t="shared" si="39"/>
        <v>0.9855932203</v>
      </c>
      <c r="S26" s="61">
        <f t="shared" si="39"/>
        <v>3.355932203</v>
      </c>
      <c r="T26" s="61"/>
      <c r="U26" s="50" t="s">
        <v>102</v>
      </c>
      <c r="V26" s="50">
        <f t="shared" ref="V26:Z26" si="40">-V25*V9</f>
        <v>-60885.74752</v>
      </c>
      <c r="W26" s="50">
        <f t="shared" si="40"/>
        <v>-92223.41136</v>
      </c>
      <c r="X26" s="50">
        <f t="shared" si="40"/>
        <v>-144702.7084</v>
      </c>
      <c r="Y26" s="50">
        <f t="shared" si="40"/>
        <v>-203585.8576</v>
      </c>
      <c r="Z26" s="50">
        <f t="shared" si="40"/>
        <v>-280570.4053</v>
      </c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</row>
    <row r="27" ht="15.75" customHeight="1">
      <c r="A27" s="50"/>
      <c r="B27" s="63" t="s">
        <v>103</v>
      </c>
      <c r="C27" s="72">
        <f t="shared" ref="C27:G27" si="41">+C25+C26</f>
        <v>-11970</v>
      </c>
      <c r="D27" s="72">
        <f t="shared" si="41"/>
        <v>-34100</v>
      </c>
      <c r="E27" s="72">
        <f t="shared" si="41"/>
        <v>29500</v>
      </c>
      <c r="F27" s="72">
        <f t="shared" si="41"/>
        <v>87225</v>
      </c>
      <c r="G27" s="72">
        <f t="shared" si="41"/>
        <v>54050</v>
      </c>
      <c r="H27" s="50"/>
      <c r="I27" s="65">
        <f t="shared" ref="I27:M27" si="42">+C27/C$15</f>
        <v>-0.0798</v>
      </c>
      <c r="J27" s="66">
        <f t="shared" si="42"/>
        <v>-0.1794736842</v>
      </c>
      <c r="K27" s="66">
        <f t="shared" si="42"/>
        <v>0.09365079365</v>
      </c>
      <c r="L27" s="66">
        <f t="shared" si="42"/>
        <v>0.2295394737</v>
      </c>
      <c r="M27" s="67">
        <f t="shared" si="42"/>
        <v>0.07948529412</v>
      </c>
      <c r="N27" s="50"/>
      <c r="O27" s="68">
        <f t="shared" si="6"/>
        <v>1</v>
      </c>
      <c r="P27" s="69">
        <f t="shared" ref="P27:S27" si="43">IFERROR(D27/$C27,0)</f>
        <v>2.848788638</v>
      </c>
      <c r="Q27" s="69">
        <f t="shared" si="43"/>
        <v>-2.46449457</v>
      </c>
      <c r="R27" s="69">
        <f t="shared" si="43"/>
        <v>-7.286967419</v>
      </c>
      <c r="S27" s="70">
        <f t="shared" si="43"/>
        <v>-4.515455305</v>
      </c>
      <c r="T27" s="71"/>
      <c r="U27" s="63" t="s">
        <v>103</v>
      </c>
      <c r="V27" s="72">
        <f t="shared" ref="V27:Z27" si="44">+V25+V26</f>
        <v>182657.2426</v>
      </c>
      <c r="W27" s="72">
        <f t="shared" si="44"/>
        <v>276670.2341</v>
      </c>
      <c r="X27" s="72">
        <f t="shared" si="44"/>
        <v>434108.1253</v>
      </c>
      <c r="Y27" s="72">
        <f t="shared" si="44"/>
        <v>610757.5727</v>
      </c>
      <c r="Z27" s="72">
        <f t="shared" si="44"/>
        <v>841711.216</v>
      </c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</row>
    <row r="29" ht="15.75" customHeight="1">
      <c r="A29" s="50"/>
      <c r="B29" s="53" t="s">
        <v>166</v>
      </c>
      <c r="C29" s="73"/>
      <c r="D29" s="73"/>
      <c r="E29" s="73"/>
      <c r="F29" s="73"/>
      <c r="G29" s="73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3" t="s">
        <v>166</v>
      </c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</row>
    <row r="30" ht="15.75" customHeight="1">
      <c r="A30" s="50"/>
      <c r="B30" s="50"/>
      <c r="C30" s="73"/>
      <c r="D30" s="73"/>
      <c r="E30" s="73"/>
      <c r="F30" s="73"/>
      <c r="G30" s="73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</row>
    <row r="31" ht="15.75" customHeight="1">
      <c r="A31" s="50"/>
      <c r="B31" s="120" t="s">
        <v>167</v>
      </c>
      <c r="C31" s="121">
        <f t="shared" ref="C31:G31" si="45">C18/C15</f>
        <v>0.3666666667</v>
      </c>
      <c r="D31" s="121">
        <f t="shared" si="45"/>
        <v>0.3052631579</v>
      </c>
      <c r="E31" s="121">
        <f t="shared" si="45"/>
        <v>0.519047619</v>
      </c>
      <c r="F31" s="121">
        <f t="shared" si="45"/>
        <v>0.5802631579</v>
      </c>
      <c r="G31" s="122">
        <f t="shared" si="45"/>
        <v>0.5022058824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120" t="s">
        <v>167</v>
      </c>
      <c r="V31" s="121">
        <f t="shared" ref="V31:Z31" si="46">V18/V15</f>
        <v>0.494</v>
      </c>
      <c r="W31" s="121">
        <f t="shared" si="46"/>
        <v>0.491</v>
      </c>
      <c r="X31" s="121">
        <f t="shared" si="46"/>
        <v>0.511</v>
      </c>
      <c r="Y31" s="121">
        <f t="shared" si="46"/>
        <v>0.508</v>
      </c>
      <c r="Z31" s="122">
        <f t="shared" si="46"/>
        <v>0.505</v>
      </c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</row>
    <row r="32" ht="15.75" customHeight="1">
      <c r="A32" s="50"/>
      <c r="B32" s="123" t="s">
        <v>99</v>
      </c>
      <c r="C32" s="124">
        <f t="shared" ref="C32:G32" si="47">C23/C15</f>
        <v>0.1225333333</v>
      </c>
      <c r="D32" s="124">
        <f t="shared" si="47"/>
        <v>0.05368421053</v>
      </c>
      <c r="E32" s="124">
        <f t="shared" si="47"/>
        <v>0.2507936508</v>
      </c>
      <c r="F32" s="124">
        <f t="shared" si="47"/>
        <v>0.3144736842</v>
      </c>
      <c r="G32" s="125">
        <f t="shared" si="47"/>
        <v>0.2338235294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123" t="s">
        <v>99</v>
      </c>
      <c r="V32" s="124">
        <f t="shared" ref="V32:Z32" si="48">V23/V15</f>
        <v>0.2737058824</v>
      </c>
      <c r="W32" s="124">
        <f t="shared" si="48"/>
        <v>0.3018605664</v>
      </c>
      <c r="X32" s="124">
        <f t="shared" si="48"/>
        <v>0.3483997418</v>
      </c>
      <c r="Y32" s="124">
        <f t="shared" si="48"/>
        <v>0.362355326</v>
      </c>
      <c r="Z32" s="125">
        <f t="shared" si="48"/>
        <v>0.3694030797</v>
      </c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</row>
    <row r="33" ht="15.75" customHeight="1">
      <c r="A33" s="50"/>
      <c r="B33" s="126" t="s">
        <v>168</v>
      </c>
      <c r="C33" s="127">
        <f t="shared" ref="C33:G33" si="49">C27/C15</f>
        <v>-0.0798</v>
      </c>
      <c r="D33" s="127">
        <f t="shared" si="49"/>
        <v>-0.1794736842</v>
      </c>
      <c r="E33" s="127">
        <f t="shared" si="49"/>
        <v>0.09365079365</v>
      </c>
      <c r="F33" s="127">
        <f t="shared" si="49"/>
        <v>0.2295394737</v>
      </c>
      <c r="G33" s="128">
        <f t="shared" si="49"/>
        <v>0.07948529412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126" t="s">
        <v>168</v>
      </c>
      <c r="V33" s="127">
        <f t="shared" ref="V33:Z33" si="50">V27/V15</f>
        <v>0.1989730311</v>
      </c>
      <c r="W33" s="127">
        <f t="shared" si="50"/>
        <v>0.2232471831</v>
      </c>
      <c r="X33" s="127">
        <f t="shared" si="50"/>
        <v>0.2594703254</v>
      </c>
      <c r="Y33" s="127">
        <f t="shared" si="50"/>
        <v>0.2704113235</v>
      </c>
      <c r="Z33" s="128">
        <f t="shared" si="50"/>
        <v>0.2760484793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</row>
    <row r="35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</row>
    <row r="36" ht="15.75" customHeight="1">
      <c r="A36" s="50"/>
      <c r="B36" s="129" t="s">
        <v>169</v>
      </c>
      <c r="C36" s="130"/>
      <c r="D36" s="130"/>
      <c r="E36" s="130"/>
      <c r="F36" s="130"/>
      <c r="G36" s="131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129" t="s">
        <v>169</v>
      </c>
      <c r="V36" s="130"/>
      <c r="W36" s="130"/>
      <c r="X36" s="130"/>
      <c r="Y36" s="130"/>
      <c r="Z36" s="131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</row>
    <row r="37" ht="15.75" customHeight="1">
      <c r="A37" s="50"/>
      <c r="B37" s="82" t="s">
        <v>170</v>
      </c>
      <c r="C37" s="132">
        <f t="shared" ref="C37:G37" si="51">C23/C54</f>
        <v>0.2548174783</v>
      </c>
      <c r="D37" s="132">
        <f t="shared" si="51"/>
        <v>0.1269445225</v>
      </c>
      <c r="E37" s="132">
        <f t="shared" si="51"/>
        <v>0.2461595526</v>
      </c>
      <c r="F37" s="132">
        <f t="shared" si="51"/>
        <v>0.340480033</v>
      </c>
      <c r="G37" s="132">
        <f t="shared" si="51"/>
        <v>0.4940563685</v>
      </c>
      <c r="H37" s="133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82" t="s">
        <v>170</v>
      </c>
      <c r="V37" s="132"/>
      <c r="W37" s="132"/>
      <c r="X37" s="132"/>
      <c r="Y37" s="132"/>
      <c r="Z37" s="132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</row>
    <row r="38" ht="15.75" customHeight="1">
      <c r="A38" s="50"/>
      <c r="B38" s="82" t="s">
        <v>171</v>
      </c>
      <c r="C38" s="132">
        <f t="shared" ref="C38:G38" si="52">C27/C72</f>
        <v>-0.1659502293</v>
      </c>
      <c r="D38" s="132">
        <f t="shared" si="52"/>
        <v>-0.4243929625</v>
      </c>
      <c r="E38" s="132">
        <f t="shared" si="52"/>
        <v>0.09192033928</v>
      </c>
      <c r="F38" s="132">
        <f t="shared" si="52"/>
        <v>0.248521932</v>
      </c>
      <c r="G38" s="132">
        <f t="shared" si="52"/>
        <v>0.1679480926</v>
      </c>
      <c r="H38" s="133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82" t="s">
        <v>171</v>
      </c>
      <c r="V38" s="132"/>
      <c r="W38" s="132"/>
      <c r="X38" s="132"/>
      <c r="Y38" s="132"/>
      <c r="Z38" s="132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</row>
    <row r="39" ht="15.75" customHeight="1">
      <c r="A39" s="50"/>
      <c r="B39" s="50"/>
      <c r="C39" s="73"/>
      <c r="D39" s="73"/>
      <c r="E39" s="73"/>
      <c r="F39" s="73"/>
      <c r="G39" s="73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</row>
    <row r="40" ht="15.75" customHeight="1">
      <c r="A40" s="50"/>
      <c r="B40" s="50"/>
      <c r="C40" s="73"/>
      <c r="D40" s="73"/>
      <c r="E40" s="73"/>
      <c r="F40" s="73"/>
      <c r="G40" s="73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</row>
    <row r="42" ht="15.75" customHeight="1">
      <c r="A42" s="50"/>
      <c r="B42" s="53" t="s">
        <v>104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3"/>
      <c r="V42" s="50"/>
      <c r="W42" s="50"/>
      <c r="X42" s="50"/>
      <c r="Y42" s="50"/>
      <c r="Z42" s="50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</row>
    <row r="44" ht="15.75" customHeight="1">
      <c r="A44" s="50"/>
      <c r="B44" s="50"/>
      <c r="C44" s="59">
        <v>2017.0</v>
      </c>
      <c r="D44" s="59">
        <v>2018.0</v>
      </c>
      <c r="E44" s="59">
        <v>2019.0</v>
      </c>
      <c r="F44" s="59">
        <v>2020.0</v>
      </c>
      <c r="G44" s="59">
        <v>2021.0</v>
      </c>
      <c r="H44" s="50"/>
      <c r="I44" s="59">
        <f t="shared" ref="I44:M44" si="53">+C44</f>
        <v>2017</v>
      </c>
      <c r="J44" s="59">
        <f t="shared" si="53"/>
        <v>2018</v>
      </c>
      <c r="K44" s="59">
        <f t="shared" si="53"/>
        <v>2019</v>
      </c>
      <c r="L44" s="59">
        <f t="shared" si="53"/>
        <v>2020</v>
      </c>
      <c r="M44" s="59">
        <f t="shared" si="53"/>
        <v>2021</v>
      </c>
      <c r="N44" s="50"/>
      <c r="O44" s="59">
        <f t="shared" ref="O44:S44" si="54">+C44</f>
        <v>2017</v>
      </c>
      <c r="P44" s="59">
        <f t="shared" si="54"/>
        <v>2018</v>
      </c>
      <c r="Q44" s="59">
        <f t="shared" si="54"/>
        <v>2019</v>
      </c>
      <c r="R44" s="59">
        <f t="shared" si="54"/>
        <v>2020</v>
      </c>
      <c r="S44" s="59">
        <f t="shared" si="54"/>
        <v>2021</v>
      </c>
      <c r="T44" s="58"/>
      <c r="U44" s="50"/>
      <c r="V44" s="58"/>
      <c r="W44" s="58"/>
      <c r="X44" s="58"/>
      <c r="Y44" s="58"/>
      <c r="Z44" s="58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</row>
    <row r="45" ht="15.75" customHeight="1">
      <c r="A45" s="50"/>
      <c r="B45" s="50" t="s">
        <v>105</v>
      </c>
      <c r="C45" s="50">
        <v>4000.0</v>
      </c>
      <c r="D45" s="50">
        <v>12000.0</v>
      </c>
      <c r="E45" s="50">
        <v>21000.0</v>
      </c>
      <c r="F45" s="50">
        <v>36000.0</v>
      </c>
      <c r="G45" s="50">
        <v>52000.0</v>
      </c>
      <c r="H45" s="50"/>
      <c r="I45" s="60">
        <f t="shared" ref="I45:M45" si="55">C45/C$54</f>
        <v>0.05545538157</v>
      </c>
      <c r="J45" s="60">
        <f t="shared" si="55"/>
        <v>0.1493464971</v>
      </c>
      <c r="K45" s="60">
        <f t="shared" si="55"/>
        <v>0.06543481779</v>
      </c>
      <c r="L45" s="60">
        <f t="shared" si="55"/>
        <v>0.1025713907</v>
      </c>
      <c r="M45" s="60">
        <f t="shared" si="55"/>
        <v>0.1615781834</v>
      </c>
      <c r="N45" s="50"/>
      <c r="O45" s="61">
        <f t="shared" ref="O45:O54" si="58">IFERROR(C45/C45,0)</f>
        <v>1</v>
      </c>
      <c r="P45" s="61">
        <f t="shared" ref="P45:S45" si="56">IFERROR(D45/$C45,0)</f>
        <v>3</v>
      </c>
      <c r="Q45" s="61">
        <f t="shared" si="56"/>
        <v>5.25</v>
      </c>
      <c r="R45" s="61">
        <f t="shared" si="56"/>
        <v>9</v>
      </c>
      <c r="S45" s="61">
        <f t="shared" si="56"/>
        <v>13</v>
      </c>
      <c r="T45" s="61"/>
      <c r="U45" s="50"/>
      <c r="V45" s="50"/>
      <c r="W45" s="50"/>
      <c r="X45" s="50"/>
      <c r="Y45" s="50"/>
      <c r="Z45" s="50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</row>
    <row r="46" ht="15.75" customHeight="1">
      <c r="A46" s="50"/>
      <c r="B46" s="50" t="s">
        <v>106</v>
      </c>
      <c r="C46" s="50">
        <v>-100.0</v>
      </c>
      <c r="D46" s="50">
        <v>-220.0</v>
      </c>
      <c r="E46" s="50">
        <v>-1200.0</v>
      </c>
      <c r="F46" s="50">
        <v>-2300.0</v>
      </c>
      <c r="G46" s="50">
        <v>-4200.0</v>
      </c>
      <c r="H46" s="50"/>
      <c r="I46" s="60">
        <f t="shared" ref="I46:M46" si="57">C46/C$54</f>
        <v>-0.001386384539</v>
      </c>
      <c r="J46" s="60">
        <f t="shared" si="57"/>
        <v>-0.002738019113</v>
      </c>
      <c r="K46" s="60">
        <f t="shared" si="57"/>
        <v>-0.003739132445</v>
      </c>
      <c r="L46" s="60">
        <f t="shared" si="57"/>
        <v>-0.006553172183</v>
      </c>
      <c r="M46" s="60">
        <f t="shared" si="57"/>
        <v>-0.01305054558</v>
      </c>
      <c r="N46" s="50"/>
      <c r="O46" s="61">
        <f t="shared" si="58"/>
        <v>1</v>
      </c>
      <c r="P46" s="61">
        <f t="shared" ref="P46:S46" si="59">IFERROR(D46/$C46,0)</f>
        <v>2.2</v>
      </c>
      <c r="Q46" s="61">
        <f t="shared" si="59"/>
        <v>12</v>
      </c>
      <c r="R46" s="61">
        <f t="shared" si="59"/>
        <v>23</v>
      </c>
      <c r="S46" s="61">
        <f t="shared" si="59"/>
        <v>42</v>
      </c>
      <c r="T46" s="61"/>
      <c r="U46" s="50"/>
      <c r="V46" s="50"/>
      <c r="W46" s="50"/>
      <c r="X46" s="50"/>
      <c r="Y46" s="50"/>
      <c r="Z46" s="50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</row>
    <row r="47" ht="15.75" customHeight="1">
      <c r="A47" s="50"/>
      <c r="B47" s="50" t="s">
        <v>107</v>
      </c>
      <c r="C47" s="50">
        <v>10000.0</v>
      </c>
      <c r="D47" s="50">
        <v>20000.0</v>
      </c>
      <c r="E47" s="50">
        <v>50000.0</v>
      </c>
      <c r="F47" s="50">
        <v>11000.0</v>
      </c>
      <c r="G47" s="50">
        <v>125000.0</v>
      </c>
      <c r="H47" s="50"/>
      <c r="I47" s="60">
        <f t="shared" ref="I47:M47" si="60">C47/C$54</f>
        <v>0.1386384539</v>
      </c>
      <c r="J47" s="60">
        <f t="shared" si="60"/>
        <v>0.2489108284</v>
      </c>
      <c r="K47" s="60">
        <f t="shared" si="60"/>
        <v>0.1557971852</v>
      </c>
      <c r="L47" s="60">
        <f t="shared" si="60"/>
        <v>0.03134125826</v>
      </c>
      <c r="M47" s="60">
        <f t="shared" si="60"/>
        <v>0.3884090947</v>
      </c>
      <c r="N47" s="50"/>
      <c r="O47" s="61">
        <f t="shared" si="58"/>
        <v>1</v>
      </c>
      <c r="P47" s="61">
        <f t="shared" ref="P47:S47" si="61">IFERROR(D47/$C47,0)</f>
        <v>2</v>
      </c>
      <c r="Q47" s="61">
        <f t="shared" si="61"/>
        <v>5</v>
      </c>
      <c r="R47" s="61">
        <f t="shared" si="61"/>
        <v>1.1</v>
      </c>
      <c r="S47" s="61">
        <f t="shared" si="61"/>
        <v>12.5</v>
      </c>
      <c r="T47" s="61"/>
      <c r="U47" s="50"/>
      <c r="V47" s="50"/>
      <c r="W47" s="50"/>
      <c r="X47" s="50"/>
      <c r="Y47" s="50"/>
      <c r="Z47" s="50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</row>
    <row r="48" ht="15.75" customHeight="1">
      <c r="A48" s="50"/>
      <c r="B48" s="50" t="s">
        <v>108</v>
      </c>
      <c r="C48" s="62">
        <v>-520.0</v>
      </c>
      <c r="D48" s="62">
        <v>-1200.0</v>
      </c>
      <c r="E48" s="62">
        <v>-4420.0</v>
      </c>
      <c r="F48" s="62">
        <v>-7820.0</v>
      </c>
      <c r="G48" s="62">
        <v>-12920.0</v>
      </c>
      <c r="H48" s="50"/>
      <c r="I48" s="60">
        <f t="shared" ref="I48:M48" si="62">C48/C$54</f>
        <v>-0.007209199604</v>
      </c>
      <c r="J48" s="60">
        <f t="shared" si="62"/>
        <v>-0.01493464971</v>
      </c>
      <c r="K48" s="60">
        <f t="shared" si="62"/>
        <v>-0.01377247117</v>
      </c>
      <c r="L48" s="60">
        <f t="shared" si="62"/>
        <v>-0.02228078542</v>
      </c>
      <c r="M48" s="60">
        <f t="shared" si="62"/>
        <v>-0.04014596403</v>
      </c>
      <c r="N48" s="50"/>
      <c r="O48" s="61">
        <f t="shared" si="58"/>
        <v>1</v>
      </c>
      <c r="P48" s="61">
        <f t="shared" ref="P48:S48" si="63">IFERROR(D48/$C48,0)</f>
        <v>2.307692308</v>
      </c>
      <c r="Q48" s="61">
        <f t="shared" si="63"/>
        <v>8.5</v>
      </c>
      <c r="R48" s="61">
        <f t="shared" si="63"/>
        <v>15.03846154</v>
      </c>
      <c r="S48" s="61">
        <f t="shared" si="63"/>
        <v>24.84615385</v>
      </c>
      <c r="T48" s="61"/>
      <c r="U48" s="50"/>
      <c r="V48" s="50"/>
      <c r="W48" s="50"/>
      <c r="X48" s="50"/>
      <c r="Y48" s="50"/>
      <c r="Z48" s="50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</row>
    <row r="49" ht="15.75" customHeight="1">
      <c r="A49" s="50"/>
      <c r="B49" s="63" t="s">
        <v>109</v>
      </c>
      <c r="C49" s="64">
        <f t="shared" ref="C49:G49" si="64">SUM(C45:C48)</f>
        <v>13380</v>
      </c>
      <c r="D49" s="64">
        <f t="shared" si="64"/>
        <v>30580</v>
      </c>
      <c r="E49" s="64">
        <f t="shared" si="64"/>
        <v>65380</v>
      </c>
      <c r="F49" s="64">
        <f t="shared" si="64"/>
        <v>36880</v>
      </c>
      <c r="G49" s="64">
        <f t="shared" si="64"/>
        <v>159880</v>
      </c>
      <c r="H49" s="50"/>
      <c r="I49" s="65">
        <f t="shared" ref="I49:M49" si="65">C49/C$54</f>
        <v>0.1854982514</v>
      </c>
      <c r="J49" s="66">
        <f t="shared" si="65"/>
        <v>0.3805846567</v>
      </c>
      <c r="K49" s="66">
        <f t="shared" si="65"/>
        <v>0.2037203994</v>
      </c>
      <c r="L49" s="66">
        <f t="shared" si="65"/>
        <v>0.1050786913</v>
      </c>
      <c r="M49" s="67">
        <f t="shared" si="65"/>
        <v>0.4967907685</v>
      </c>
      <c r="N49" s="50"/>
      <c r="O49" s="68">
        <f t="shared" si="58"/>
        <v>1</v>
      </c>
      <c r="P49" s="69">
        <f t="shared" ref="P49:S49" si="66">IFERROR(D49/$C49,0)</f>
        <v>2.285500747</v>
      </c>
      <c r="Q49" s="69">
        <f t="shared" si="66"/>
        <v>4.886397608</v>
      </c>
      <c r="R49" s="69">
        <f t="shared" si="66"/>
        <v>2.756352765</v>
      </c>
      <c r="S49" s="70">
        <f t="shared" si="66"/>
        <v>11.94917788</v>
      </c>
      <c r="T49" s="71"/>
      <c r="U49" s="63"/>
      <c r="V49" s="64"/>
      <c r="W49" s="64"/>
      <c r="X49" s="64"/>
      <c r="Y49" s="64"/>
      <c r="Z49" s="64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</row>
    <row r="50" ht="15.75" customHeight="1">
      <c r="A50" s="50"/>
      <c r="B50" s="50" t="s">
        <v>110</v>
      </c>
      <c r="C50" s="50">
        <v>0.0</v>
      </c>
      <c r="D50" s="50">
        <v>6350.0</v>
      </c>
      <c r="E50" s="50">
        <v>11800.0</v>
      </c>
      <c r="F50" s="50">
        <v>12000.0</v>
      </c>
      <c r="G50" s="50">
        <v>49500.0</v>
      </c>
      <c r="H50" s="50"/>
      <c r="I50" s="60">
        <f t="shared" ref="I50:M50" si="67">C50/C$54</f>
        <v>0</v>
      </c>
      <c r="J50" s="60">
        <f t="shared" si="67"/>
        <v>0.07902918803</v>
      </c>
      <c r="K50" s="60">
        <f t="shared" si="67"/>
        <v>0.03676813571</v>
      </c>
      <c r="L50" s="60">
        <f t="shared" si="67"/>
        <v>0.03419046356</v>
      </c>
      <c r="M50" s="60">
        <f t="shared" si="67"/>
        <v>0.1538100015</v>
      </c>
      <c r="N50" s="50"/>
      <c r="O50" s="61">
        <f t="shared" si="58"/>
        <v>0</v>
      </c>
      <c r="P50" s="61">
        <f t="shared" ref="P50:S50" si="68">IFERROR(D50/$C50,0)</f>
        <v>0</v>
      </c>
      <c r="Q50" s="61">
        <f t="shared" si="68"/>
        <v>0</v>
      </c>
      <c r="R50" s="61">
        <f t="shared" si="68"/>
        <v>0</v>
      </c>
      <c r="S50" s="61">
        <f t="shared" si="68"/>
        <v>0</v>
      </c>
      <c r="T50" s="61"/>
      <c r="U50" s="50"/>
      <c r="V50" s="50"/>
      <c r="W50" s="50"/>
      <c r="X50" s="50"/>
      <c r="Y50" s="50"/>
      <c r="Z50" s="50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</row>
    <row r="51" ht="15.75" customHeight="1">
      <c r="A51" s="50"/>
      <c r="B51" s="50" t="s">
        <v>111</v>
      </c>
      <c r="C51" s="50">
        <v>1576.45</v>
      </c>
      <c r="D51" s="50">
        <v>11051.41</v>
      </c>
      <c r="E51" s="50">
        <v>22000.0</v>
      </c>
      <c r="F51" s="50">
        <v>18000.0</v>
      </c>
      <c r="G51" s="50">
        <v>8000.0</v>
      </c>
      <c r="H51" s="50"/>
      <c r="I51" s="60">
        <f t="shared" ref="I51:M51" si="69">C51/C$54</f>
        <v>0.02185565907</v>
      </c>
      <c r="J51" s="60">
        <f t="shared" si="69"/>
        <v>0.1375407809</v>
      </c>
      <c r="K51" s="60">
        <f t="shared" si="69"/>
        <v>0.0685507615</v>
      </c>
      <c r="L51" s="60">
        <f t="shared" si="69"/>
        <v>0.05128569534</v>
      </c>
      <c r="M51" s="60">
        <f t="shared" si="69"/>
        <v>0.02485818206</v>
      </c>
      <c r="N51" s="50"/>
      <c r="O51" s="61">
        <f t="shared" si="58"/>
        <v>1</v>
      </c>
      <c r="P51" s="61">
        <f t="shared" ref="P51:S51" si="70">IFERROR(D51/$C51,0)</f>
        <v>7.010314314</v>
      </c>
      <c r="Q51" s="61">
        <f t="shared" si="70"/>
        <v>13.95540613</v>
      </c>
      <c r="R51" s="61">
        <f t="shared" si="70"/>
        <v>11.41805956</v>
      </c>
      <c r="S51" s="61">
        <f t="shared" si="70"/>
        <v>5.07469314</v>
      </c>
      <c r="T51" s="61"/>
      <c r="U51" s="50"/>
      <c r="V51" s="50"/>
      <c r="W51" s="50"/>
      <c r="X51" s="50"/>
      <c r="Y51" s="50"/>
      <c r="Z51" s="50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</row>
    <row r="52" ht="15.75" customHeight="1">
      <c r="A52" s="50"/>
      <c r="B52" s="50" t="s">
        <v>112</v>
      </c>
      <c r="C52" s="62">
        <v>57173.61</v>
      </c>
      <c r="D52" s="62">
        <v>32368.649999999994</v>
      </c>
      <c r="E52" s="62">
        <v>221750.06</v>
      </c>
      <c r="F52" s="62">
        <v>284095.06</v>
      </c>
      <c r="G52" s="62">
        <v>104445.62585321383</v>
      </c>
      <c r="H52" s="50"/>
      <c r="I52" s="60">
        <f t="shared" ref="I52:M52" si="71">C52/C$54</f>
        <v>0.7926460896</v>
      </c>
      <c r="J52" s="60">
        <f t="shared" si="71"/>
        <v>0.4028453744</v>
      </c>
      <c r="K52" s="60">
        <f t="shared" si="71"/>
        <v>0.6909607034</v>
      </c>
      <c r="L52" s="60">
        <f t="shared" si="71"/>
        <v>0.8094451497</v>
      </c>
      <c r="M52" s="60">
        <f t="shared" si="71"/>
        <v>0.3245410479</v>
      </c>
      <c r="N52" s="50"/>
      <c r="O52" s="61">
        <f t="shared" si="58"/>
        <v>1</v>
      </c>
      <c r="P52" s="61">
        <f t="shared" ref="P52:S52" si="72">IFERROR(D52/$C52,0)</f>
        <v>0.566146689</v>
      </c>
      <c r="Q52" s="61">
        <f t="shared" si="72"/>
        <v>3.878538717</v>
      </c>
      <c r="R52" s="61">
        <f t="shared" si="72"/>
        <v>4.968989364</v>
      </c>
      <c r="S52" s="61">
        <f t="shared" si="72"/>
        <v>1.826815306</v>
      </c>
      <c r="T52" s="61"/>
      <c r="U52" s="50"/>
      <c r="V52" s="50"/>
      <c r="W52" s="50"/>
      <c r="X52" s="50"/>
      <c r="Y52" s="50"/>
      <c r="Z52" s="50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</row>
    <row r="53" ht="15.75" customHeight="1">
      <c r="A53" s="50"/>
      <c r="B53" s="63" t="s">
        <v>113</v>
      </c>
      <c r="C53" s="74">
        <f t="shared" ref="C53:G53" si="73">SUM(C50:C52)</f>
        <v>58750.06</v>
      </c>
      <c r="D53" s="74">
        <f t="shared" si="73"/>
        <v>49770.06</v>
      </c>
      <c r="E53" s="74">
        <f t="shared" si="73"/>
        <v>255550.06</v>
      </c>
      <c r="F53" s="74">
        <f t="shared" si="73"/>
        <v>314095.06</v>
      </c>
      <c r="G53" s="74">
        <f t="shared" si="73"/>
        <v>161945.6259</v>
      </c>
      <c r="H53" s="50"/>
      <c r="I53" s="75">
        <f t="shared" ref="I53:M53" si="74">C53/C$54</f>
        <v>0.8145017486</v>
      </c>
      <c r="J53" s="75">
        <f t="shared" si="74"/>
        <v>0.6194153433</v>
      </c>
      <c r="K53" s="75">
        <f t="shared" si="74"/>
        <v>0.7962796006</v>
      </c>
      <c r="L53" s="75">
        <f t="shared" si="74"/>
        <v>0.8949213087</v>
      </c>
      <c r="M53" s="75">
        <f t="shared" si="74"/>
        <v>0.5032092315</v>
      </c>
      <c r="N53" s="50"/>
      <c r="O53" s="61">
        <f t="shared" si="58"/>
        <v>1</v>
      </c>
      <c r="P53" s="61">
        <f t="shared" ref="P53:S53" si="75">IFERROR(D53/$C53,0)</f>
        <v>0.8471490923</v>
      </c>
      <c r="Q53" s="61">
        <f t="shared" si="75"/>
        <v>4.349783813</v>
      </c>
      <c r="R53" s="61">
        <f t="shared" si="75"/>
        <v>5.346293434</v>
      </c>
      <c r="S53" s="61">
        <f t="shared" si="75"/>
        <v>2.756518476</v>
      </c>
      <c r="T53" s="61"/>
      <c r="U53" s="63"/>
      <c r="V53" s="64"/>
      <c r="W53" s="64"/>
      <c r="X53" s="64"/>
      <c r="Y53" s="64"/>
      <c r="Z53" s="64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</row>
    <row r="54" ht="15.75" customHeight="1">
      <c r="A54" s="50"/>
      <c r="B54" s="63" t="s">
        <v>114</v>
      </c>
      <c r="C54" s="72">
        <f t="shared" ref="C54:G54" si="76">+C49+C53</f>
        <v>72130.06</v>
      </c>
      <c r="D54" s="72">
        <f t="shared" si="76"/>
        <v>80350.06</v>
      </c>
      <c r="E54" s="72">
        <f t="shared" si="76"/>
        <v>320930.06</v>
      </c>
      <c r="F54" s="72">
        <f t="shared" si="76"/>
        <v>350975.06</v>
      </c>
      <c r="G54" s="72">
        <f t="shared" si="76"/>
        <v>321825.6259</v>
      </c>
      <c r="H54" s="50"/>
      <c r="I54" s="65">
        <f t="shared" ref="I54:M54" si="77">C54/C$54</f>
        <v>1</v>
      </c>
      <c r="J54" s="66">
        <f t="shared" si="77"/>
        <v>1</v>
      </c>
      <c r="K54" s="66">
        <f t="shared" si="77"/>
        <v>1</v>
      </c>
      <c r="L54" s="66">
        <f t="shared" si="77"/>
        <v>1</v>
      </c>
      <c r="M54" s="67">
        <f t="shared" si="77"/>
        <v>1</v>
      </c>
      <c r="N54" s="50"/>
      <c r="O54" s="68">
        <f t="shared" si="58"/>
        <v>1</v>
      </c>
      <c r="P54" s="69">
        <f t="shared" ref="P54:S54" si="78">IFERROR(D54/$C54,0)</f>
        <v>1.113960809</v>
      </c>
      <c r="Q54" s="69">
        <f t="shared" si="78"/>
        <v>4.449324734</v>
      </c>
      <c r="R54" s="69">
        <f t="shared" si="78"/>
        <v>4.865863969</v>
      </c>
      <c r="S54" s="70">
        <f t="shared" si="78"/>
        <v>4.46174072</v>
      </c>
      <c r="T54" s="71"/>
      <c r="U54" s="63"/>
      <c r="V54" s="64"/>
      <c r="W54" s="64"/>
      <c r="X54" s="64"/>
      <c r="Y54" s="64"/>
      <c r="Z54" s="64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60"/>
      <c r="J55" s="60"/>
      <c r="K55" s="60"/>
      <c r="L55" s="60"/>
      <c r="M55" s="60"/>
      <c r="N55" s="50"/>
      <c r="O55" s="61"/>
      <c r="P55" s="61"/>
      <c r="Q55" s="61"/>
      <c r="R55" s="61"/>
      <c r="S55" s="61"/>
      <c r="T55" s="61"/>
      <c r="U55" s="50"/>
      <c r="V55" s="50"/>
      <c r="W55" s="50"/>
      <c r="X55" s="50"/>
      <c r="Y55" s="50"/>
      <c r="Z55" s="50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</row>
    <row r="56" ht="15.75" customHeight="1">
      <c r="A56" s="50"/>
      <c r="B56" s="50" t="s">
        <v>115</v>
      </c>
      <c r="C56" s="50">
        <v>80000.0</v>
      </c>
      <c r="D56" s="50">
        <v>120000.0</v>
      </c>
      <c r="E56" s="50">
        <v>80000.0</v>
      </c>
      <c r="F56" s="50">
        <v>60000.0</v>
      </c>
      <c r="G56" s="98">
        <v>30000.0</v>
      </c>
      <c r="H56" s="50"/>
      <c r="I56" s="60">
        <f t="shared" ref="I56:M56" si="79">C56/C$54</f>
        <v>1.109107631</v>
      </c>
      <c r="J56" s="60">
        <f t="shared" si="79"/>
        <v>1.493464971</v>
      </c>
      <c r="K56" s="60">
        <f t="shared" si="79"/>
        <v>0.2492754963</v>
      </c>
      <c r="L56" s="60">
        <f t="shared" si="79"/>
        <v>0.1709523178</v>
      </c>
      <c r="M56" s="60">
        <f t="shared" si="79"/>
        <v>0.09321818274</v>
      </c>
      <c r="N56" s="50"/>
      <c r="O56" s="61">
        <f t="shared" ref="O56:O60" si="82">IFERROR(C56/C56,0)</f>
        <v>1</v>
      </c>
      <c r="P56" s="61">
        <f t="shared" ref="P56:S56" si="80">IFERROR(D56/$C56,0)</f>
        <v>1.5</v>
      </c>
      <c r="Q56" s="61">
        <f t="shared" si="80"/>
        <v>1</v>
      </c>
      <c r="R56" s="61">
        <f t="shared" si="80"/>
        <v>0.75</v>
      </c>
      <c r="S56" s="61">
        <f t="shared" si="80"/>
        <v>0.375</v>
      </c>
      <c r="T56" s="61"/>
      <c r="U56" s="50"/>
      <c r="V56" s="50"/>
      <c r="W56" s="50"/>
      <c r="X56" s="50"/>
      <c r="Y56" s="50"/>
      <c r="Z56" s="50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</row>
    <row r="57" ht="15.75" customHeight="1">
      <c r="A57" s="50"/>
      <c r="B57" s="50" t="s">
        <v>116</v>
      </c>
      <c r="C57" s="50">
        <v>0.0</v>
      </c>
      <c r="D57" s="50">
        <v>2500.0</v>
      </c>
      <c r="E57" s="50">
        <v>3200.0</v>
      </c>
      <c r="F57" s="50">
        <v>15000.0</v>
      </c>
      <c r="G57" s="50">
        <v>25000.0</v>
      </c>
      <c r="H57" s="50"/>
      <c r="I57" s="60">
        <f t="shared" ref="I57:M57" si="81">C57/C$54</f>
        <v>0</v>
      </c>
      <c r="J57" s="60">
        <f t="shared" si="81"/>
        <v>0.03111385356</v>
      </c>
      <c r="K57" s="60">
        <f t="shared" si="81"/>
        <v>0.009971019854</v>
      </c>
      <c r="L57" s="60">
        <f t="shared" si="81"/>
        <v>0.04273807945</v>
      </c>
      <c r="M57" s="60">
        <f t="shared" si="81"/>
        <v>0.07768181895</v>
      </c>
      <c r="N57" s="50"/>
      <c r="O57" s="61">
        <f t="shared" si="82"/>
        <v>0</v>
      </c>
      <c r="P57" s="61">
        <f t="shared" ref="P57:S57" si="83">IFERROR(D57/$C57,0)</f>
        <v>0</v>
      </c>
      <c r="Q57" s="61">
        <f t="shared" si="83"/>
        <v>0</v>
      </c>
      <c r="R57" s="61">
        <f t="shared" si="83"/>
        <v>0</v>
      </c>
      <c r="S57" s="61">
        <f t="shared" si="83"/>
        <v>0</v>
      </c>
      <c r="T57" s="61"/>
      <c r="U57" s="50"/>
      <c r="V57" s="50"/>
      <c r="W57" s="50"/>
      <c r="X57" s="50"/>
      <c r="Y57" s="50"/>
      <c r="Z57" s="50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</row>
    <row r="58" ht="15.75" customHeight="1">
      <c r="A58" s="50"/>
      <c r="B58" s="50" t="s">
        <v>117</v>
      </c>
      <c r="C58" s="50">
        <v>300.0</v>
      </c>
      <c r="D58" s="50">
        <v>120.0</v>
      </c>
      <c r="E58" s="50">
        <v>250.0</v>
      </c>
      <c r="F58" s="50">
        <v>320.0</v>
      </c>
      <c r="G58" s="50">
        <v>650.0</v>
      </c>
      <c r="H58" s="50"/>
      <c r="I58" s="60">
        <f t="shared" ref="I58:M58" si="84">C58/C$54</f>
        <v>0.004159153618</v>
      </c>
      <c r="J58" s="60">
        <f t="shared" si="84"/>
        <v>0.001493464971</v>
      </c>
      <c r="K58" s="60">
        <f t="shared" si="84"/>
        <v>0.0007789859261</v>
      </c>
      <c r="L58" s="60">
        <f t="shared" si="84"/>
        <v>0.000911745695</v>
      </c>
      <c r="M58" s="60">
        <f t="shared" si="84"/>
        <v>0.002019727293</v>
      </c>
      <c r="N58" s="50"/>
      <c r="O58" s="61">
        <f t="shared" si="82"/>
        <v>1</v>
      </c>
      <c r="P58" s="61">
        <f t="shared" ref="P58:S58" si="85">IFERROR(D58/$C58,0)</f>
        <v>0.4</v>
      </c>
      <c r="Q58" s="61">
        <f t="shared" si="85"/>
        <v>0.8333333333</v>
      </c>
      <c r="R58" s="61">
        <f t="shared" si="85"/>
        <v>1.066666667</v>
      </c>
      <c r="S58" s="61">
        <f t="shared" si="85"/>
        <v>2.166666667</v>
      </c>
      <c r="T58" s="61"/>
      <c r="U58" s="50"/>
      <c r="V58" s="50"/>
      <c r="W58" s="50"/>
      <c r="X58" s="50"/>
      <c r="Y58" s="50"/>
      <c r="Z58" s="50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</row>
    <row r="59" ht="15.75" customHeight="1">
      <c r="A59" s="50"/>
      <c r="B59" s="50" t="s">
        <v>118</v>
      </c>
      <c r="C59" s="62">
        <v>0.0</v>
      </c>
      <c r="D59" s="62">
        <v>0.0</v>
      </c>
      <c r="E59" s="62">
        <v>250.0</v>
      </c>
      <c r="F59" s="62">
        <v>1200.0</v>
      </c>
      <c r="G59" s="62">
        <v>2350.0</v>
      </c>
      <c r="H59" s="50"/>
      <c r="I59" s="60">
        <f t="shared" ref="I59:M59" si="86">C59/C$54</f>
        <v>0</v>
      </c>
      <c r="J59" s="60">
        <f t="shared" si="86"/>
        <v>0</v>
      </c>
      <c r="K59" s="60">
        <f t="shared" si="86"/>
        <v>0.0007789859261</v>
      </c>
      <c r="L59" s="60">
        <f t="shared" si="86"/>
        <v>0.003419046356</v>
      </c>
      <c r="M59" s="60">
        <f t="shared" si="86"/>
        <v>0.007302090981</v>
      </c>
      <c r="N59" s="50"/>
      <c r="O59" s="61">
        <f t="shared" si="82"/>
        <v>0</v>
      </c>
      <c r="P59" s="61">
        <f t="shared" ref="P59:S59" si="87">IFERROR(D59/$C59,0)</f>
        <v>0</v>
      </c>
      <c r="Q59" s="61">
        <f t="shared" si="87"/>
        <v>0</v>
      </c>
      <c r="R59" s="61">
        <f t="shared" si="87"/>
        <v>0</v>
      </c>
      <c r="S59" s="61">
        <f t="shared" si="87"/>
        <v>0</v>
      </c>
      <c r="T59" s="61"/>
      <c r="U59" s="50"/>
      <c r="V59" s="50"/>
      <c r="W59" s="50"/>
      <c r="X59" s="50"/>
      <c r="Y59" s="50"/>
      <c r="Z59" s="50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</row>
    <row r="60" ht="15.75" customHeight="1">
      <c r="A60" s="50"/>
      <c r="B60" s="63" t="s">
        <v>119</v>
      </c>
      <c r="C60" s="76">
        <f t="shared" ref="C60:G60" si="88">SUM(C56:C59)</f>
        <v>80300</v>
      </c>
      <c r="D60" s="76">
        <f t="shared" si="88"/>
        <v>122620</v>
      </c>
      <c r="E60" s="76">
        <f t="shared" si="88"/>
        <v>83700</v>
      </c>
      <c r="F60" s="76">
        <f t="shared" si="88"/>
        <v>76520</v>
      </c>
      <c r="G60" s="76">
        <f t="shared" si="88"/>
        <v>58000</v>
      </c>
      <c r="H60" s="50"/>
      <c r="I60" s="65">
        <f t="shared" ref="I60:M60" si="89">C60/C$54</f>
        <v>1.113266785</v>
      </c>
      <c r="J60" s="66">
        <f t="shared" si="89"/>
        <v>1.526072289</v>
      </c>
      <c r="K60" s="66">
        <f t="shared" si="89"/>
        <v>0.2608044881</v>
      </c>
      <c r="L60" s="66">
        <f t="shared" si="89"/>
        <v>0.2180211893</v>
      </c>
      <c r="M60" s="67">
        <f t="shared" si="89"/>
        <v>0.18022182</v>
      </c>
      <c r="N60" s="50"/>
      <c r="O60" s="68">
        <f t="shared" si="82"/>
        <v>1</v>
      </c>
      <c r="P60" s="69">
        <f t="shared" ref="P60:S60" si="90">IFERROR(D60/$C60,0)</f>
        <v>1.527023661</v>
      </c>
      <c r="Q60" s="69">
        <f t="shared" si="90"/>
        <v>1.04234122</v>
      </c>
      <c r="R60" s="69">
        <f t="shared" si="90"/>
        <v>0.9529265255</v>
      </c>
      <c r="S60" s="70">
        <f t="shared" si="90"/>
        <v>0.7222914072</v>
      </c>
      <c r="T60" s="61"/>
      <c r="U60" s="63"/>
      <c r="V60" s="64"/>
      <c r="W60" s="64"/>
      <c r="X60" s="64"/>
      <c r="Y60" s="64"/>
      <c r="Z60" s="64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</row>
    <row r="61" ht="15.75" customHeight="1">
      <c r="A61" s="50"/>
      <c r="B61" s="63"/>
      <c r="C61" s="64"/>
      <c r="D61" s="64"/>
      <c r="E61" s="64"/>
      <c r="F61" s="64"/>
      <c r="G61" s="64"/>
      <c r="H61" s="50"/>
      <c r="I61" s="50"/>
      <c r="J61" s="50"/>
      <c r="K61" s="50"/>
      <c r="L61" s="50"/>
      <c r="M61" s="50"/>
      <c r="N61" s="50"/>
      <c r="O61" s="61"/>
      <c r="P61" s="61"/>
      <c r="Q61" s="61"/>
      <c r="R61" s="61"/>
      <c r="S61" s="61"/>
      <c r="T61" s="61"/>
      <c r="U61" s="63"/>
      <c r="V61" s="64"/>
      <c r="W61" s="64"/>
      <c r="X61" s="64"/>
      <c r="Y61" s="64"/>
      <c r="Z61" s="64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</row>
    <row r="62" ht="15.75" customHeight="1">
      <c r="A62" s="50"/>
      <c r="B62" s="50" t="s">
        <v>120</v>
      </c>
      <c r="C62" s="50">
        <v>0.0</v>
      </c>
      <c r="D62" s="50">
        <v>0.0</v>
      </c>
      <c r="E62" s="50">
        <v>250000.0</v>
      </c>
      <c r="F62" s="50">
        <v>200000.0</v>
      </c>
      <c r="G62" s="98">
        <v>135320.56585321383</v>
      </c>
      <c r="H62" s="50"/>
      <c r="I62" s="60">
        <f t="shared" ref="I62:M62" si="91">C62/C$54</f>
        <v>0</v>
      </c>
      <c r="J62" s="60">
        <f t="shared" si="91"/>
        <v>0</v>
      </c>
      <c r="K62" s="60">
        <f t="shared" si="91"/>
        <v>0.7789859261</v>
      </c>
      <c r="L62" s="60">
        <f t="shared" si="91"/>
        <v>0.5698410594</v>
      </c>
      <c r="M62" s="60">
        <f t="shared" si="91"/>
        <v>0.4204779079</v>
      </c>
      <c r="N62" s="50"/>
      <c r="O62" s="61">
        <f>IFERROR(C62/C62,0)</f>
        <v>0</v>
      </c>
      <c r="P62" s="61">
        <f t="shared" ref="P62:S62" si="92">IFERROR(D62/$C62,0)</f>
        <v>0</v>
      </c>
      <c r="Q62" s="61">
        <f t="shared" si="92"/>
        <v>0</v>
      </c>
      <c r="R62" s="61">
        <f t="shared" si="92"/>
        <v>0</v>
      </c>
      <c r="S62" s="61">
        <f t="shared" si="92"/>
        <v>0</v>
      </c>
      <c r="T62" s="61"/>
      <c r="U62" s="50"/>
      <c r="V62" s="50"/>
      <c r="W62" s="50"/>
      <c r="X62" s="50"/>
      <c r="Y62" s="50"/>
      <c r="Z62" s="50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</row>
    <row r="63" ht="15.75" customHeight="1">
      <c r="A63" s="50"/>
      <c r="B63" s="63"/>
      <c r="C63" s="74"/>
      <c r="D63" s="74"/>
      <c r="E63" s="74"/>
      <c r="F63" s="74"/>
      <c r="G63" s="74"/>
      <c r="H63" s="50"/>
      <c r="I63" s="75"/>
      <c r="J63" s="75"/>
      <c r="K63" s="75"/>
      <c r="L63" s="75"/>
      <c r="M63" s="75"/>
      <c r="N63" s="50"/>
      <c r="O63" s="61"/>
      <c r="P63" s="61"/>
      <c r="Q63" s="61"/>
      <c r="R63" s="61"/>
      <c r="S63" s="61"/>
      <c r="T63" s="61"/>
      <c r="U63" s="63"/>
      <c r="V63" s="64"/>
      <c r="W63" s="64"/>
      <c r="X63" s="64"/>
      <c r="Y63" s="64"/>
      <c r="Z63" s="64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</row>
    <row r="64" ht="15.75" customHeight="1">
      <c r="A64" s="50"/>
      <c r="B64" s="63" t="s">
        <v>121</v>
      </c>
      <c r="C64" s="64">
        <f t="shared" ref="C64:G64" si="93">+C62+C60</f>
        <v>80300</v>
      </c>
      <c r="D64" s="64">
        <f t="shared" si="93"/>
        <v>122620</v>
      </c>
      <c r="E64" s="64">
        <f t="shared" si="93"/>
        <v>333700</v>
      </c>
      <c r="F64" s="64">
        <f t="shared" si="93"/>
        <v>276520</v>
      </c>
      <c r="G64" s="64">
        <f t="shared" si="93"/>
        <v>193320.5659</v>
      </c>
      <c r="H64" s="50"/>
      <c r="I64" s="65">
        <f t="shared" ref="I64:M64" si="94">C64/C$54</f>
        <v>1.113266785</v>
      </c>
      <c r="J64" s="66">
        <f t="shared" si="94"/>
        <v>1.526072289</v>
      </c>
      <c r="K64" s="66">
        <f t="shared" si="94"/>
        <v>1.039790414</v>
      </c>
      <c r="L64" s="66">
        <f t="shared" si="94"/>
        <v>0.7878622487</v>
      </c>
      <c r="M64" s="67">
        <f t="shared" si="94"/>
        <v>0.6006997278</v>
      </c>
      <c r="N64" s="50"/>
      <c r="O64" s="68">
        <f>IFERROR(C64/C64,0)</f>
        <v>1</v>
      </c>
      <c r="P64" s="69">
        <f t="shared" ref="P64:S64" si="95">IFERROR(D64/$C64,0)</f>
        <v>1.527023661</v>
      </c>
      <c r="Q64" s="69">
        <f t="shared" si="95"/>
        <v>4.155666252</v>
      </c>
      <c r="R64" s="69">
        <f t="shared" si="95"/>
        <v>3.44358655</v>
      </c>
      <c r="S64" s="70">
        <f t="shared" si="95"/>
        <v>2.407479027</v>
      </c>
      <c r="T64" s="71"/>
      <c r="U64" s="63"/>
      <c r="V64" s="64"/>
      <c r="W64" s="64"/>
      <c r="X64" s="64"/>
      <c r="Y64" s="64"/>
      <c r="Z64" s="64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</row>
    <row r="65" ht="15.75" customHeight="1">
      <c r="A65" s="50"/>
      <c r="B65" s="63"/>
      <c r="C65" s="64"/>
      <c r="D65" s="64"/>
      <c r="E65" s="64"/>
      <c r="F65" s="64"/>
      <c r="G65" s="64"/>
      <c r="H65" s="50"/>
      <c r="I65" s="75"/>
      <c r="J65" s="75"/>
      <c r="K65" s="75"/>
      <c r="L65" s="75"/>
      <c r="M65" s="75"/>
      <c r="N65" s="50"/>
      <c r="O65" s="71"/>
      <c r="P65" s="71"/>
      <c r="Q65" s="71"/>
      <c r="R65" s="71"/>
      <c r="S65" s="71"/>
      <c r="T65" s="71"/>
      <c r="U65" s="63"/>
      <c r="V65" s="64"/>
      <c r="W65" s="64"/>
      <c r="X65" s="64"/>
      <c r="Y65" s="64"/>
      <c r="Z65" s="64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</row>
    <row r="66" ht="15.75" customHeight="1">
      <c r="A66" s="50"/>
      <c r="B66" s="50" t="s">
        <v>122</v>
      </c>
      <c r="C66" s="50">
        <v>3000.06</v>
      </c>
      <c r="D66" s="50">
        <v>3000.06</v>
      </c>
      <c r="E66" s="50">
        <v>3000.06</v>
      </c>
      <c r="F66" s="50">
        <v>3000.06</v>
      </c>
      <c r="G66" s="50">
        <v>3000.06</v>
      </c>
      <c r="H66" s="50"/>
      <c r="I66" s="60">
        <f t="shared" ref="I66:M66" si="96">C66/C$54</f>
        <v>0.04159236801</v>
      </c>
      <c r="J66" s="60">
        <f t="shared" si="96"/>
        <v>0.037337371</v>
      </c>
      <c r="K66" s="60">
        <f t="shared" si="96"/>
        <v>0.00934801807</v>
      </c>
      <c r="L66" s="60">
        <f t="shared" si="96"/>
        <v>0.008547786843</v>
      </c>
      <c r="M66" s="60">
        <f t="shared" si="96"/>
        <v>0.00932200471</v>
      </c>
      <c r="N66" s="50"/>
      <c r="O66" s="61">
        <f t="shared" ref="O66:O70" si="99">IFERROR(C66/C66,0)</f>
        <v>1</v>
      </c>
      <c r="P66" s="61">
        <f t="shared" ref="P66:S66" si="97">IFERROR(D66/$C66,0)</f>
        <v>1</v>
      </c>
      <c r="Q66" s="61">
        <f t="shared" si="97"/>
        <v>1</v>
      </c>
      <c r="R66" s="61">
        <f t="shared" si="97"/>
        <v>1</v>
      </c>
      <c r="S66" s="61">
        <f t="shared" si="97"/>
        <v>1</v>
      </c>
      <c r="T66" s="61"/>
      <c r="U66" s="50"/>
      <c r="V66" s="50"/>
      <c r="W66" s="50"/>
      <c r="X66" s="50"/>
      <c r="Y66" s="50"/>
      <c r="Z66" s="50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</row>
    <row r="67" ht="15.75" customHeight="1">
      <c r="A67" s="50"/>
      <c r="B67" s="50" t="s">
        <v>123</v>
      </c>
      <c r="C67" s="50">
        <v>800.0</v>
      </c>
      <c r="D67" s="50">
        <v>800.0</v>
      </c>
      <c r="E67" s="50">
        <v>800.0</v>
      </c>
      <c r="F67" s="50">
        <v>800.0</v>
      </c>
      <c r="G67" s="50">
        <v>800.0</v>
      </c>
      <c r="H67" s="50"/>
      <c r="I67" s="60">
        <f t="shared" ref="I67:M67" si="98">C67/C$54</f>
        <v>0.01109107631</v>
      </c>
      <c r="J67" s="60">
        <f t="shared" si="98"/>
        <v>0.009956433138</v>
      </c>
      <c r="K67" s="60">
        <f t="shared" si="98"/>
        <v>0.002492754963</v>
      </c>
      <c r="L67" s="60">
        <f t="shared" si="98"/>
        <v>0.002279364237</v>
      </c>
      <c r="M67" s="60">
        <f t="shared" si="98"/>
        <v>0.002485818206</v>
      </c>
      <c r="N67" s="50"/>
      <c r="O67" s="61">
        <f t="shared" si="99"/>
        <v>1</v>
      </c>
      <c r="P67" s="61">
        <f t="shared" ref="P67:S67" si="100">IFERROR(D67/$C67,0)</f>
        <v>1</v>
      </c>
      <c r="Q67" s="61">
        <f t="shared" si="100"/>
        <v>1</v>
      </c>
      <c r="R67" s="61">
        <f t="shared" si="100"/>
        <v>1</v>
      </c>
      <c r="S67" s="61">
        <f t="shared" si="100"/>
        <v>1</v>
      </c>
      <c r="T67" s="61"/>
      <c r="U67" s="50"/>
      <c r="V67" s="50"/>
      <c r="W67" s="50"/>
      <c r="X67" s="50"/>
      <c r="Y67" s="50"/>
      <c r="Z67" s="50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</row>
    <row r="68" ht="15.75" customHeight="1">
      <c r="A68" s="50"/>
      <c r="B68" s="50" t="s">
        <v>124</v>
      </c>
      <c r="C68" s="50">
        <v>0.0</v>
      </c>
      <c r="D68" s="50">
        <f t="shared" ref="D68:G68" si="101">+C68+C69</f>
        <v>-11970</v>
      </c>
      <c r="E68" s="50">
        <f t="shared" si="101"/>
        <v>-46070</v>
      </c>
      <c r="F68" s="50">
        <f t="shared" si="101"/>
        <v>-16570</v>
      </c>
      <c r="G68" s="50">
        <f t="shared" si="101"/>
        <v>70655</v>
      </c>
      <c r="H68" s="50"/>
      <c r="I68" s="60">
        <f t="shared" ref="I68:M68" si="102">C68/C$54</f>
        <v>0</v>
      </c>
      <c r="J68" s="60">
        <f t="shared" si="102"/>
        <v>-0.1489731308</v>
      </c>
      <c r="K68" s="60">
        <f t="shared" si="102"/>
        <v>-0.1435515265</v>
      </c>
      <c r="L68" s="60">
        <f t="shared" si="102"/>
        <v>-0.04721133177</v>
      </c>
      <c r="M68" s="60">
        <f t="shared" si="102"/>
        <v>0.2195443567</v>
      </c>
      <c r="N68" s="50"/>
      <c r="O68" s="61">
        <f t="shared" si="99"/>
        <v>0</v>
      </c>
      <c r="P68" s="61">
        <f t="shared" ref="P68:S68" si="103">IFERROR(D68/$C68,0)</f>
        <v>0</v>
      </c>
      <c r="Q68" s="61">
        <f t="shared" si="103"/>
        <v>0</v>
      </c>
      <c r="R68" s="61">
        <f t="shared" si="103"/>
        <v>0</v>
      </c>
      <c r="S68" s="61">
        <f t="shared" si="103"/>
        <v>0</v>
      </c>
      <c r="T68" s="61"/>
      <c r="U68" s="50"/>
      <c r="V68" s="50"/>
      <c r="W68" s="50"/>
      <c r="X68" s="50"/>
      <c r="Y68" s="50"/>
      <c r="Z68" s="50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</row>
    <row r="69" ht="15.75" customHeight="1">
      <c r="A69" s="50"/>
      <c r="B69" s="50" t="s">
        <v>125</v>
      </c>
      <c r="C69" s="62">
        <f t="shared" ref="C69:G69" si="104">+C27</f>
        <v>-11970</v>
      </c>
      <c r="D69" s="62">
        <f t="shared" si="104"/>
        <v>-34100</v>
      </c>
      <c r="E69" s="62">
        <f t="shared" si="104"/>
        <v>29500</v>
      </c>
      <c r="F69" s="62">
        <f t="shared" si="104"/>
        <v>87225</v>
      </c>
      <c r="G69" s="62">
        <f t="shared" si="104"/>
        <v>54050</v>
      </c>
      <c r="H69" s="50"/>
      <c r="I69" s="60">
        <f t="shared" ref="I69:M69" si="105">C69/C$54</f>
        <v>-0.1659502293</v>
      </c>
      <c r="J69" s="60">
        <f t="shared" si="105"/>
        <v>-0.4243929625</v>
      </c>
      <c r="K69" s="60">
        <f t="shared" si="105"/>
        <v>0.09192033928</v>
      </c>
      <c r="L69" s="60">
        <f t="shared" si="105"/>
        <v>0.248521932</v>
      </c>
      <c r="M69" s="60">
        <f t="shared" si="105"/>
        <v>0.1679480926</v>
      </c>
      <c r="N69" s="50"/>
      <c r="O69" s="61">
        <f t="shared" si="99"/>
        <v>1</v>
      </c>
      <c r="P69" s="61">
        <f t="shared" ref="P69:S69" si="106">IFERROR(D69/$C69,0)</f>
        <v>2.848788638</v>
      </c>
      <c r="Q69" s="61">
        <f t="shared" si="106"/>
        <v>-2.46449457</v>
      </c>
      <c r="R69" s="61">
        <f t="shared" si="106"/>
        <v>-7.286967419</v>
      </c>
      <c r="S69" s="61">
        <f t="shared" si="106"/>
        <v>-4.515455305</v>
      </c>
      <c r="T69" s="61"/>
      <c r="U69" s="50"/>
      <c r="V69" s="50"/>
      <c r="W69" s="50"/>
      <c r="X69" s="50"/>
      <c r="Y69" s="50"/>
      <c r="Z69" s="50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</row>
    <row r="70" ht="15.75" customHeight="1">
      <c r="A70" s="50"/>
      <c r="B70" s="63" t="s">
        <v>126</v>
      </c>
      <c r="C70" s="64">
        <f t="shared" ref="C70:G70" si="107">SUM(C66:C69)</f>
        <v>-8169.94</v>
      </c>
      <c r="D70" s="64">
        <f t="shared" si="107"/>
        <v>-42269.94</v>
      </c>
      <c r="E70" s="64">
        <f t="shared" si="107"/>
        <v>-12769.94</v>
      </c>
      <c r="F70" s="64">
        <f t="shared" si="107"/>
        <v>74455.06</v>
      </c>
      <c r="G70" s="64">
        <f t="shared" si="107"/>
        <v>128505.06</v>
      </c>
      <c r="H70" s="50"/>
      <c r="I70" s="65">
        <f t="shared" ref="I70:M70" si="108">C70/C$54</f>
        <v>-0.113266785</v>
      </c>
      <c r="J70" s="66">
        <f t="shared" si="108"/>
        <v>-0.5260722892</v>
      </c>
      <c r="K70" s="66">
        <f t="shared" si="108"/>
        <v>-0.03979041415</v>
      </c>
      <c r="L70" s="66">
        <f t="shared" si="108"/>
        <v>0.2121377513</v>
      </c>
      <c r="M70" s="67">
        <f t="shared" si="108"/>
        <v>0.3993002722</v>
      </c>
      <c r="N70" s="50"/>
      <c r="O70" s="68">
        <f t="shared" si="99"/>
        <v>1</v>
      </c>
      <c r="P70" s="69">
        <f t="shared" ref="P70:S70" si="109">IFERROR(D70/$C70,0)</f>
        <v>5.173837262</v>
      </c>
      <c r="Q70" s="69">
        <f t="shared" si="109"/>
        <v>1.563039631</v>
      </c>
      <c r="R70" s="69">
        <f t="shared" si="109"/>
        <v>-9.113293366</v>
      </c>
      <c r="S70" s="70">
        <f t="shared" si="109"/>
        <v>-15.72900903</v>
      </c>
      <c r="T70" s="71"/>
      <c r="U70" s="63"/>
      <c r="V70" s="64"/>
      <c r="W70" s="64"/>
      <c r="X70" s="64"/>
      <c r="Y70" s="64"/>
      <c r="Z70" s="64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</row>
    <row r="71" ht="15.75" customHeight="1">
      <c r="A71" s="50"/>
      <c r="B71" s="63"/>
      <c r="C71" s="64"/>
      <c r="D71" s="64"/>
      <c r="E71" s="64"/>
      <c r="F71" s="64"/>
      <c r="G71" s="64"/>
      <c r="H71" s="50"/>
      <c r="I71" s="75"/>
      <c r="J71" s="75"/>
      <c r="K71" s="75"/>
      <c r="L71" s="75"/>
      <c r="M71" s="75"/>
      <c r="N71" s="50"/>
      <c r="O71" s="61"/>
      <c r="P71" s="61"/>
      <c r="Q71" s="61"/>
      <c r="R71" s="61"/>
      <c r="S71" s="61"/>
      <c r="T71" s="61"/>
      <c r="U71" s="63"/>
      <c r="V71" s="64"/>
      <c r="W71" s="64"/>
      <c r="X71" s="64"/>
      <c r="Y71" s="64"/>
      <c r="Z71" s="64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</row>
    <row r="72" ht="15.75" customHeight="1">
      <c r="A72" s="50"/>
      <c r="B72" s="63" t="s">
        <v>127</v>
      </c>
      <c r="C72" s="72">
        <f t="shared" ref="C72:G72" si="110">+C70+C64</f>
        <v>72130.06</v>
      </c>
      <c r="D72" s="72">
        <f t="shared" si="110"/>
        <v>80350.06</v>
      </c>
      <c r="E72" s="72">
        <f t="shared" si="110"/>
        <v>320930.06</v>
      </c>
      <c r="F72" s="72">
        <f t="shared" si="110"/>
        <v>350975.06</v>
      </c>
      <c r="G72" s="72">
        <f t="shared" si="110"/>
        <v>321825.6259</v>
      </c>
      <c r="H72" s="50"/>
      <c r="I72" s="65">
        <f t="shared" ref="I72:M72" si="111">C72/C$54</f>
        <v>1</v>
      </c>
      <c r="J72" s="66">
        <f t="shared" si="111"/>
        <v>1</v>
      </c>
      <c r="K72" s="66">
        <f t="shared" si="111"/>
        <v>1</v>
      </c>
      <c r="L72" s="66">
        <f t="shared" si="111"/>
        <v>1</v>
      </c>
      <c r="M72" s="67">
        <f t="shared" si="111"/>
        <v>1</v>
      </c>
      <c r="N72" s="50"/>
      <c r="O72" s="68">
        <f>IFERROR(C72/C72,0)</f>
        <v>1</v>
      </c>
      <c r="P72" s="69">
        <f t="shared" ref="P72:S72" si="112">IFERROR(D72/$C72,0)</f>
        <v>1.113960809</v>
      </c>
      <c r="Q72" s="69">
        <f t="shared" si="112"/>
        <v>4.449324734</v>
      </c>
      <c r="R72" s="69">
        <f t="shared" si="112"/>
        <v>4.865863969</v>
      </c>
      <c r="S72" s="70">
        <f t="shared" si="112"/>
        <v>4.46174072</v>
      </c>
      <c r="T72" s="71"/>
      <c r="U72" s="63"/>
      <c r="V72" s="64"/>
      <c r="W72" s="64"/>
      <c r="X72" s="64"/>
      <c r="Y72" s="64"/>
      <c r="Z72" s="64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</row>
    <row r="73" ht="15.75" customHeight="1">
      <c r="A73" s="50"/>
      <c r="B73" s="50"/>
      <c r="C73" s="77">
        <f t="shared" ref="C73:G73" si="113">+C72-C54</f>
        <v>0</v>
      </c>
      <c r="D73" s="77">
        <f t="shared" si="113"/>
        <v>0</v>
      </c>
      <c r="E73" s="77">
        <f t="shared" si="113"/>
        <v>0</v>
      </c>
      <c r="F73" s="77">
        <f t="shared" si="113"/>
        <v>0</v>
      </c>
      <c r="G73" s="77">
        <f t="shared" si="113"/>
        <v>0</v>
      </c>
      <c r="H73" s="50"/>
      <c r="I73" s="64"/>
      <c r="J73" s="64"/>
      <c r="K73" s="64"/>
      <c r="L73" s="64"/>
      <c r="M73" s="64"/>
      <c r="N73" s="50"/>
      <c r="O73" s="50"/>
      <c r="P73" s="50"/>
      <c r="Q73" s="50"/>
      <c r="R73" s="50"/>
      <c r="S73" s="50"/>
      <c r="T73" s="50"/>
      <c r="U73" s="50"/>
      <c r="V73" s="77"/>
      <c r="W73" s="77"/>
      <c r="X73" s="77"/>
      <c r="Y73" s="77"/>
      <c r="Z73" s="77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</row>
  </sheetData>
  <mergeCells count="7">
    <mergeCell ref="B5:D7"/>
    <mergeCell ref="C13:G13"/>
    <mergeCell ref="I13:M13"/>
    <mergeCell ref="O13:S13"/>
    <mergeCell ref="V13:Z13"/>
    <mergeCell ref="B36:G36"/>
    <mergeCell ref="U36:Z36"/>
  </mergeCells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35.7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1.1"/>
    <col customWidth="1" min="22" max="22" width="9.0"/>
    <col customWidth="1" min="23" max="26" width="9.6"/>
    <col customWidth="1" min="27" max="39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</row>
    <row r="3">
      <c r="A3" s="50"/>
      <c r="B3" s="7" t="s">
        <v>172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</row>
    <row r="5" ht="15.0" customHeight="1">
      <c r="A5" s="50"/>
      <c r="B5" s="134" t="s">
        <v>173</v>
      </c>
      <c r="C5" s="11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</row>
    <row r="6">
      <c r="A6" s="50"/>
      <c r="B6" s="15"/>
      <c r="C6" s="16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</row>
    <row r="7">
      <c r="A7" s="50"/>
      <c r="B7" s="12"/>
      <c r="C7" s="14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3">+C15/C$15</f>
        <v>1</v>
      </c>
      <c r="J15" s="60">
        <f t="shared" si="3"/>
        <v>1</v>
      </c>
      <c r="K15" s="60">
        <f t="shared" si="3"/>
        <v>1</v>
      </c>
      <c r="L15" s="60">
        <f t="shared" si="3"/>
        <v>1</v>
      </c>
      <c r="M15" s="60">
        <f t="shared" si="3"/>
        <v>1</v>
      </c>
      <c r="N15" s="50"/>
      <c r="O15" s="61">
        <f t="shared" ref="O15:O27" si="6">IFERROR(C15/C15,0)</f>
        <v>1</v>
      </c>
      <c r="P15" s="61">
        <f t="shared" ref="P15:S15" si="4">IFERROR(D15/$C15,0)</f>
        <v>1.266666667</v>
      </c>
      <c r="Q15" s="61">
        <f t="shared" si="4"/>
        <v>2.1</v>
      </c>
      <c r="R15" s="61">
        <f t="shared" si="4"/>
        <v>2.533333333</v>
      </c>
      <c r="S15" s="61">
        <f t="shared" si="4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5">+C16/C$15</f>
        <v>-0.5733333333</v>
      </c>
      <c r="J16" s="60">
        <f t="shared" si="5"/>
        <v>-0.6315789474</v>
      </c>
      <c r="K16" s="60">
        <f t="shared" si="5"/>
        <v>-0.4285714286</v>
      </c>
      <c r="L16" s="60">
        <f t="shared" si="5"/>
        <v>-0.3631578947</v>
      </c>
      <c r="M16" s="60">
        <f t="shared" si="5"/>
        <v>-0.4411764706</v>
      </c>
      <c r="N16" s="50"/>
      <c r="O16" s="61">
        <f t="shared" si="6"/>
        <v>1</v>
      </c>
      <c r="P16" s="61">
        <f t="shared" ref="P16:S16" si="7">IFERROR(D16/$C16,0)</f>
        <v>1.395348837</v>
      </c>
      <c r="Q16" s="61">
        <f t="shared" si="7"/>
        <v>1.569767442</v>
      </c>
      <c r="R16" s="61">
        <f t="shared" si="7"/>
        <v>1.604651163</v>
      </c>
      <c r="S16" s="61">
        <f t="shared" si="7"/>
        <v>3.488372093</v>
      </c>
      <c r="T16" s="61"/>
      <c r="U16" s="50" t="s">
        <v>92</v>
      </c>
      <c r="V16" s="50">
        <f t="shared" ref="V16:Z16" si="8">-V15*V4</f>
        <v>-403920</v>
      </c>
      <c r="W16" s="50">
        <f t="shared" si="8"/>
        <v>-545292</v>
      </c>
      <c r="X16" s="50">
        <f t="shared" si="8"/>
        <v>-702683.1</v>
      </c>
      <c r="Y16" s="50">
        <f t="shared" si="8"/>
        <v>-948622.185</v>
      </c>
      <c r="Z16" s="50">
        <f t="shared" si="8"/>
        <v>-1280639.95</v>
      </c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9">+C17/C$15</f>
        <v>-0.06</v>
      </c>
      <c r="J17" s="96">
        <f t="shared" si="9"/>
        <v>-0.06315789474</v>
      </c>
      <c r="K17" s="96">
        <f t="shared" si="9"/>
        <v>-0.05238095238</v>
      </c>
      <c r="L17" s="96">
        <f t="shared" si="9"/>
        <v>-0.05657894737</v>
      </c>
      <c r="M17" s="96">
        <f t="shared" si="9"/>
        <v>-0.05661764706</v>
      </c>
      <c r="N17" s="50"/>
      <c r="O17" s="97">
        <f t="shared" si="6"/>
        <v>1</v>
      </c>
      <c r="P17" s="97">
        <f t="shared" ref="P17:S17" si="10">IFERROR(D17/$C17,0)</f>
        <v>1.333333333</v>
      </c>
      <c r="Q17" s="97">
        <f t="shared" si="10"/>
        <v>1.833333333</v>
      </c>
      <c r="R17" s="97">
        <f t="shared" si="10"/>
        <v>2.388888889</v>
      </c>
      <c r="S17" s="97">
        <f t="shared" si="10"/>
        <v>4.277777778</v>
      </c>
      <c r="T17" s="61"/>
      <c r="U17" s="50" t="s">
        <v>93</v>
      </c>
      <c r="V17" s="62">
        <f t="shared" ref="V17:Z17" si="11">-V15*6%*(1+V5)</f>
        <v>-60588</v>
      </c>
      <c r="W17" s="62">
        <f t="shared" si="11"/>
        <v>-85511.7</v>
      </c>
      <c r="X17" s="62">
        <f t="shared" si="11"/>
        <v>-115440.795</v>
      </c>
      <c r="Y17" s="62">
        <f t="shared" si="11"/>
        <v>-162620.946</v>
      </c>
      <c r="Z17" s="62">
        <f t="shared" si="11"/>
        <v>-228685.7053</v>
      </c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</row>
    <row r="18">
      <c r="A18" s="50"/>
      <c r="B18" s="63" t="s">
        <v>94</v>
      </c>
      <c r="C18" s="64">
        <f t="shared" ref="C18:G18" si="12">SUM(C15:C17)</f>
        <v>55000</v>
      </c>
      <c r="D18" s="64">
        <f t="shared" si="12"/>
        <v>58000</v>
      </c>
      <c r="E18" s="64">
        <f t="shared" si="12"/>
        <v>163500</v>
      </c>
      <c r="F18" s="64">
        <f t="shared" si="12"/>
        <v>220500</v>
      </c>
      <c r="G18" s="64">
        <f t="shared" si="12"/>
        <v>341500</v>
      </c>
      <c r="H18" s="50"/>
      <c r="I18" s="65">
        <f t="shared" ref="I18:M18" si="13">+C18/C$15</f>
        <v>0.3666666667</v>
      </c>
      <c r="J18" s="66">
        <f t="shared" si="13"/>
        <v>0.3052631579</v>
      </c>
      <c r="K18" s="66">
        <f t="shared" si="13"/>
        <v>0.519047619</v>
      </c>
      <c r="L18" s="66">
        <f t="shared" si="13"/>
        <v>0.5802631579</v>
      </c>
      <c r="M18" s="67">
        <f t="shared" si="13"/>
        <v>0.5022058824</v>
      </c>
      <c r="N18" s="50"/>
      <c r="O18" s="68">
        <f t="shared" si="6"/>
        <v>1</v>
      </c>
      <c r="P18" s="69">
        <f t="shared" ref="P18:S18" si="14">IFERROR(D18/$C18,0)</f>
        <v>1.054545455</v>
      </c>
      <c r="Q18" s="69">
        <f t="shared" si="14"/>
        <v>2.972727273</v>
      </c>
      <c r="R18" s="69">
        <f t="shared" si="14"/>
        <v>4.009090909</v>
      </c>
      <c r="S18" s="70">
        <f t="shared" si="14"/>
        <v>6.209090909</v>
      </c>
      <c r="T18" s="61"/>
      <c r="U18" s="63" t="s">
        <v>94</v>
      </c>
      <c r="V18" s="64">
        <f t="shared" ref="V18:Z18" si="15">SUM(V15:V17)</f>
        <v>453492</v>
      </c>
      <c r="W18" s="64">
        <f t="shared" si="15"/>
        <v>608496.3</v>
      </c>
      <c r="X18" s="64">
        <f t="shared" si="15"/>
        <v>854931.105</v>
      </c>
      <c r="Y18" s="64">
        <f t="shared" si="15"/>
        <v>1147381.119</v>
      </c>
      <c r="Z18" s="64">
        <f t="shared" si="15"/>
        <v>1539817.082</v>
      </c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16">+C19/C$15</f>
        <v>-0.16</v>
      </c>
      <c r="J19" s="60">
        <f t="shared" si="16"/>
        <v>-0.1552631579</v>
      </c>
      <c r="K19" s="60">
        <f t="shared" si="16"/>
        <v>-0.1580952381</v>
      </c>
      <c r="L19" s="60">
        <f t="shared" si="16"/>
        <v>-0.1592105263</v>
      </c>
      <c r="M19" s="60">
        <f t="shared" si="16"/>
        <v>-0.1588235294</v>
      </c>
      <c r="N19" s="50"/>
      <c r="O19" s="61">
        <f t="shared" si="6"/>
        <v>1</v>
      </c>
      <c r="P19" s="61">
        <f t="shared" ref="P19:S19" si="17">IFERROR(D19/$C19,0)</f>
        <v>1.229166667</v>
      </c>
      <c r="Q19" s="61">
        <f t="shared" si="17"/>
        <v>2.075</v>
      </c>
      <c r="R19" s="61">
        <f t="shared" si="17"/>
        <v>2.520833333</v>
      </c>
      <c r="S19" s="61">
        <f t="shared" si="17"/>
        <v>4.5</v>
      </c>
      <c r="T19" s="61"/>
      <c r="U19" s="50" t="s">
        <v>95</v>
      </c>
      <c r="V19" s="50">
        <f>G19*(1+V5)</f>
        <v>-118800</v>
      </c>
      <c r="W19" s="50">
        <f t="shared" ref="W19:Z19" si="18">+V19*(1+W5)</f>
        <v>-136620</v>
      </c>
      <c r="X19" s="50">
        <f t="shared" si="18"/>
        <v>-157113</v>
      </c>
      <c r="Y19" s="50">
        <f t="shared" si="18"/>
        <v>-188535.6</v>
      </c>
      <c r="Z19" s="50">
        <f t="shared" si="18"/>
        <v>-235669.5</v>
      </c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19">+C20/C$15</f>
        <v>-0.08</v>
      </c>
      <c r="J20" s="60">
        <f t="shared" si="19"/>
        <v>-0.09210526316</v>
      </c>
      <c r="K20" s="60">
        <f t="shared" si="19"/>
        <v>-0.09682539683</v>
      </c>
      <c r="L20" s="60">
        <f t="shared" si="19"/>
        <v>-0.09473684211</v>
      </c>
      <c r="M20" s="60">
        <f t="shared" si="19"/>
        <v>-0.09926470588</v>
      </c>
      <c r="N20" s="50"/>
      <c r="O20" s="61">
        <f t="shared" si="6"/>
        <v>1</v>
      </c>
      <c r="P20" s="61">
        <f t="shared" ref="P20:S20" si="20">IFERROR(D20/$C20,0)</f>
        <v>1.458333333</v>
      </c>
      <c r="Q20" s="61">
        <f t="shared" si="20"/>
        <v>2.541666667</v>
      </c>
      <c r="R20" s="61">
        <f t="shared" si="20"/>
        <v>3</v>
      </c>
      <c r="S20" s="61">
        <f t="shared" si="20"/>
        <v>5.625</v>
      </c>
      <c r="T20" s="61"/>
      <c r="U20" s="50" t="s">
        <v>96</v>
      </c>
      <c r="V20" s="50">
        <f>+G20*(1+V6)</f>
        <v>-74250</v>
      </c>
      <c r="W20" s="50">
        <f t="shared" ref="W20:Z20" si="21">+V20*(1+W6)</f>
        <v>-85387.5</v>
      </c>
      <c r="X20" s="50">
        <f t="shared" si="21"/>
        <v>-98195.625</v>
      </c>
      <c r="Y20" s="50">
        <f t="shared" si="21"/>
        <v>-117834.75</v>
      </c>
      <c r="Z20" s="50">
        <f t="shared" si="21"/>
        <v>-147293.4375</v>
      </c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22">+C21/C$15</f>
        <v>-0.0006666666667</v>
      </c>
      <c r="J21" s="60">
        <f t="shared" si="22"/>
        <v>-0.0006315789474</v>
      </c>
      <c r="K21" s="60">
        <f t="shared" si="22"/>
        <v>-0.003111111111</v>
      </c>
      <c r="L21" s="60">
        <f t="shared" si="22"/>
        <v>-0.002894736842</v>
      </c>
      <c r="M21" s="60">
        <f t="shared" si="22"/>
        <v>-0.002794117647</v>
      </c>
      <c r="N21" s="50"/>
      <c r="O21" s="61">
        <f t="shared" si="6"/>
        <v>1</v>
      </c>
      <c r="P21" s="61">
        <f t="shared" ref="P21:S21" si="23">IFERROR(D21/$C21,0)</f>
        <v>1.2</v>
      </c>
      <c r="Q21" s="61">
        <f t="shared" si="23"/>
        <v>9.8</v>
      </c>
      <c r="R21" s="61">
        <f t="shared" si="23"/>
        <v>11</v>
      </c>
      <c r="S21" s="61">
        <f t="shared" si="23"/>
        <v>19</v>
      </c>
      <c r="T21" s="61"/>
      <c r="U21" s="50" t="s">
        <v>97</v>
      </c>
      <c r="V21" s="50">
        <f t="shared" ref="V21:Z21" si="24">-V15*V7/2</f>
        <v>-4590</v>
      </c>
      <c r="W21" s="50">
        <f t="shared" si="24"/>
        <v>-6196.5</v>
      </c>
      <c r="X21" s="50">
        <f t="shared" si="24"/>
        <v>-8365.275</v>
      </c>
      <c r="Y21" s="50">
        <f t="shared" si="24"/>
        <v>-11293.12125</v>
      </c>
      <c r="Z21" s="50">
        <f t="shared" si="24"/>
        <v>-15245.71369</v>
      </c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25">+C22/C$15</f>
        <v>-0.003466666667</v>
      </c>
      <c r="J22" s="60">
        <f t="shared" si="25"/>
        <v>-0.003578947368</v>
      </c>
      <c r="K22" s="60">
        <f t="shared" si="25"/>
        <v>-0.01022222222</v>
      </c>
      <c r="L22" s="60">
        <f t="shared" si="25"/>
        <v>-0.008947368421</v>
      </c>
      <c r="M22" s="60">
        <f t="shared" si="25"/>
        <v>-0.0075</v>
      </c>
      <c r="N22" s="50"/>
      <c r="O22" s="61">
        <f t="shared" si="6"/>
        <v>1</v>
      </c>
      <c r="P22" s="61">
        <f t="shared" ref="P22:S22" si="26">IFERROR(D22/$C22,0)</f>
        <v>1.307692308</v>
      </c>
      <c r="Q22" s="61">
        <f t="shared" si="26"/>
        <v>6.192307692</v>
      </c>
      <c r="R22" s="61">
        <f t="shared" si="26"/>
        <v>6.538461538</v>
      </c>
      <c r="S22" s="61">
        <f t="shared" si="26"/>
        <v>9.807692308</v>
      </c>
      <c r="T22" s="61"/>
      <c r="U22" s="50" t="s">
        <v>98</v>
      </c>
      <c r="V22" s="62">
        <f t="shared" ref="V22:Z22" si="27">-V15*V7/2</f>
        <v>-4590</v>
      </c>
      <c r="W22" s="62">
        <f t="shared" si="27"/>
        <v>-6196.5</v>
      </c>
      <c r="X22" s="62">
        <f t="shared" si="27"/>
        <v>-8365.275</v>
      </c>
      <c r="Y22" s="62">
        <f t="shared" si="27"/>
        <v>-11293.12125</v>
      </c>
      <c r="Z22" s="62">
        <f t="shared" si="27"/>
        <v>-15245.71369</v>
      </c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</row>
    <row r="23" ht="15.75" customHeight="1">
      <c r="A23" s="50"/>
      <c r="B23" s="63" t="s">
        <v>99</v>
      </c>
      <c r="C23" s="64">
        <f t="shared" ref="C23:G23" si="28">SUM(C18:C22)</f>
        <v>18380</v>
      </c>
      <c r="D23" s="64">
        <f t="shared" si="28"/>
        <v>10200</v>
      </c>
      <c r="E23" s="64">
        <f t="shared" si="28"/>
        <v>79000</v>
      </c>
      <c r="F23" s="64">
        <f t="shared" si="28"/>
        <v>119500</v>
      </c>
      <c r="G23" s="64">
        <f t="shared" si="28"/>
        <v>159000</v>
      </c>
      <c r="H23" s="50"/>
      <c r="I23" s="65">
        <f t="shared" ref="I23:M23" si="29">+C23/C$15</f>
        <v>0.1225333333</v>
      </c>
      <c r="J23" s="66">
        <f t="shared" si="29"/>
        <v>0.05368421053</v>
      </c>
      <c r="K23" s="66">
        <f t="shared" si="29"/>
        <v>0.2507936508</v>
      </c>
      <c r="L23" s="66">
        <f t="shared" si="29"/>
        <v>0.3144736842</v>
      </c>
      <c r="M23" s="67">
        <f t="shared" si="29"/>
        <v>0.2338235294</v>
      </c>
      <c r="N23" s="50"/>
      <c r="O23" s="68">
        <f t="shared" si="6"/>
        <v>1</v>
      </c>
      <c r="P23" s="69">
        <f t="shared" ref="P23:S23" si="30">IFERROR(D23/$C23,0)</f>
        <v>0.5549510337</v>
      </c>
      <c r="Q23" s="69">
        <f t="shared" si="30"/>
        <v>4.298150163</v>
      </c>
      <c r="R23" s="69">
        <f t="shared" si="30"/>
        <v>6.501632209</v>
      </c>
      <c r="S23" s="70">
        <f t="shared" si="30"/>
        <v>8.650707291</v>
      </c>
      <c r="T23" s="71"/>
      <c r="U23" s="63" t="s">
        <v>99</v>
      </c>
      <c r="V23" s="64">
        <f t="shared" ref="V23:Z23" si="31">SUM(V18:V22)</f>
        <v>251262</v>
      </c>
      <c r="W23" s="64">
        <f t="shared" si="31"/>
        <v>374095.8</v>
      </c>
      <c r="X23" s="64">
        <f t="shared" si="31"/>
        <v>582891.93</v>
      </c>
      <c r="Y23" s="64">
        <f t="shared" si="31"/>
        <v>818424.5265</v>
      </c>
      <c r="Z23" s="64">
        <f t="shared" si="31"/>
        <v>1126362.718</v>
      </c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32">+C24/C$15</f>
        <v>-0.005666666667</v>
      </c>
      <c r="J24" s="60">
        <f t="shared" si="32"/>
        <v>-0.006842105263</v>
      </c>
      <c r="K24" s="60">
        <f t="shared" si="32"/>
        <v>-0.007301587302</v>
      </c>
      <c r="L24" s="60">
        <f t="shared" si="32"/>
        <v>-0.008421052632</v>
      </c>
      <c r="M24" s="60">
        <f t="shared" si="32"/>
        <v>-0.00875</v>
      </c>
      <c r="N24" s="50"/>
      <c r="O24" s="61">
        <f t="shared" si="6"/>
        <v>1</v>
      </c>
      <c r="P24" s="61">
        <f t="shared" ref="P24:S24" si="33">IFERROR(D24/$C24,0)</f>
        <v>1.529411765</v>
      </c>
      <c r="Q24" s="61">
        <f t="shared" si="33"/>
        <v>2.705882353</v>
      </c>
      <c r="R24" s="61">
        <f t="shared" si="33"/>
        <v>3.764705882</v>
      </c>
      <c r="S24" s="61">
        <f t="shared" si="33"/>
        <v>7</v>
      </c>
      <c r="T24" s="61"/>
      <c r="U24" s="50" t="s">
        <v>100</v>
      </c>
      <c r="V24" s="62">
        <f>-'TABLAS AMORTIZACION'!K27</f>
        <v>-7719.009913</v>
      </c>
      <c r="W24" s="62">
        <f>-'TABLAS AMORTIZACION'!L27</f>
        <v>-5202.154565</v>
      </c>
      <c r="X24" s="62">
        <f>-'TABLAS AMORTIZACION'!M27</f>
        <v>-4081.096275</v>
      </c>
      <c r="Y24" s="62">
        <f>-'TABLAS AMORTIZACION'!N27</f>
        <v>-4081.096275</v>
      </c>
      <c r="Z24" s="62">
        <f>-'TABLAS AMORTIZACION'!O27</f>
        <v>-4081.096275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</row>
    <row r="25" ht="15.75" customHeight="1">
      <c r="A25" s="50"/>
      <c r="B25" s="63" t="s">
        <v>101</v>
      </c>
      <c r="C25" s="64">
        <f t="shared" ref="C25:G25" si="34">SUM(C23:C24)</f>
        <v>17530</v>
      </c>
      <c r="D25" s="64">
        <f t="shared" si="34"/>
        <v>8900</v>
      </c>
      <c r="E25" s="64">
        <f t="shared" si="34"/>
        <v>76700</v>
      </c>
      <c r="F25" s="64">
        <f t="shared" si="34"/>
        <v>116300</v>
      </c>
      <c r="G25" s="64">
        <f t="shared" si="34"/>
        <v>153050</v>
      </c>
      <c r="H25" s="50"/>
      <c r="I25" s="65">
        <f t="shared" ref="I25:M25" si="35">+C25/C$15</f>
        <v>0.1168666667</v>
      </c>
      <c r="J25" s="66">
        <f t="shared" si="35"/>
        <v>0.04684210526</v>
      </c>
      <c r="K25" s="66">
        <f t="shared" si="35"/>
        <v>0.2434920635</v>
      </c>
      <c r="L25" s="66">
        <f t="shared" si="35"/>
        <v>0.3060526316</v>
      </c>
      <c r="M25" s="67">
        <f t="shared" si="35"/>
        <v>0.2250735294</v>
      </c>
      <c r="N25" s="50"/>
      <c r="O25" s="68">
        <f t="shared" si="6"/>
        <v>1</v>
      </c>
      <c r="P25" s="69">
        <f t="shared" ref="P25:S25" si="36">IFERROR(D25/$C25,0)</f>
        <v>0.5077010839</v>
      </c>
      <c r="Q25" s="69">
        <f t="shared" si="36"/>
        <v>4.375356532</v>
      </c>
      <c r="R25" s="69">
        <f t="shared" si="36"/>
        <v>6.634341129</v>
      </c>
      <c r="S25" s="70">
        <f t="shared" si="36"/>
        <v>8.73074729</v>
      </c>
      <c r="T25" s="71"/>
      <c r="U25" s="63" t="s">
        <v>101</v>
      </c>
      <c r="V25" s="64">
        <f t="shared" ref="V25:Z25" si="37">SUM(V23:V24)</f>
        <v>243542.9901</v>
      </c>
      <c r="W25" s="64">
        <f t="shared" si="37"/>
        <v>368893.6454</v>
      </c>
      <c r="X25" s="64">
        <f t="shared" si="37"/>
        <v>578810.8337</v>
      </c>
      <c r="Y25" s="64">
        <f t="shared" si="37"/>
        <v>814343.4302</v>
      </c>
      <c r="Z25" s="64">
        <f t="shared" si="37"/>
        <v>1122281.621</v>
      </c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38">+C26/C$15</f>
        <v>-0.1966666667</v>
      </c>
      <c r="J26" s="60">
        <f t="shared" si="38"/>
        <v>-0.2263157895</v>
      </c>
      <c r="K26" s="60">
        <f t="shared" si="38"/>
        <v>-0.1498412698</v>
      </c>
      <c r="L26" s="60">
        <f t="shared" si="38"/>
        <v>-0.07651315789</v>
      </c>
      <c r="M26" s="60">
        <f t="shared" si="38"/>
        <v>-0.1455882353</v>
      </c>
      <c r="N26" s="50"/>
      <c r="O26" s="61">
        <f t="shared" si="6"/>
        <v>1</v>
      </c>
      <c r="P26" s="61">
        <f t="shared" ref="P26:S26" si="39">IFERROR(D26/$C26,0)</f>
        <v>1.457627119</v>
      </c>
      <c r="Q26" s="61">
        <f t="shared" si="39"/>
        <v>1.6</v>
      </c>
      <c r="R26" s="61">
        <f t="shared" si="39"/>
        <v>0.9855932203</v>
      </c>
      <c r="S26" s="61">
        <f t="shared" si="39"/>
        <v>3.355932203</v>
      </c>
      <c r="T26" s="61"/>
      <c r="U26" s="50" t="s">
        <v>102</v>
      </c>
      <c r="V26" s="50">
        <f t="shared" ref="V26:Z26" si="40">-V25*V9</f>
        <v>-60885.74752</v>
      </c>
      <c r="W26" s="50">
        <f t="shared" si="40"/>
        <v>-92223.41136</v>
      </c>
      <c r="X26" s="50">
        <f t="shared" si="40"/>
        <v>-144702.7084</v>
      </c>
      <c r="Y26" s="50">
        <f t="shared" si="40"/>
        <v>-203585.8576</v>
      </c>
      <c r="Z26" s="50">
        <f t="shared" si="40"/>
        <v>-280570.4053</v>
      </c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</row>
    <row r="27" ht="15.75" customHeight="1">
      <c r="A27" s="50"/>
      <c r="B27" s="63" t="s">
        <v>103</v>
      </c>
      <c r="C27" s="72">
        <f t="shared" ref="C27:G27" si="41">+C25+C26</f>
        <v>-11970</v>
      </c>
      <c r="D27" s="72">
        <f t="shared" si="41"/>
        <v>-34100</v>
      </c>
      <c r="E27" s="72">
        <f t="shared" si="41"/>
        <v>29500</v>
      </c>
      <c r="F27" s="72">
        <f t="shared" si="41"/>
        <v>87225</v>
      </c>
      <c r="G27" s="72">
        <f t="shared" si="41"/>
        <v>54050</v>
      </c>
      <c r="H27" s="50"/>
      <c r="I27" s="65">
        <f t="shared" ref="I27:M27" si="42">+C27/C$15</f>
        <v>-0.0798</v>
      </c>
      <c r="J27" s="66">
        <f t="shared" si="42"/>
        <v>-0.1794736842</v>
      </c>
      <c r="K27" s="66">
        <f t="shared" si="42"/>
        <v>0.09365079365</v>
      </c>
      <c r="L27" s="66">
        <f t="shared" si="42"/>
        <v>0.2295394737</v>
      </c>
      <c r="M27" s="67">
        <f t="shared" si="42"/>
        <v>0.07948529412</v>
      </c>
      <c r="N27" s="50"/>
      <c r="O27" s="68">
        <f t="shared" si="6"/>
        <v>1</v>
      </c>
      <c r="P27" s="69">
        <f t="shared" ref="P27:S27" si="43">IFERROR(D27/$C27,0)</f>
        <v>2.848788638</v>
      </c>
      <c r="Q27" s="69">
        <f t="shared" si="43"/>
        <v>-2.46449457</v>
      </c>
      <c r="R27" s="69">
        <f t="shared" si="43"/>
        <v>-7.286967419</v>
      </c>
      <c r="S27" s="70">
        <f t="shared" si="43"/>
        <v>-4.515455305</v>
      </c>
      <c r="T27" s="71"/>
      <c r="U27" s="63" t="s">
        <v>103</v>
      </c>
      <c r="V27" s="72">
        <f t="shared" ref="V27:Z27" si="44">+V25+V26</f>
        <v>182657.2426</v>
      </c>
      <c r="W27" s="72">
        <f t="shared" si="44"/>
        <v>276670.2341</v>
      </c>
      <c r="X27" s="72">
        <f t="shared" si="44"/>
        <v>434108.1253</v>
      </c>
      <c r="Y27" s="72">
        <f t="shared" si="44"/>
        <v>610757.5727</v>
      </c>
      <c r="Z27" s="72">
        <f t="shared" si="44"/>
        <v>841711.216</v>
      </c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</row>
    <row r="29" ht="15.75" customHeight="1">
      <c r="A29" s="50"/>
      <c r="B29" s="53" t="s">
        <v>166</v>
      </c>
      <c r="C29" s="73"/>
      <c r="D29" s="73"/>
      <c r="E29" s="73"/>
      <c r="F29" s="73"/>
      <c r="G29" s="73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3" t="s">
        <v>166</v>
      </c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</row>
    <row r="30" ht="15.75" customHeight="1">
      <c r="A30" s="50"/>
      <c r="B30" s="50"/>
      <c r="C30" s="73"/>
      <c r="D30" s="73"/>
      <c r="E30" s="73"/>
      <c r="F30" s="73"/>
      <c r="G30" s="73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</row>
    <row r="31" ht="15.75" customHeight="1">
      <c r="A31" s="50"/>
      <c r="B31" s="120" t="s">
        <v>167</v>
      </c>
      <c r="C31" s="121">
        <f t="shared" ref="C31:G31" si="45">C18/C15</f>
        <v>0.3666666667</v>
      </c>
      <c r="D31" s="121">
        <f t="shared" si="45"/>
        <v>0.3052631579</v>
      </c>
      <c r="E31" s="121">
        <f t="shared" si="45"/>
        <v>0.519047619</v>
      </c>
      <c r="F31" s="121">
        <f t="shared" si="45"/>
        <v>0.5802631579</v>
      </c>
      <c r="G31" s="122">
        <f t="shared" si="45"/>
        <v>0.5022058824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120" t="s">
        <v>167</v>
      </c>
      <c r="V31" s="121">
        <f t="shared" ref="V31:Z31" si="46">V18/V15</f>
        <v>0.494</v>
      </c>
      <c r="W31" s="121">
        <f t="shared" si="46"/>
        <v>0.491</v>
      </c>
      <c r="X31" s="121">
        <f t="shared" si="46"/>
        <v>0.511</v>
      </c>
      <c r="Y31" s="121">
        <f t="shared" si="46"/>
        <v>0.508</v>
      </c>
      <c r="Z31" s="122">
        <f t="shared" si="46"/>
        <v>0.505</v>
      </c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</row>
    <row r="32" ht="15.75" customHeight="1">
      <c r="A32" s="50"/>
      <c r="B32" s="123" t="s">
        <v>99</v>
      </c>
      <c r="C32" s="124">
        <f t="shared" ref="C32:G32" si="47">C23/C15</f>
        <v>0.1225333333</v>
      </c>
      <c r="D32" s="124">
        <f t="shared" si="47"/>
        <v>0.05368421053</v>
      </c>
      <c r="E32" s="124">
        <f t="shared" si="47"/>
        <v>0.2507936508</v>
      </c>
      <c r="F32" s="124">
        <f t="shared" si="47"/>
        <v>0.3144736842</v>
      </c>
      <c r="G32" s="125">
        <f t="shared" si="47"/>
        <v>0.2338235294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123" t="s">
        <v>99</v>
      </c>
      <c r="V32" s="124">
        <f t="shared" ref="V32:Z32" si="48">V23/V15</f>
        <v>0.2737058824</v>
      </c>
      <c r="W32" s="124">
        <f t="shared" si="48"/>
        <v>0.3018605664</v>
      </c>
      <c r="X32" s="124">
        <f t="shared" si="48"/>
        <v>0.3483997418</v>
      </c>
      <c r="Y32" s="124">
        <f t="shared" si="48"/>
        <v>0.362355326</v>
      </c>
      <c r="Z32" s="125">
        <f t="shared" si="48"/>
        <v>0.3694030797</v>
      </c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</row>
    <row r="33" ht="15.75" customHeight="1">
      <c r="A33" s="50"/>
      <c r="B33" s="126" t="s">
        <v>168</v>
      </c>
      <c r="C33" s="127">
        <f t="shared" ref="C33:G33" si="49">C27/C15</f>
        <v>-0.0798</v>
      </c>
      <c r="D33" s="127">
        <f t="shared" si="49"/>
        <v>-0.1794736842</v>
      </c>
      <c r="E33" s="127">
        <f t="shared" si="49"/>
        <v>0.09365079365</v>
      </c>
      <c r="F33" s="127">
        <f t="shared" si="49"/>
        <v>0.2295394737</v>
      </c>
      <c r="G33" s="128">
        <f t="shared" si="49"/>
        <v>0.07948529412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126" t="s">
        <v>168</v>
      </c>
      <c r="V33" s="127">
        <f t="shared" ref="V33:Z33" si="50">V27/V15</f>
        <v>0.1989730311</v>
      </c>
      <c r="W33" s="127">
        <f t="shared" si="50"/>
        <v>0.2232471831</v>
      </c>
      <c r="X33" s="127">
        <f t="shared" si="50"/>
        <v>0.2594703254</v>
      </c>
      <c r="Y33" s="127">
        <f t="shared" si="50"/>
        <v>0.2704113235</v>
      </c>
      <c r="Z33" s="128">
        <f t="shared" si="50"/>
        <v>0.2760484793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</row>
    <row r="35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</row>
    <row r="36" ht="15.75" customHeight="1">
      <c r="A36" s="50"/>
      <c r="B36" s="129" t="s">
        <v>169</v>
      </c>
      <c r="C36" s="130"/>
      <c r="D36" s="130"/>
      <c r="E36" s="130"/>
      <c r="F36" s="130"/>
      <c r="G36" s="131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129" t="s">
        <v>169</v>
      </c>
      <c r="V36" s="130"/>
      <c r="W36" s="130"/>
      <c r="X36" s="130"/>
      <c r="Y36" s="130"/>
      <c r="Z36" s="131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</row>
    <row r="37" ht="15.75" customHeight="1">
      <c r="A37" s="50"/>
      <c r="B37" s="82" t="s">
        <v>170</v>
      </c>
      <c r="C37" s="132">
        <f t="shared" ref="C37:G37" si="51">C23/C54</f>
        <v>0.2548174783</v>
      </c>
      <c r="D37" s="132">
        <f t="shared" si="51"/>
        <v>0.1269445225</v>
      </c>
      <c r="E37" s="132">
        <f t="shared" si="51"/>
        <v>0.2461595526</v>
      </c>
      <c r="F37" s="132">
        <f t="shared" si="51"/>
        <v>0.340480033</v>
      </c>
      <c r="G37" s="132">
        <f t="shared" si="51"/>
        <v>0.4940563685</v>
      </c>
      <c r="H37" s="133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82" t="s">
        <v>170</v>
      </c>
      <c r="V37" s="132"/>
      <c r="W37" s="132"/>
      <c r="X37" s="132"/>
      <c r="Y37" s="132"/>
      <c r="Z37" s="132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</row>
    <row r="38" ht="15.75" customHeight="1">
      <c r="A38" s="50"/>
      <c r="B38" s="82" t="s">
        <v>171</v>
      </c>
      <c r="C38" s="132">
        <f t="shared" ref="C38:G38" si="52">C27/C72</f>
        <v>-0.1659502293</v>
      </c>
      <c r="D38" s="132">
        <f t="shared" si="52"/>
        <v>-0.4243929625</v>
      </c>
      <c r="E38" s="132">
        <f t="shared" si="52"/>
        <v>0.09192033928</v>
      </c>
      <c r="F38" s="132">
        <f t="shared" si="52"/>
        <v>0.248521932</v>
      </c>
      <c r="G38" s="132">
        <f t="shared" si="52"/>
        <v>0.1679480926</v>
      </c>
      <c r="H38" s="133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82" t="s">
        <v>171</v>
      </c>
      <c r="V38" s="132"/>
      <c r="W38" s="132"/>
      <c r="X38" s="132"/>
      <c r="Y38" s="132"/>
      <c r="Z38" s="132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</row>
    <row r="39" ht="15.75" customHeight="1">
      <c r="A39" s="50"/>
      <c r="B39" s="50"/>
      <c r="C39" s="73"/>
      <c r="D39" s="73"/>
      <c r="E39" s="73"/>
      <c r="F39" s="73"/>
      <c r="G39" s="73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</row>
    <row r="40" ht="15.75" customHeight="1">
      <c r="A40" s="50"/>
      <c r="B40" s="50"/>
      <c r="C40" s="73"/>
      <c r="D40" s="73"/>
      <c r="E40" s="73"/>
      <c r="F40" s="73"/>
      <c r="G40" s="73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</row>
    <row r="42" ht="15.75" customHeight="1">
      <c r="A42" s="50"/>
      <c r="B42" s="53" t="s">
        <v>104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3"/>
      <c r="V42" s="50"/>
      <c r="W42" s="50"/>
      <c r="X42" s="50"/>
      <c r="Y42" s="50"/>
      <c r="Z42" s="50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</row>
    <row r="44" ht="15.75" customHeight="1">
      <c r="A44" s="50"/>
      <c r="B44" s="50"/>
      <c r="C44" s="59">
        <v>2017.0</v>
      </c>
      <c r="D44" s="59">
        <v>2018.0</v>
      </c>
      <c r="E44" s="59">
        <v>2019.0</v>
      </c>
      <c r="F44" s="59">
        <v>2020.0</v>
      </c>
      <c r="G44" s="59">
        <v>2021.0</v>
      </c>
      <c r="H44" s="50"/>
      <c r="I44" s="59">
        <f t="shared" ref="I44:M44" si="53">+C44</f>
        <v>2017</v>
      </c>
      <c r="J44" s="59">
        <f t="shared" si="53"/>
        <v>2018</v>
      </c>
      <c r="K44" s="59">
        <f t="shared" si="53"/>
        <v>2019</v>
      </c>
      <c r="L44" s="59">
        <f t="shared" si="53"/>
        <v>2020</v>
      </c>
      <c r="M44" s="59">
        <f t="shared" si="53"/>
        <v>2021</v>
      </c>
      <c r="N44" s="50"/>
      <c r="O44" s="59">
        <f t="shared" ref="O44:S44" si="54">+C44</f>
        <v>2017</v>
      </c>
      <c r="P44" s="59">
        <f t="shared" si="54"/>
        <v>2018</v>
      </c>
      <c r="Q44" s="59">
        <f t="shared" si="54"/>
        <v>2019</v>
      </c>
      <c r="R44" s="59">
        <f t="shared" si="54"/>
        <v>2020</v>
      </c>
      <c r="S44" s="59">
        <f t="shared" si="54"/>
        <v>2021</v>
      </c>
      <c r="T44" s="58"/>
      <c r="U44" s="50"/>
      <c r="V44" s="59">
        <v>2022.0</v>
      </c>
      <c r="W44" s="59">
        <v>2023.0</v>
      </c>
      <c r="X44" s="59">
        <v>2024.0</v>
      </c>
      <c r="Y44" s="59">
        <v>2025.0</v>
      </c>
      <c r="Z44" s="59">
        <v>2026.0</v>
      </c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</row>
    <row r="45" ht="15.75" customHeight="1">
      <c r="A45" s="50"/>
      <c r="B45" s="50" t="s">
        <v>105</v>
      </c>
      <c r="C45" s="50">
        <v>4000.0</v>
      </c>
      <c r="D45" s="50">
        <v>12000.0</v>
      </c>
      <c r="E45" s="50">
        <v>21000.0</v>
      </c>
      <c r="F45" s="50">
        <v>36000.0</v>
      </c>
      <c r="G45" s="50">
        <v>52000.0</v>
      </c>
      <c r="H45" s="50"/>
      <c r="I45" s="60">
        <f t="shared" ref="I45:M45" si="55">C45/C$54</f>
        <v>0.05545538157</v>
      </c>
      <c r="J45" s="60">
        <f t="shared" si="55"/>
        <v>0.1493464971</v>
      </c>
      <c r="K45" s="60">
        <f t="shared" si="55"/>
        <v>0.06543481779</v>
      </c>
      <c r="L45" s="60">
        <f t="shared" si="55"/>
        <v>0.1025713907</v>
      </c>
      <c r="M45" s="60">
        <f t="shared" si="55"/>
        <v>0.1615781834</v>
      </c>
      <c r="N45" s="50"/>
      <c r="O45" s="61">
        <f t="shared" ref="O45:O54" si="59">IFERROR(C45/C45,0)</f>
        <v>1</v>
      </c>
      <c r="P45" s="61">
        <f t="shared" ref="P45:S45" si="56">IFERROR(D45/$C45,0)</f>
        <v>3</v>
      </c>
      <c r="Q45" s="61">
        <f t="shared" si="56"/>
        <v>5.25</v>
      </c>
      <c r="R45" s="61">
        <f t="shared" si="56"/>
        <v>9</v>
      </c>
      <c r="S45" s="61">
        <f t="shared" si="56"/>
        <v>13</v>
      </c>
      <c r="T45" s="61"/>
      <c r="U45" s="50" t="s">
        <v>105</v>
      </c>
      <c r="V45" s="50">
        <f>+G45</f>
        <v>52000</v>
      </c>
      <c r="W45" s="50">
        <f t="shared" ref="W45:Z45" si="57">+V45</f>
        <v>52000</v>
      </c>
      <c r="X45" s="50">
        <f t="shared" si="57"/>
        <v>52000</v>
      </c>
      <c r="Y45" s="50">
        <f t="shared" si="57"/>
        <v>52000</v>
      </c>
      <c r="Z45" s="50">
        <f t="shared" si="57"/>
        <v>52000</v>
      </c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</row>
    <row r="46" ht="15.75" customHeight="1">
      <c r="A46" s="50"/>
      <c r="B46" s="50" t="s">
        <v>106</v>
      </c>
      <c r="C46" s="50">
        <v>-100.0</v>
      </c>
      <c r="D46" s="50">
        <v>-220.0</v>
      </c>
      <c r="E46" s="50">
        <v>-1200.0</v>
      </c>
      <c r="F46" s="50">
        <v>-2300.0</v>
      </c>
      <c r="G46" s="50">
        <v>-4200.0</v>
      </c>
      <c r="H46" s="50"/>
      <c r="I46" s="60">
        <f t="shared" ref="I46:M46" si="58">C46/C$54</f>
        <v>-0.001386384539</v>
      </c>
      <c r="J46" s="60">
        <f t="shared" si="58"/>
        <v>-0.002738019113</v>
      </c>
      <c r="K46" s="60">
        <f t="shared" si="58"/>
        <v>-0.003739132445</v>
      </c>
      <c r="L46" s="60">
        <f t="shared" si="58"/>
        <v>-0.006553172183</v>
      </c>
      <c r="M46" s="60">
        <f t="shared" si="58"/>
        <v>-0.01305054558</v>
      </c>
      <c r="N46" s="50"/>
      <c r="O46" s="61">
        <f t="shared" si="59"/>
        <v>1</v>
      </c>
      <c r="P46" s="61">
        <f t="shared" ref="P46:S46" si="60">IFERROR(D46/$C46,0)</f>
        <v>2.2</v>
      </c>
      <c r="Q46" s="61">
        <f t="shared" si="60"/>
        <v>12</v>
      </c>
      <c r="R46" s="61">
        <f t="shared" si="60"/>
        <v>23</v>
      </c>
      <c r="S46" s="61">
        <f t="shared" si="60"/>
        <v>42</v>
      </c>
      <c r="T46" s="61"/>
      <c r="U46" s="50" t="s">
        <v>106</v>
      </c>
      <c r="V46" s="50">
        <f t="shared" ref="V46:Z46" si="61">+G46+V21</f>
        <v>-8790</v>
      </c>
      <c r="W46" s="50">
        <f t="shared" si="61"/>
        <v>-6196.5</v>
      </c>
      <c r="X46" s="50">
        <f t="shared" si="61"/>
        <v>-8365.276386</v>
      </c>
      <c r="Y46" s="50">
        <f t="shared" si="61"/>
        <v>-11293.12399</v>
      </c>
      <c r="Z46" s="50">
        <f t="shared" si="61"/>
        <v>-15245.71743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</row>
    <row r="47" ht="15.75" customHeight="1">
      <c r="A47" s="50"/>
      <c r="B47" s="50" t="s">
        <v>107</v>
      </c>
      <c r="C47" s="50">
        <v>10000.0</v>
      </c>
      <c r="D47" s="50">
        <v>20000.0</v>
      </c>
      <c r="E47" s="50">
        <v>50000.0</v>
      </c>
      <c r="F47" s="50">
        <v>11000.0</v>
      </c>
      <c r="G47" s="50">
        <v>125000.0</v>
      </c>
      <c r="H47" s="50"/>
      <c r="I47" s="60">
        <f t="shared" ref="I47:M47" si="62">C47/C$54</f>
        <v>0.1386384539</v>
      </c>
      <c r="J47" s="60">
        <f t="shared" si="62"/>
        <v>0.2489108284</v>
      </c>
      <c r="K47" s="60">
        <f t="shared" si="62"/>
        <v>0.1557971852</v>
      </c>
      <c r="L47" s="60">
        <f t="shared" si="62"/>
        <v>0.03134125826</v>
      </c>
      <c r="M47" s="60">
        <f t="shared" si="62"/>
        <v>0.3884090947</v>
      </c>
      <c r="N47" s="50"/>
      <c r="O47" s="61">
        <f t="shared" si="59"/>
        <v>1</v>
      </c>
      <c r="P47" s="61">
        <f t="shared" ref="P47:S47" si="63">IFERROR(D47/$C47,0)</f>
        <v>2</v>
      </c>
      <c r="Q47" s="61">
        <f t="shared" si="63"/>
        <v>5</v>
      </c>
      <c r="R47" s="61">
        <f t="shared" si="63"/>
        <v>1.1</v>
      </c>
      <c r="S47" s="61">
        <f t="shared" si="63"/>
        <v>12.5</v>
      </c>
      <c r="T47" s="61"/>
      <c r="U47" s="50" t="s">
        <v>107</v>
      </c>
      <c r="V47" s="50">
        <f>+G47</f>
        <v>125000</v>
      </c>
      <c r="W47" s="50">
        <f t="shared" ref="W47:Z47" si="64">+V47</f>
        <v>125000</v>
      </c>
      <c r="X47" s="50">
        <f t="shared" si="64"/>
        <v>125000</v>
      </c>
      <c r="Y47" s="50">
        <f t="shared" si="64"/>
        <v>125000</v>
      </c>
      <c r="Z47" s="50">
        <f t="shared" si="64"/>
        <v>125000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</row>
    <row r="48" ht="15.75" customHeight="1">
      <c r="A48" s="50"/>
      <c r="B48" s="50" t="s">
        <v>108</v>
      </c>
      <c r="C48" s="62">
        <v>-520.0</v>
      </c>
      <c r="D48" s="62">
        <v>-1200.0</v>
      </c>
      <c r="E48" s="62">
        <v>-4420.0</v>
      </c>
      <c r="F48" s="62">
        <v>-7820.0</v>
      </c>
      <c r="G48" s="62">
        <v>-12920.0</v>
      </c>
      <c r="H48" s="50"/>
      <c r="I48" s="60">
        <f t="shared" ref="I48:M48" si="65">C48/C$54</f>
        <v>-0.007209199604</v>
      </c>
      <c r="J48" s="60">
        <f t="shared" si="65"/>
        <v>-0.01493464971</v>
      </c>
      <c r="K48" s="60">
        <f t="shared" si="65"/>
        <v>-0.01377247117</v>
      </c>
      <c r="L48" s="60">
        <f t="shared" si="65"/>
        <v>-0.02228078542</v>
      </c>
      <c r="M48" s="60">
        <f t="shared" si="65"/>
        <v>-0.04014596403</v>
      </c>
      <c r="N48" s="50"/>
      <c r="O48" s="61">
        <f t="shared" si="59"/>
        <v>1</v>
      </c>
      <c r="P48" s="61">
        <f t="shared" ref="P48:S48" si="66">IFERROR(D48/$C48,0)</f>
        <v>2.307692308</v>
      </c>
      <c r="Q48" s="61">
        <f t="shared" si="66"/>
        <v>8.5</v>
      </c>
      <c r="R48" s="61">
        <f t="shared" si="66"/>
        <v>15.03846154</v>
      </c>
      <c r="S48" s="61">
        <f t="shared" si="66"/>
        <v>24.84615385</v>
      </c>
      <c r="T48" s="61"/>
      <c r="U48" s="50" t="s">
        <v>108</v>
      </c>
      <c r="V48" s="62">
        <f>+G48+V22</f>
        <v>-17510</v>
      </c>
      <c r="W48" s="62">
        <f t="shared" ref="W48:Z48" si="67">+V48+W22</f>
        <v>-23706.5</v>
      </c>
      <c r="X48" s="62">
        <f t="shared" si="67"/>
        <v>-32071.775</v>
      </c>
      <c r="Y48" s="62">
        <f t="shared" si="67"/>
        <v>-43364.89625</v>
      </c>
      <c r="Z48" s="62">
        <f t="shared" si="67"/>
        <v>-58610.60994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</row>
    <row r="49" ht="15.75" customHeight="1">
      <c r="A49" s="50"/>
      <c r="B49" s="63" t="s">
        <v>109</v>
      </c>
      <c r="C49" s="64">
        <f t="shared" ref="C49:G49" si="68">SUM(C45:C48)</f>
        <v>13380</v>
      </c>
      <c r="D49" s="64">
        <f t="shared" si="68"/>
        <v>30580</v>
      </c>
      <c r="E49" s="64">
        <f t="shared" si="68"/>
        <v>65380</v>
      </c>
      <c r="F49" s="64">
        <f t="shared" si="68"/>
        <v>36880</v>
      </c>
      <c r="G49" s="64">
        <f t="shared" si="68"/>
        <v>159880</v>
      </c>
      <c r="H49" s="50"/>
      <c r="I49" s="65">
        <f t="shared" ref="I49:M49" si="69">C49/C$54</f>
        <v>0.1854982514</v>
      </c>
      <c r="J49" s="66">
        <f t="shared" si="69"/>
        <v>0.3805846567</v>
      </c>
      <c r="K49" s="66">
        <f t="shared" si="69"/>
        <v>0.2037203994</v>
      </c>
      <c r="L49" s="66">
        <f t="shared" si="69"/>
        <v>0.1050786913</v>
      </c>
      <c r="M49" s="67">
        <f t="shared" si="69"/>
        <v>0.4967907685</v>
      </c>
      <c r="N49" s="50"/>
      <c r="O49" s="68">
        <f t="shared" si="59"/>
        <v>1</v>
      </c>
      <c r="P49" s="69">
        <f t="shared" ref="P49:S49" si="70">IFERROR(D49/$C49,0)</f>
        <v>2.285500747</v>
      </c>
      <c r="Q49" s="69">
        <f t="shared" si="70"/>
        <v>4.886397608</v>
      </c>
      <c r="R49" s="69">
        <f t="shared" si="70"/>
        <v>2.756352765</v>
      </c>
      <c r="S49" s="70">
        <f t="shared" si="70"/>
        <v>11.94917788</v>
      </c>
      <c r="T49" s="71"/>
      <c r="U49" s="63" t="s">
        <v>109</v>
      </c>
      <c r="V49" s="64">
        <f t="shared" ref="V49:Z49" si="71">SUM(V45:V48)</f>
        <v>150700</v>
      </c>
      <c r="W49" s="64">
        <f t="shared" si="71"/>
        <v>147097</v>
      </c>
      <c r="X49" s="64">
        <f t="shared" si="71"/>
        <v>136562.9486</v>
      </c>
      <c r="Y49" s="64">
        <f t="shared" si="71"/>
        <v>122341.9798</v>
      </c>
      <c r="Z49" s="64">
        <f t="shared" si="71"/>
        <v>103143.6726</v>
      </c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</row>
    <row r="50" ht="15.75" customHeight="1">
      <c r="A50" s="50"/>
      <c r="B50" s="50" t="s">
        <v>110</v>
      </c>
      <c r="C50" s="50">
        <v>0.0</v>
      </c>
      <c r="D50" s="50">
        <v>6350.0</v>
      </c>
      <c r="E50" s="50">
        <v>11800.0</v>
      </c>
      <c r="F50" s="50">
        <v>12000.0</v>
      </c>
      <c r="G50" s="50">
        <v>49500.0</v>
      </c>
      <c r="H50" s="50"/>
      <c r="I50" s="60">
        <f t="shared" ref="I50:M50" si="72">C50/C$54</f>
        <v>0</v>
      </c>
      <c r="J50" s="60">
        <f t="shared" si="72"/>
        <v>0.07902918803</v>
      </c>
      <c r="K50" s="60">
        <f t="shared" si="72"/>
        <v>0.03676813571</v>
      </c>
      <c r="L50" s="60">
        <f t="shared" si="72"/>
        <v>0.03419046356</v>
      </c>
      <c r="M50" s="60">
        <f t="shared" si="72"/>
        <v>0.1538100015</v>
      </c>
      <c r="N50" s="50"/>
      <c r="O50" s="61">
        <f t="shared" si="59"/>
        <v>0</v>
      </c>
      <c r="P50" s="61">
        <f t="shared" ref="P50:S50" si="73">IFERROR(D50/$C50,0)</f>
        <v>0</v>
      </c>
      <c r="Q50" s="61">
        <f t="shared" si="73"/>
        <v>0</v>
      </c>
      <c r="R50" s="61">
        <f t="shared" si="73"/>
        <v>0</v>
      </c>
      <c r="S50" s="61">
        <f t="shared" si="73"/>
        <v>0</v>
      </c>
      <c r="T50" s="61"/>
      <c r="U50" s="50" t="s">
        <v>110</v>
      </c>
      <c r="V50" s="50">
        <v>0.0</v>
      </c>
      <c r="W50" s="50">
        <v>0.0</v>
      </c>
      <c r="X50" s="50">
        <v>0.0</v>
      </c>
      <c r="Y50" s="50">
        <v>0.0</v>
      </c>
      <c r="Z50" s="50">
        <v>0.0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</row>
    <row r="51" ht="15.75" customHeight="1">
      <c r="A51" s="50"/>
      <c r="B51" s="50" t="s">
        <v>111</v>
      </c>
      <c r="C51" s="50">
        <v>1576.45</v>
      </c>
      <c r="D51" s="50">
        <v>11051.41</v>
      </c>
      <c r="E51" s="50">
        <v>22000.0</v>
      </c>
      <c r="F51" s="50">
        <v>18000.0</v>
      </c>
      <c r="G51" s="50">
        <v>8000.0</v>
      </c>
      <c r="H51" s="50"/>
      <c r="I51" s="60">
        <f t="shared" ref="I51:M51" si="74">C51/C$54</f>
        <v>0.02185565907</v>
      </c>
      <c r="J51" s="60">
        <f t="shared" si="74"/>
        <v>0.1375407809</v>
      </c>
      <c r="K51" s="60">
        <f t="shared" si="74"/>
        <v>0.0685507615</v>
      </c>
      <c r="L51" s="60">
        <f t="shared" si="74"/>
        <v>0.05128569534</v>
      </c>
      <c r="M51" s="60">
        <f t="shared" si="74"/>
        <v>0.02485818206</v>
      </c>
      <c r="N51" s="50"/>
      <c r="O51" s="61">
        <f t="shared" si="59"/>
        <v>1</v>
      </c>
      <c r="P51" s="61">
        <f t="shared" ref="P51:S51" si="75">IFERROR(D51/$C51,0)</f>
        <v>7.010314314</v>
      </c>
      <c r="Q51" s="61">
        <f t="shared" si="75"/>
        <v>13.95540613</v>
      </c>
      <c r="R51" s="61">
        <f t="shared" si="75"/>
        <v>11.41805956</v>
      </c>
      <c r="S51" s="61">
        <f t="shared" si="75"/>
        <v>5.07469314</v>
      </c>
      <c r="T51" s="61"/>
      <c r="U51" s="50" t="s">
        <v>111</v>
      </c>
      <c r="V51" s="50">
        <f>+G51</f>
        <v>8000</v>
      </c>
      <c r="W51" s="50">
        <f t="shared" ref="W51:Z51" si="76">+V51</f>
        <v>8000</v>
      </c>
      <c r="X51" s="50">
        <f t="shared" si="76"/>
        <v>8000</v>
      </c>
      <c r="Y51" s="50">
        <f t="shared" si="76"/>
        <v>8000</v>
      </c>
      <c r="Z51" s="50">
        <f t="shared" si="76"/>
        <v>8000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</row>
    <row r="52" ht="15.75" customHeight="1">
      <c r="A52" s="50"/>
      <c r="B52" s="50" t="s">
        <v>112</v>
      </c>
      <c r="C52" s="62">
        <v>57173.61</v>
      </c>
      <c r="D52" s="62">
        <v>32368.649999999994</v>
      </c>
      <c r="E52" s="62">
        <v>221750.06</v>
      </c>
      <c r="F52" s="62">
        <v>284095.06</v>
      </c>
      <c r="G52" s="62">
        <v>104445.62585321383</v>
      </c>
      <c r="H52" s="50"/>
      <c r="I52" s="60">
        <f t="shared" ref="I52:M52" si="77">C52/C$54</f>
        <v>0.7926460896</v>
      </c>
      <c r="J52" s="60">
        <f t="shared" si="77"/>
        <v>0.4028453744</v>
      </c>
      <c r="K52" s="60">
        <f t="shared" si="77"/>
        <v>0.6909607034</v>
      </c>
      <c r="L52" s="60">
        <f t="shared" si="77"/>
        <v>0.8094451497</v>
      </c>
      <c r="M52" s="60">
        <f t="shared" si="77"/>
        <v>0.3245410479</v>
      </c>
      <c r="N52" s="50"/>
      <c r="O52" s="61">
        <f t="shared" si="59"/>
        <v>1</v>
      </c>
      <c r="P52" s="61">
        <f t="shared" ref="P52:S52" si="78">IFERROR(D52/$C52,0)</f>
        <v>0.566146689</v>
      </c>
      <c r="Q52" s="61">
        <f t="shared" si="78"/>
        <v>3.878538717</v>
      </c>
      <c r="R52" s="61">
        <f t="shared" si="78"/>
        <v>4.968989364</v>
      </c>
      <c r="S52" s="61">
        <f t="shared" si="78"/>
        <v>1.826815306</v>
      </c>
      <c r="T52" s="61"/>
      <c r="U52" s="50" t="s">
        <v>112</v>
      </c>
      <c r="V52" s="62">
        <v>138072.52738940134</v>
      </c>
      <c r="W52" s="62">
        <v>362808.47864156973</v>
      </c>
      <c r="X52" s="62">
        <v>822138.1450213543</v>
      </c>
      <c r="Y52" s="62">
        <v>1470034.2315513892</v>
      </c>
      <c r="Z52" s="62">
        <v>2362198.778923403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</row>
    <row r="53" ht="15.75" customHeight="1">
      <c r="A53" s="50"/>
      <c r="B53" s="63" t="s">
        <v>113</v>
      </c>
      <c r="C53" s="74">
        <f t="shared" ref="C53:G53" si="79">SUM(C50:C52)</f>
        <v>58750.06</v>
      </c>
      <c r="D53" s="74">
        <f t="shared" si="79"/>
        <v>49770.06</v>
      </c>
      <c r="E53" s="74">
        <f t="shared" si="79"/>
        <v>255550.06</v>
      </c>
      <c r="F53" s="74">
        <f t="shared" si="79"/>
        <v>314095.06</v>
      </c>
      <c r="G53" s="74">
        <f t="shared" si="79"/>
        <v>161945.6259</v>
      </c>
      <c r="H53" s="50"/>
      <c r="I53" s="75">
        <f t="shared" ref="I53:M53" si="80">C53/C$54</f>
        <v>0.8145017486</v>
      </c>
      <c r="J53" s="75">
        <f t="shared" si="80"/>
        <v>0.6194153433</v>
      </c>
      <c r="K53" s="75">
        <f t="shared" si="80"/>
        <v>0.7962796006</v>
      </c>
      <c r="L53" s="75">
        <f t="shared" si="80"/>
        <v>0.8949213087</v>
      </c>
      <c r="M53" s="75">
        <f t="shared" si="80"/>
        <v>0.5032092315</v>
      </c>
      <c r="N53" s="50"/>
      <c r="O53" s="61">
        <f t="shared" si="59"/>
        <v>1</v>
      </c>
      <c r="P53" s="61">
        <f t="shared" ref="P53:S53" si="81">IFERROR(D53/$C53,0)</f>
        <v>0.8471490923</v>
      </c>
      <c r="Q53" s="61">
        <f t="shared" si="81"/>
        <v>4.349783813</v>
      </c>
      <c r="R53" s="61">
        <f t="shared" si="81"/>
        <v>5.346293434</v>
      </c>
      <c r="S53" s="61">
        <f t="shared" si="81"/>
        <v>2.756518476</v>
      </c>
      <c r="T53" s="61"/>
      <c r="U53" s="63" t="s">
        <v>113</v>
      </c>
      <c r="V53" s="74">
        <f t="shared" ref="V53:Z53" si="82">SUM(V50:V52)</f>
        <v>146072.5274</v>
      </c>
      <c r="W53" s="74">
        <f t="shared" si="82"/>
        <v>370808.4786</v>
      </c>
      <c r="X53" s="74">
        <f t="shared" si="82"/>
        <v>830138.145</v>
      </c>
      <c r="Y53" s="74">
        <f t="shared" si="82"/>
        <v>1478034.232</v>
      </c>
      <c r="Z53" s="74">
        <f t="shared" si="82"/>
        <v>2370198.779</v>
      </c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</row>
    <row r="54" ht="15.75" customHeight="1">
      <c r="A54" s="50"/>
      <c r="B54" s="63" t="s">
        <v>114</v>
      </c>
      <c r="C54" s="72">
        <f t="shared" ref="C54:G54" si="83">+C49+C53</f>
        <v>72130.06</v>
      </c>
      <c r="D54" s="72">
        <f t="shared" si="83"/>
        <v>80350.06</v>
      </c>
      <c r="E54" s="72">
        <f t="shared" si="83"/>
        <v>320930.06</v>
      </c>
      <c r="F54" s="72">
        <f t="shared" si="83"/>
        <v>350975.06</v>
      </c>
      <c r="G54" s="72">
        <f t="shared" si="83"/>
        <v>321825.6259</v>
      </c>
      <c r="H54" s="50"/>
      <c r="I54" s="65">
        <f t="shared" ref="I54:M54" si="84">C54/C$54</f>
        <v>1</v>
      </c>
      <c r="J54" s="66">
        <f t="shared" si="84"/>
        <v>1</v>
      </c>
      <c r="K54" s="66">
        <f t="shared" si="84"/>
        <v>1</v>
      </c>
      <c r="L54" s="66">
        <f t="shared" si="84"/>
        <v>1</v>
      </c>
      <c r="M54" s="67">
        <f t="shared" si="84"/>
        <v>1</v>
      </c>
      <c r="N54" s="50"/>
      <c r="O54" s="68">
        <f t="shared" si="59"/>
        <v>1</v>
      </c>
      <c r="P54" s="69">
        <f t="shared" ref="P54:S54" si="85">IFERROR(D54/$C54,0)</f>
        <v>1.113960809</v>
      </c>
      <c r="Q54" s="69">
        <f t="shared" si="85"/>
        <v>4.449324734</v>
      </c>
      <c r="R54" s="69">
        <f t="shared" si="85"/>
        <v>4.865863969</v>
      </c>
      <c r="S54" s="70">
        <f t="shared" si="85"/>
        <v>4.46174072</v>
      </c>
      <c r="T54" s="71"/>
      <c r="U54" s="63" t="s">
        <v>114</v>
      </c>
      <c r="V54" s="72">
        <f t="shared" ref="V54:Z54" si="86">+V49+V53</f>
        <v>296772.5274</v>
      </c>
      <c r="W54" s="72">
        <f t="shared" si="86"/>
        <v>517905.4786</v>
      </c>
      <c r="X54" s="72">
        <f t="shared" si="86"/>
        <v>966701.0936</v>
      </c>
      <c r="Y54" s="72">
        <f t="shared" si="86"/>
        <v>1600376.211</v>
      </c>
      <c r="Z54" s="72">
        <f t="shared" si="86"/>
        <v>2473342.452</v>
      </c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60"/>
      <c r="J55" s="60"/>
      <c r="K55" s="60"/>
      <c r="L55" s="60"/>
      <c r="M55" s="60"/>
      <c r="N55" s="50"/>
      <c r="O55" s="61"/>
      <c r="P55" s="61"/>
      <c r="Q55" s="61"/>
      <c r="R55" s="61"/>
      <c r="S55" s="61"/>
      <c r="T55" s="61"/>
      <c r="U55" s="50"/>
      <c r="V55" s="50"/>
      <c r="W55" s="50"/>
      <c r="X55" s="50"/>
      <c r="Y55" s="50"/>
      <c r="Z55" s="50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</row>
    <row r="56" ht="15.75" customHeight="1">
      <c r="A56" s="50"/>
      <c r="B56" s="50" t="s">
        <v>115</v>
      </c>
      <c r="C56" s="50">
        <v>80000.0</v>
      </c>
      <c r="D56" s="50">
        <v>120000.0</v>
      </c>
      <c r="E56" s="50">
        <v>80000.0</v>
      </c>
      <c r="F56" s="50">
        <v>60000.0</v>
      </c>
      <c r="G56" s="98">
        <v>30000.0</v>
      </c>
      <c r="H56" s="50"/>
      <c r="I56" s="60">
        <f t="shared" ref="I56:M56" si="87">C56/C$54</f>
        <v>1.109107631</v>
      </c>
      <c r="J56" s="60">
        <f t="shared" si="87"/>
        <v>1.493464971</v>
      </c>
      <c r="K56" s="60">
        <f t="shared" si="87"/>
        <v>0.2492754963</v>
      </c>
      <c r="L56" s="60">
        <f t="shared" si="87"/>
        <v>0.1709523178</v>
      </c>
      <c r="M56" s="60">
        <f t="shared" si="87"/>
        <v>0.09321818274</v>
      </c>
      <c r="N56" s="50"/>
      <c r="O56" s="61">
        <f t="shared" ref="O56:O60" si="90">IFERROR(C56/C56,0)</f>
        <v>1</v>
      </c>
      <c r="P56" s="61">
        <f t="shared" ref="P56:S56" si="88">IFERROR(D56/$C56,0)</f>
        <v>1.5</v>
      </c>
      <c r="Q56" s="61">
        <f t="shared" si="88"/>
        <v>1</v>
      </c>
      <c r="R56" s="61">
        <f t="shared" si="88"/>
        <v>0.75</v>
      </c>
      <c r="S56" s="61">
        <f t="shared" si="88"/>
        <v>0.375</v>
      </c>
      <c r="T56" s="61"/>
      <c r="U56" s="50" t="s">
        <v>115</v>
      </c>
      <c r="V56" s="50">
        <f>+'TABLAS AMORTIZACION'!K11+'TABLAS AMORTIZACION'!K17</f>
        <v>-0.000000005406036507</v>
      </c>
      <c r="W56" s="50">
        <f>+'TABLAS AMORTIZACION'!L11+'TABLAS AMORTIZACION'!L17</f>
        <v>-0.00000001023727236</v>
      </c>
      <c r="X56" s="50">
        <f>+'TABLAS AMORTIZACION'!M11+'TABLAS AMORTIZACION'!M17</f>
        <v>-0.00000001506850822</v>
      </c>
      <c r="Y56" s="50">
        <f>+'TABLAS AMORTIZACION'!N11+'TABLAS AMORTIZACION'!N17</f>
        <v>-0.00000001989974407</v>
      </c>
      <c r="Z56" s="50">
        <f>+'TABLAS AMORTIZACION'!O11+'TABLAS AMORTIZACION'!O17</f>
        <v>-0.00000002473097993</v>
      </c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</row>
    <row r="57" ht="15.75" customHeight="1">
      <c r="A57" s="50"/>
      <c r="B57" s="50" t="s">
        <v>116</v>
      </c>
      <c r="C57" s="50">
        <v>0.0</v>
      </c>
      <c r="D57" s="50">
        <v>2500.0</v>
      </c>
      <c r="E57" s="50">
        <v>3200.0</v>
      </c>
      <c r="F57" s="50">
        <v>15000.0</v>
      </c>
      <c r="G57" s="50">
        <v>25000.0</v>
      </c>
      <c r="H57" s="50"/>
      <c r="I57" s="60">
        <f t="shared" ref="I57:M57" si="89">C57/C$54</f>
        <v>0</v>
      </c>
      <c r="J57" s="60">
        <f t="shared" si="89"/>
        <v>0.03111385356</v>
      </c>
      <c r="K57" s="60">
        <f t="shared" si="89"/>
        <v>0.009971019854</v>
      </c>
      <c r="L57" s="60">
        <f t="shared" si="89"/>
        <v>0.04273807945</v>
      </c>
      <c r="M57" s="60">
        <f t="shared" si="89"/>
        <v>0.07768181895</v>
      </c>
      <c r="N57" s="50"/>
      <c r="O57" s="61">
        <f t="shared" si="90"/>
        <v>0</v>
      </c>
      <c r="P57" s="61">
        <f t="shared" ref="P57:S57" si="91">IFERROR(D57/$C57,0)</f>
        <v>0</v>
      </c>
      <c r="Q57" s="61">
        <f t="shared" si="91"/>
        <v>0</v>
      </c>
      <c r="R57" s="61">
        <f t="shared" si="91"/>
        <v>0</v>
      </c>
      <c r="S57" s="61">
        <f t="shared" si="91"/>
        <v>0</v>
      </c>
      <c r="T57" s="61"/>
      <c r="U57" s="50" t="s">
        <v>116</v>
      </c>
      <c r="V57" s="50">
        <f t="shared" ref="V57:Z57" si="92">-V16/12</f>
        <v>33660</v>
      </c>
      <c r="W57" s="50">
        <f t="shared" si="92"/>
        <v>45441</v>
      </c>
      <c r="X57" s="50">
        <f t="shared" si="92"/>
        <v>58556.925</v>
      </c>
      <c r="Y57" s="50">
        <f t="shared" si="92"/>
        <v>79051.84875</v>
      </c>
      <c r="Z57" s="50">
        <f t="shared" si="92"/>
        <v>106719.9958</v>
      </c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</row>
    <row r="58" ht="15.75" customHeight="1">
      <c r="A58" s="50"/>
      <c r="B58" s="50" t="s">
        <v>117</v>
      </c>
      <c r="C58" s="50">
        <v>300.0</v>
      </c>
      <c r="D58" s="50">
        <v>120.0</v>
      </c>
      <c r="E58" s="50">
        <v>250.0</v>
      </c>
      <c r="F58" s="50">
        <v>320.0</v>
      </c>
      <c r="G58" s="50">
        <v>650.0</v>
      </c>
      <c r="H58" s="50"/>
      <c r="I58" s="60">
        <f t="shared" ref="I58:M58" si="93">C58/C$54</f>
        <v>0.004159153618</v>
      </c>
      <c r="J58" s="60">
        <f t="shared" si="93"/>
        <v>0.001493464971</v>
      </c>
      <c r="K58" s="60">
        <f t="shared" si="93"/>
        <v>0.0007789859261</v>
      </c>
      <c r="L58" s="60">
        <f t="shared" si="93"/>
        <v>0.000911745695</v>
      </c>
      <c r="M58" s="60">
        <f t="shared" si="93"/>
        <v>0.002019727293</v>
      </c>
      <c r="N58" s="50"/>
      <c r="O58" s="61">
        <f t="shared" si="90"/>
        <v>1</v>
      </c>
      <c r="P58" s="61">
        <f t="shared" ref="P58:S58" si="94">IFERROR(D58/$C58,0)</f>
        <v>0.4</v>
      </c>
      <c r="Q58" s="61">
        <f t="shared" si="94"/>
        <v>0.8333333333</v>
      </c>
      <c r="R58" s="61">
        <f t="shared" si="94"/>
        <v>1.066666667</v>
      </c>
      <c r="S58" s="61">
        <f t="shared" si="94"/>
        <v>2.166666667</v>
      </c>
      <c r="T58" s="61"/>
      <c r="U58" s="50" t="s">
        <v>117</v>
      </c>
      <c r="V58" s="50">
        <f t="shared" ref="V58:Z58" si="95">-V20/12</f>
        <v>6187.5</v>
      </c>
      <c r="W58" s="50">
        <f t="shared" si="95"/>
        <v>7115.625</v>
      </c>
      <c r="X58" s="50">
        <f t="shared" si="95"/>
        <v>8182.96875</v>
      </c>
      <c r="Y58" s="50">
        <f t="shared" si="95"/>
        <v>9819.5625</v>
      </c>
      <c r="Z58" s="50">
        <f t="shared" si="95"/>
        <v>12274.45313</v>
      </c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</row>
    <row r="59" ht="15.75" customHeight="1">
      <c r="A59" s="50"/>
      <c r="B59" s="50" t="s">
        <v>118</v>
      </c>
      <c r="C59" s="62">
        <v>0.0</v>
      </c>
      <c r="D59" s="62">
        <v>0.0</v>
      </c>
      <c r="E59" s="62">
        <v>250.0</v>
      </c>
      <c r="F59" s="62">
        <v>1200.0</v>
      </c>
      <c r="G59" s="62">
        <v>2350.0</v>
      </c>
      <c r="H59" s="50"/>
      <c r="I59" s="60">
        <f t="shared" ref="I59:M59" si="96">C59/C$54</f>
        <v>0</v>
      </c>
      <c r="J59" s="60">
        <f t="shared" si="96"/>
        <v>0</v>
      </c>
      <c r="K59" s="60">
        <f t="shared" si="96"/>
        <v>0.0007789859261</v>
      </c>
      <c r="L59" s="60">
        <f t="shared" si="96"/>
        <v>0.003419046356</v>
      </c>
      <c r="M59" s="60">
        <f t="shared" si="96"/>
        <v>0.007302090981</v>
      </c>
      <c r="N59" s="50"/>
      <c r="O59" s="61">
        <f t="shared" si="90"/>
        <v>0</v>
      </c>
      <c r="P59" s="61">
        <f t="shared" ref="P59:S59" si="97">IFERROR(D59/$C59,0)</f>
        <v>0</v>
      </c>
      <c r="Q59" s="61">
        <f t="shared" si="97"/>
        <v>0</v>
      </c>
      <c r="R59" s="61">
        <f t="shared" si="97"/>
        <v>0</v>
      </c>
      <c r="S59" s="61">
        <f t="shared" si="97"/>
        <v>0</v>
      </c>
      <c r="T59" s="61"/>
      <c r="U59" s="50" t="s">
        <v>118</v>
      </c>
      <c r="V59" s="62">
        <f t="shared" ref="V59:Z59" si="98">-(V17+V19)*1%</f>
        <v>1793.88</v>
      </c>
      <c r="W59" s="62">
        <f t="shared" si="98"/>
        <v>2221.317</v>
      </c>
      <c r="X59" s="62">
        <f t="shared" si="98"/>
        <v>2725.53795</v>
      </c>
      <c r="Y59" s="62">
        <f t="shared" si="98"/>
        <v>3511.56546</v>
      </c>
      <c r="Z59" s="62">
        <f t="shared" si="98"/>
        <v>4643.552053</v>
      </c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</row>
    <row r="60" ht="15.75" customHeight="1">
      <c r="A60" s="50"/>
      <c r="B60" s="63" t="s">
        <v>119</v>
      </c>
      <c r="C60" s="76">
        <f t="shared" ref="C60:G60" si="99">SUM(C56:C59)</f>
        <v>80300</v>
      </c>
      <c r="D60" s="76">
        <f t="shared" si="99"/>
        <v>122620</v>
      </c>
      <c r="E60" s="76">
        <f t="shared" si="99"/>
        <v>83700</v>
      </c>
      <c r="F60" s="76">
        <f t="shared" si="99"/>
        <v>76520</v>
      </c>
      <c r="G60" s="76">
        <f t="shared" si="99"/>
        <v>58000</v>
      </c>
      <c r="H60" s="50"/>
      <c r="I60" s="65">
        <f t="shared" ref="I60:M60" si="100">C60/C$54</f>
        <v>1.113266785</v>
      </c>
      <c r="J60" s="66">
        <f t="shared" si="100"/>
        <v>1.526072289</v>
      </c>
      <c r="K60" s="66">
        <f t="shared" si="100"/>
        <v>0.2608044881</v>
      </c>
      <c r="L60" s="66">
        <f t="shared" si="100"/>
        <v>0.2180211893</v>
      </c>
      <c r="M60" s="67">
        <f t="shared" si="100"/>
        <v>0.18022182</v>
      </c>
      <c r="N60" s="50"/>
      <c r="O60" s="68">
        <f t="shared" si="90"/>
        <v>1</v>
      </c>
      <c r="P60" s="69">
        <f t="shared" ref="P60:S60" si="101">IFERROR(D60/$C60,0)</f>
        <v>1.527023661</v>
      </c>
      <c r="Q60" s="69">
        <f t="shared" si="101"/>
        <v>1.04234122</v>
      </c>
      <c r="R60" s="69">
        <f t="shared" si="101"/>
        <v>0.9529265255</v>
      </c>
      <c r="S60" s="70">
        <f t="shared" si="101"/>
        <v>0.7222914072</v>
      </c>
      <c r="T60" s="61"/>
      <c r="U60" s="63" t="s">
        <v>119</v>
      </c>
      <c r="V60" s="76">
        <f t="shared" ref="V60:Z60" si="102">SUM(V56:V59)</f>
        <v>41641.38</v>
      </c>
      <c r="W60" s="76">
        <f t="shared" si="102"/>
        <v>54777.942</v>
      </c>
      <c r="X60" s="76">
        <f t="shared" si="102"/>
        <v>69465.4317</v>
      </c>
      <c r="Y60" s="76">
        <f t="shared" si="102"/>
        <v>92382.97671</v>
      </c>
      <c r="Z60" s="76">
        <f t="shared" si="102"/>
        <v>123638.001</v>
      </c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</row>
    <row r="61" ht="15.75" customHeight="1">
      <c r="A61" s="50"/>
      <c r="B61" s="63"/>
      <c r="C61" s="64"/>
      <c r="D61" s="64"/>
      <c r="E61" s="64"/>
      <c r="F61" s="64"/>
      <c r="G61" s="64"/>
      <c r="H61" s="50"/>
      <c r="I61" s="50"/>
      <c r="J61" s="50"/>
      <c r="K61" s="50"/>
      <c r="L61" s="50"/>
      <c r="M61" s="50"/>
      <c r="N61" s="50"/>
      <c r="O61" s="61"/>
      <c r="P61" s="61"/>
      <c r="Q61" s="61"/>
      <c r="R61" s="61"/>
      <c r="S61" s="61"/>
      <c r="T61" s="61"/>
      <c r="U61" s="63"/>
      <c r="V61" s="64"/>
      <c r="W61" s="64"/>
      <c r="X61" s="64"/>
      <c r="Y61" s="64"/>
      <c r="Z61" s="64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</row>
    <row r="62" ht="15.75" customHeight="1">
      <c r="A62" s="50"/>
      <c r="B62" s="50" t="s">
        <v>120</v>
      </c>
      <c r="C62" s="50">
        <v>0.0</v>
      </c>
      <c r="D62" s="50">
        <v>0.0</v>
      </c>
      <c r="E62" s="50">
        <v>250000.0</v>
      </c>
      <c r="F62" s="50">
        <v>200000.0</v>
      </c>
      <c r="G62" s="98">
        <v>135320.56585321383</v>
      </c>
      <c r="H62" s="50"/>
      <c r="I62" s="60">
        <f t="shared" ref="I62:M62" si="103">C62/C$54</f>
        <v>0</v>
      </c>
      <c r="J62" s="60">
        <f t="shared" si="103"/>
        <v>0</v>
      </c>
      <c r="K62" s="60">
        <f t="shared" si="103"/>
        <v>0.7789859261</v>
      </c>
      <c r="L62" s="60">
        <f t="shared" si="103"/>
        <v>0.5698410594</v>
      </c>
      <c r="M62" s="60">
        <f t="shared" si="103"/>
        <v>0.4204779079</v>
      </c>
      <c r="N62" s="50"/>
      <c r="O62" s="61">
        <f>IFERROR(C62/C62,0)</f>
        <v>0</v>
      </c>
      <c r="P62" s="61">
        <f t="shared" ref="P62:S62" si="104">IFERROR(D62/$C62,0)</f>
        <v>0</v>
      </c>
      <c r="Q62" s="61">
        <f t="shared" si="104"/>
        <v>0</v>
      </c>
      <c r="R62" s="61">
        <f t="shared" si="104"/>
        <v>0</v>
      </c>
      <c r="S62" s="61">
        <f t="shared" si="104"/>
        <v>0</v>
      </c>
      <c r="T62" s="61"/>
      <c r="U62" s="50" t="s">
        <v>120</v>
      </c>
      <c r="V62" s="50">
        <f>+'TABLAS AMORTIZACION'!K23</f>
        <v>68673.84482</v>
      </c>
      <c r="W62" s="50">
        <f>+'TABLAS AMORTIZACION'!L23</f>
        <v>-0.000000003041350283</v>
      </c>
      <c r="X62" s="50">
        <f>+'TABLAS AMORTIZACION'!M23</f>
        <v>-0.000000003041350283</v>
      </c>
      <c r="Y62" s="50">
        <f>+'TABLAS AMORTIZACION'!N23</f>
        <v>-0.000000003041350283</v>
      </c>
      <c r="Z62" s="50">
        <f>+'TABLAS AMORTIZACION'!O23</f>
        <v>-0.000000003041350283</v>
      </c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</row>
    <row r="63" ht="15.75" customHeight="1">
      <c r="A63" s="50"/>
      <c r="B63" s="63"/>
      <c r="C63" s="74"/>
      <c r="D63" s="74"/>
      <c r="E63" s="74"/>
      <c r="F63" s="74"/>
      <c r="G63" s="74"/>
      <c r="H63" s="50"/>
      <c r="I63" s="75"/>
      <c r="J63" s="75"/>
      <c r="K63" s="75"/>
      <c r="L63" s="75"/>
      <c r="M63" s="75"/>
      <c r="N63" s="50"/>
      <c r="O63" s="61"/>
      <c r="P63" s="61"/>
      <c r="Q63" s="61"/>
      <c r="R63" s="61"/>
      <c r="S63" s="61"/>
      <c r="T63" s="61"/>
      <c r="U63" s="63"/>
      <c r="V63" s="74"/>
      <c r="W63" s="74"/>
      <c r="X63" s="74"/>
      <c r="Y63" s="74"/>
      <c r="Z63" s="74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</row>
    <row r="64" ht="15.75" customHeight="1">
      <c r="A64" s="50"/>
      <c r="B64" s="63" t="s">
        <v>121</v>
      </c>
      <c r="C64" s="64">
        <f t="shared" ref="C64:G64" si="105">+C62+C60</f>
        <v>80300</v>
      </c>
      <c r="D64" s="64">
        <f t="shared" si="105"/>
        <v>122620</v>
      </c>
      <c r="E64" s="64">
        <f t="shared" si="105"/>
        <v>333700</v>
      </c>
      <c r="F64" s="64">
        <f t="shared" si="105"/>
        <v>276520</v>
      </c>
      <c r="G64" s="64">
        <f t="shared" si="105"/>
        <v>193320.5659</v>
      </c>
      <c r="H64" s="50"/>
      <c r="I64" s="65">
        <f t="shared" ref="I64:M64" si="106">C64/C$54</f>
        <v>1.113266785</v>
      </c>
      <c r="J64" s="66">
        <f t="shared" si="106"/>
        <v>1.526072289</v>
      </c>
      <c r="K64" s="66">
        <f t="shared" si="106"/>
        <v>1.039790414</v>
      </c>
      <c r="L64" s="66">
        <f t="shared" si="106"/>
        <v>0.7878622487</v>
      </c>
      <c r="M64" s="67">
        <f t="shared" si="106"/>
        <v>0.6006997278</v>
      </c>
      <c r="N64" s="50"/>
      <c r="O64" s="68">
        <f>IFERROR(C64/C64,0)</f>
        <v>1</v>
      </c>
      <c r="P64" s="69">
        <f t="shared" ref="P64:S64" si="107">IFERROR(D64/$C64,0)</f>
        <v>1.527023661</v>
      </c>
      <c r="Q64" s="69">
        <f t="shared" si="107"/>
        <v>4.155666252</v>
      </c>
      <c r="R64" s="69">
        <f t="shared" si="107"/>
        <v>3.44358655</v>
      </c>
      <c r="S64" s="70">
        <f t="shared" si="107"/>
        <v>2.407479027</v>
      </c>
      <c r="T64" s="71"/>
      <c r="U64" s="63" t="s">
        <v>121</v>
      </c>
      <c r="V64" s="64">
        <f t="shared" ref="V64:Z64" si="108">+V62+V60</f>
        <v>110315.2248</v>
      </c>
      <c r="W64" s="64">
        <f t="shared" si="108"/>
        <v>54777.942</v>
      </c>
      <c r="X64" s="64">
        <f t="shared" si="108"/>
        <v>69465.4317</v>
      </c>
      <c r="Y64" s="64">
        <f t="shared" si="108"/>
        <v>92382.97671</v>
      </c>
      <c r="Z64" s="64">
        <f t="shared" si="108"/>
        <v>123638.001</v>
      </c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</row>
    <row r="65" ht="15.75" customHeight="1">
      <c r="A65" s="50"/>
      <c r="B65" s="63"/>
      <c r="C65" s="64"/>
      <c r="D65" s="64"/>
      <c r="E65" s="64"/>
      <c r="F65" s="64"/>
      <c r="G65" s="64"/>
      <c r="H65" s="50"/>
      <c r="I65" s="75"/>
      <c r="J65" s="75"/>
      <c r="K65" s="75"/>
      <c r="L65" s="75"/>
      <c r="M65" s="75"/>
      <c r="N65" s="50"/>
      <c r="O65" s="71"/>
      <c r="P65" s="71"/>
      <c r="Q65" s="71"/>
      <c r="R65" s="71"/>
      <c r="S65" s="71"/>
      <c r="T65" s="71"/>
      <c r="U65" s="63"/>
      <c r="V65" s="64"/>
      <c r="W65" s="64"/>
      <c r="X65" s="64"/>
      <c r="Y65" s="64"/>
      <c r="Z65" s="64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</row>
    <row r="66" ht="15.75" customHeight="1">
      <c r="A66" s="50"/>
      <c r="B66" s="50" t="s">
        <v>122</v>
      </c>
      <c r="C66" s="50">
        <v>3000.06</v>
      </c>
      <c r="D66" s="50">
        <v>3000.06</v>
      </c>
      <c r="E66" s="50">
        <v>3000.06</v>
      </c>
      <c r="F66" s="50">
        <v>3000.06</v>
      </c>
      <c r="G66" s="50">
        <v>3000.06</v>
      </c>
      <c r="H66" s="50"/>
      <c r="I66" s="60">
        <f t="shared" ref="I66:M66" si="109">C66/C$54</f>
        <v>0.04159236801</v>
      </c>
      <c r="J66" s="60">
        <f t="shared" si="109"/>
        <v>0.037337371</v>
      </c>
      <c r="K66" s="60">
        <f t="shared" si="109"/>
        <v>0.00934801807</v>
      </c>
      <c r="L66" s="60">
        <f t="shared" si="109"/>
        <v>0.008547786843</v>
      </c>
      <c r="M66" s="60">
        <f t="shared" si="109"/>
        <v>0.00932200471</v>
      </c>
      <c r="N66" s="50"/>
      <c r="O66" s="61">
        <f t="shared" ref="O66:O70" si="112">IFERROR(C66/C66,0)</f>
        <v>1</v>
      </c>
      <c r="P66" s="61">
        <f t="shared" ref="P66:S66" si="110">IFERROR(D66/$C66,0)</f>
        <v>1</v>
      </c>
      <c r="Q66" s="61">
        <f t="shared" si="110"/>
        <v>1</v>
      </c>
      <c r="R66" s="61">
        <f t="shared" si="110"/>
        <v>1</v>
      </c>
      <c r="S66" s="61">
        <f t="shared" si="110"/>
        <v>1</v>
      </c>
      <c r="T66" s="61"/>
      <c r="U66" s="50" t="s">
        <v>122</v>
      </c>
      <c r="V66" s="50">
        <v>3000.06</v>
      </c>
      <c r="W66" s="50">
        <v>3000.06</v>
      </c>
      <c r="X66" s="50">
        <v>3000.06</v>
      </c>
      <c r="Y66" s="50">
        <v>3000.06</v>
      </c>
      <c r="Z66" s="50">
        <v>3000.06</v>
      </c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</row>
    <row r="67" ht="15.75" customHeight="1">
      <c r="A67" s="50"/>
      <c r="B67" s="50" t="s">
        <v>123</v>
      </c>
      <c r="C67" s="50">
        <v>800.0</v>
      </c>
      <c r="D67" s="50">
        <v>800.0</v>
      </c>
      <c r="E67" s="50">
        <v>800.0</v>
      </c>
      <c r="F67" s="50">
        <v>800.0</v>
      </c>
      <c r="G67" s="50">
        <v>800.0</v>
      </c>
      <c r="H67" s="50"/>
      <c r="I67" s="60">
        <f t="shared" ref="I67:M67" si="111">C67/C$54</f>
        <v>0.01109107631</v>
      </c>
      <c r="J67" s="60">
        <f t="shared" si="111"/>
        <v>0.009956433138</v>
      </c>
      <c r="K67" s="60">
        <f t="shared" si="111"/>
        <v>0.002492754963</v>
      </c>
      <c r="L67" s="60">
        <f t="shared" si="111"/>
        <v>0.002279364237</v>
      </c>
      <c r="M67" s="60">
        <f t="shared" si="111"/>
        <v>0.002485818206</v>
      </c>
      <c r="N67" s="50"/>
      <c r="O67" s="61">
        <f t="shared" si="112"/>
        <v>1</v>
      </c>
      <c r="P67" s="61">
        <f t="shared" ref="P67:S67" si="113">IFERROR(D67/$C67,0)</f>
        <v>1</v>
      </c>
      <c r="Q67" s="61">
        <f t="shared" si="113"/>
        <v>1</v>
      </c>
      <c r="R67" s="61">
        <f t="shared" si="113"/>
        <v>1</v>
      </c>
      <c r="S67" s="61">
        <f t="shared" si="113"/>
        <v>1</v>
      </c>
      <c r="T67" s="61"/>
      <c r="U67" s="50" t="s">
        <v>123</v>
      </c>
      <c r="V67" s="50">
        <v>800.0</v>
      </c>
      <c r="W67" s="50">
        <v>800.0</v>
      </c>
      <c r="X67" s="50">
        <v>800.0</v>
      </c>
      <c r="Y67" s="50">
        <v>800.0</v>
      </c>
      <c r="Z67" s="50">
        <v>800.0</v>
      </c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</row>
    <row r="68" ht="15.75" customHeight="1">
      <c r="A68" s="50"/>
      <c r="B68" s="50" t="s">
        <v>124</v>
      </c>
      <c r="C68" s="50">
        <v>0.0</v>
      </c>
      <c r="D68" s="50">
        <f t="shared" ref="D68:G68" si="114">+C68+C69</f>
        <v>-11970</v>
      </c>
      <c r="E68" s="50">
        <f t="shared" si="114"/>
        <v>-46070</v>
      </c>
      <c r="F68" s="50">
        <f t="shared" si="114"/>
        <v>-16570</v>
      </c>
      <c r="G68" s="50">
        <f t="shared" si="114"/>
        <v>70655</v>
      </c>
      <c r="H68" s="50"/>
      <c r="I68" s="60">
        <f t="shared" ref="I68:M68" si="115">C68/C$54</f>
        <v>0</v>
      </c>
      <c r="J68" s="60">
        <f t="shared" si="115"/>
        <v>-0.1489731308</v>
      </c>
      <c r="K68" s="60">
        <f t="shared" si="115"/>
        <v>-0.1435515265</v>
      </c>
      <c r="L68" s="60">
        <f t="shared" si="115"/>
        <v>-0.04721133177</v>
      </c>
      <c r="M68" s="60">
        <f t="shared" si="115"/>
        <v>0.2195443567</v>
      </c>
      <c r="N68" s="50"/>
      <c r="O68" s="61">
        <f t="shared" si="112"/>
        <v>0</v>
      </c>
      <c r="P68" s="61">
        <f t="shared" ref="P68:S68" si="116">IFERROR(D68/$C68,0)</f>
        <v>0</v>
      </c>
      <c r="Q68" s="61">
        <f t="shared" si="116"/>
        <v>0</v>
      </c>
      <c r="R68" s="61">
        <f t="shared" si="116"/>
        <v>0</v>
      </c>
      <c r="S68" s="61">
        <f t="shared" si="116"/>
        <v>0</v>
      </c>
      <c r="T68" s="61"/>
      <c r="U68" s="50" t="s">
        <v>124</v>
      </c>
      <c r="V68" s="50">
        <v>0.0</v>
      </c>
      <c r="W68" s="50">
        <f t="shared" ref="W68:Z68" si="117">+V68+V69</f>
        <v>182657.2426</v>
      </c>
      <c r="X68" s="50">
        <f t="shared" si="117"/>
        <v>459327.4766</v>
      </c>
      <c r="Y68" s="50">
        <f t="shared" si="117"/>
        <v>893435.6019</v>
      </c>
      <c r="Z68" s="50">
        <f t="shared" si="117"/>
        <v>1504193.175</v>
      </c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</row>
    <row r="69" ht="15.75" customHeight="1">
      <c r="A69" s="50"/>
      <c r="B69" s="50" t="s">
        <v>125</v>
      </c>
      <c r="C69" s="62">
        <f t="shared" ref="C69:G69" si="118">+C27</f>
        <v>-11970</v>
      </c>
      <c r="D69" s="62">
        <f t="shared" si="118"/>
        <v>-34100</v>
      </c>
      <c r="E69" s="62">
        <f t="shared" si="118"/>
        <v>29500</v>
      </c>
      <c r="F69" s="62">
        <f t="shared" si="118"/>
        <v>87225</v>
      </c>
      <c r="G69" s="62">
        <f t="shared" si="118"/>
        <v>54050</v>
      </c>
      <c r="H69" s="50"/>
      <c r="I69" s="60">
        <f t="shared" ref="I69:M69" si="119">C69/C$54</f>
        <v>-0.1659502293</v>
      </c>
      <c r="J69" s="60">
        <f t="shared" si="119"/>
        <v>-0.4243929625</v>
      </c>
      <c r="K69" s="60">
        <f t="shared" si="119"/>
        <v>0.09192033928</v>
      </c>
      <c r="L69" s="60">
        <f t="shared" si="119"/>
        <v>0.248521932</v>
      </c>
      <c r="M69" s="60">
        <f t="shared" si="119"/>
        <v>0.1679480926</v>
      </c>
      <c r="N69" s="50"/>
      <c r="O69" s="61">
        <f t="shared" si="112"/>
        <v>1</v>
      </c>
      <c r="P69" s="61">
        <f t="shared" ref="P69:S69" si="120">IFERROR(D69/$C69,0)</f>
        <v>2.848788638</v>
      </c>
      <c r="Q69" s="61">
        <f t="shared" si="120"/>
        <v>-2.46449457</v>
      </c>
      <c r="R69" s="61">
        <f t="shared" si="120"/>
        <v>-7.286967419</v>
      </c>
      <c r="S69" s="61">
        <f t="shared" si="120"/>
        <v>-4.515455305</v>
      </c>
      <c r="T69" s="61"/>
      <c r="U69" s="50" t="s">
        <v>125</v>
      </c>
      <c r="V69" s="62">
        <f t="shared" ref="V69:Z69" si="121">+V27</f>
        <v>182657.2426</v>
      </c>
      <c r="W69" s="62">
        <f t="shared" si="121"/>
        <v>276670.2341</v>
      </c>
      <c r="X69" s="62">
        <f t="shared" si="121"/>
        <v>434108.1253</v>
      </c>
      <c r="Y69" s="62">
        <f t="shared" si="121"/>
        <v>610757.5727</v>
      </c>
      <c r="Z69" s="62">
        <f t="shared" si="121"/>
        <v>841711.216</v>
      </c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</row>
    <row r="70" ht="15.75" customHeight="1">
      <c r="A70" s="50"/>
      <c r="B70" s="63" t="s">
        <v>126</v>
      </c>
      <c r="C70" s="64">
        <f t="shared" ref="C70:G70" si="122">SUM(C66:C69)</f>
        <v>-8169.94</v>
      </c>
      <c r="D70" s="64">
        <f t="shared" si="122"/>
        <v>-42269.94</v>
      </c>
      <c r="E70" s="64">
        <f t="shared" si="122"/>
        <v>-12769.94</v>
      </c>
      <c r="F70" s="64">
        <f t="shared" si="122"/>
        <v>74455.06</v>
      </c>
      <c r="G70" s="64">
        <f t="shared" si="122"/>
        <v>128505.06</v>
      </c>
      <c r="H70" s="50"/>
      <c r="I70" s="65">
        <f t="shared" ref="I70:M70" si="123">C70/C$54</f>
        <v>-0.113266785</v>
      </c>
      <c r="J70" s="66">
        <f t="shared" si="123"/>
        <v>-0.5260722892</v>
      </c>
      <c r="K70" s="66">
        <f t="shared" si="123"/>
        <v>-0.03979041415</v>
      </c>
      <c r="L70" s="66">
        <f t="shared" si="123"/>
        <v>0.2121377513</v>
      </c>
      <c r="M70" s="67">
        <f t="shared" si="123"/>
        <v>0.3993002722</v>
      </c>
      <c r="N70" s="50"/>
      <c r="O70" s="68">
        <f t="shared" si="112"/>
        <v>1</v>
      </c>
      <c r="P70" s="69">
        <f t="shared" ref="P70:S70" si="124">IFERROR(D70/$C70,0)</f>
        <v>5.173837262</v>
      </c>
      <c r="Q70" s="69">
        <f t="shared" si="124"/>
        <v>1.563039631</v>
      </c>
      <c r="R70" s="69">
        <f t="shared" si="124"/>
        <v>-9.113293366</v>
      </c>
      <c r="S70" s="70">
        <f t="shared" si="124"/>
        <v>-15.72900903</v>
      </c>
      <c r="T70" s="71"/>
      <c r="U70" s="63" t="s">
        <v>126</v>
      </c>
      <c r="V70" s="64">
        <f t="shared" ref="V70:Z70" si="125">SUM(V66:V69)</f>
        <v>186457.3026</v>
      </c>
      <c r="W70" s="64">
        <f t="shared" si="125"/>
        <v>463127.5366</v>
      </c>
      <c r="X70" s="64">
        <f t="shared" si="125"/>
        <v>897235.6619</v>
      </c>
      <c r="Y70" s="64">
        <f t="shared" si="125"/>
        <v>1507993.235</v>
      </c>
      <c r="Z70" s="64">
        <f t="shared" si="125"/>
        <v>2349704.451</v>
      </c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</row>
    <row r="71" ht="15.75" customHeight="1">
      <c r="A71" s="50"/>
      <c r="B71" s="63"/>
      <c r="C71" s="64"/>
      <c r="D71" s="64"/>
      <c r="E71" s="64"/>
      <c r="F71" s="64"/>
      <c r="G71" s="64"/>
      <c r="H71" s="50"/>
      <c r="I71" s="75"/>
      <c r="J71" s="75"/>
      <c r="K71" s="75"/>
      <c r="L71" s="75"/>
      <c r="M71" s="75"/>
      <c r="N71" s="50"/>
      <c r="O71" s="61"/>
      <c r="P71" s="61"/>
      <c r="Q71" s="61"/>
      <c r="R71" s="61"/>
      <c r="S71" s="61"/>
      <c r="T71" s="61"/>
      <c r="U71" s="63"/>
      <c r="V71" s="64"/>
      <c r="W71" s="64"/>
      <c r="X71" s="64"/>
      <c r="Y71" s="64"/>
      <c r="Z71" s="64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</row>
    <row r="72" ht="15.75" customHeight="1">
      <c r="A72" s="50"/>
      <c r="B72" s="63" t="s">
        <v>127</v>
      </c>
      <c r="C72" s="72">
        <f t="shared" ref="C72:G72" si="126">+C70+C64</f>
        <v>72130.06</v>
      </c>
      <c r="D72" s="72">
        <f t="shared" si="126"/>
        <v>80350.06</v>
      </c>
      <c r="E72" s="72">
        <f t="shared" si="126"/>
        <v>320930.06</v>
      </c>
      <c r="F72" s="72">
        <f t="shared" si="126"/>
        <v>350975.06</v>
      </c>
      <c r="G72" s="72">
        <f t="shared" si="126"/>
        <v>321825.6259</v>
      </c>
      <c r="H72" s="50"/>
      <c r="I72" s="65">
        <f t="shared" ref="I72:M72" si="127">C72/C$54</f>
        <v>1</v>
      </c>
      <c r="J72" s="66">
        <f t="shared" si="127"/>
        <v>1</v>
      </c>
      <c r="K72" s="66">
        <f t="shared" si="127"/>
        <v>1</v>
      </c>
      <c r="L72" s="66">
        <f t="shared" si="127"/>
        <v>1</v>
      </c>
      <c r="M72" s="67">
        <f t="shared" si="127"/>
        <v>1</v>
      </c>
      <c r="N72" s="50"/>
      <c r="O72" s="68">
        <f>IFERROR(C72/C72,0)</f>
        <v>1</v>
      </c>
      <c r="P72" s="69">
        <f t="shared" ref="P72:S72" si="128">IFERROR(D72/$C72,0)</f>
        <v>1.113960809</v>
      </c>
      <c r="Q72" s="69">
        <f t="shared" si="128"/>
        <v>4.449324734</v>
      </c>
      <c r="R72" s="69">
        <f t="shared" si="128"/>
        <v>4.865863969</v>
      </c>
      <c r="S72" s="70">
        <f t="shared" si="128"/>
        <v>4.46174072</v>
      </c>
      <c r="T72" s="71"/>
      <c r="U72" s="63" t="s">
        <v>127</v>
      </c>
      <c r="V72" s="72">
        <f t="shared" ref="V72:Z72" si="129">+V70+V64</f>
        <v>296772.5274</v>
      </c>
      <c r="W72" s="72">
        <f t="shared" si="129"/>
        <v>517905.4786</v>
      </c>
      <c r="X72" s="72">
        <f t="shared" si="129"/>
        <v>966701.0936</v>
      </c>
      <c r="Y72" s="72">
        <f t="shared" si="129"/>
        <v>1600376.211</v>
      </c>
      <c r="Z72" s="72">
        <f t="shared" si="129"/>
        <v>2473342.452</v>
      </c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</row>
    <row r="73" ht="15.75" customHeight="1">
      <c r="A73" s="50"/>
      <c r="B73" s="50"/>
      <c r="C73" s="77">
        <f t="shared" ref="C73:G73" si="130">+C72-C54</f>
        <v>0</v>
      </c>
      <c r="D73" s="77">
        <f t="shared" si="130"/>
        <v>0</v>
      </c>
      <c r="E73" s="77">
        <f t="shared" si="130"/>
        <v>0</v>
      </c>
      <c r="F73" s="77">
        <f t="shared" si="130"/>
        <v>0</v>
      </c>
      <c r="G73" s="77">
        <f t="shared" si="130"/>
        <v>0</v>
      </c>
      <c r="H73" s="50"/>
      <c r="I73" s="64"/>
      <c r="J73" s="64"/>
      <c r="K73" s="64"/>
      <c r="L73" s="64"/>
      <c r="M73" s="64"/>
      <c r="N73" s="50"/>
      <c r="O73" s="50"/>
      <c r="P73" s="50"/>
      <c r="Q73" s="50"/>
      <c r="R73" s="50"/>
      <c r="S73" s="50"/>
      <c r="T73" s="50"/>
      <c r="U73" s="50"/>
      <c r="V73" s="77">
        <f t="shared" ref="V73:Z73" si="131">+V72-V54</f>
        <v>-0.000000006810296327</v>
      </c>
      <c r="W73" s="77">
        <f t="shared" si="131"/>
        <v>-0.00000001303851604</v>
      </c>
      <c r="X73" s="77">
        <f t="shared" si="131"/>
        <v>-0.00000001781154424</v>
      </c>
      <c r="Y73" s="77">
        <f t="shared" si="131"/>
        <v>-0.00000002258457243</v>
      </c>
      <c r="Z73" s="77">
        <f t="shared" si="131"/>
        <v>-0.00000002700835466</v>
      </c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</row>
  </sheetData>
  <mergeCells count="7">
    <mergeCell ref="B5:C7"/>
    <mergeCell ref="C13:G13"/>
    <mergeCell ref="I13:M13"/>
    <mergeCell ref="O13:S13"/>
    <mergeCell ref="V13:Z13"/>
    <mergeCell ref="B36:G36"/>
    <mergeCell ref="U36:Z36"/>
  </mergeCells>
  <printOptions/>
  <pageMargins bottom="0.75" footer="0.0" header="0.0" left="0.7" right="0.7" top="0.75"/>
  <pageSetup orientation="landscape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9.7"/>
    <col customWidth="1" min="2" max="2" width="46.4"/>
    <col customWidth="1" min="3" max="3" width="9.1"/>
    <col customWidth="1" min="4" max="5" width="9.6"/>
    <col customWidth="1" min="6" max="6" width="9.1"/>
    <col customWidth="1" min="7" max="7" width="9.2"/>
    <col customWidth="1" min="8" max="8" width="2.7"/>
    <col customWidth="1" min="9" max="13" width="5.1"/>
    <col customWidth="1" min="14" max="14" width="2.1"/>
    <col customWidth="1" min="15" max="19" width="4.9"/>
    <col customWidth="1" min="20" max="20" width="3.7"/>
    <col customWidth="1" min="21" max="21" width="47.7"/>
    <col customWidth="1" min="22" max="22" width="9.0"/>
    <col customWidth="1" min="23" max="24" width="9.6"/>
    <col customWidth="1" min="25" max="26" width="11.3"/>
    <col customWidth="1" min="27" max="27" width="2.7"/>
    <col customWidth="1" min="28" max="32" width="5.1"/>
    <col customWidth="1" min="33" max="33" width="2.1"/>
    <col customWidth="1" min="34" max="38" width="4.9"/>
    <col customWidth="1" min="39" max="39" width="9.7"/>
  </cols>
  <sheetData>
    <row r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>
      <c r="A2" s="50"/>
      <c r="B2" s="1" t="s">
        <v>0</v>
      </c>
      <c r="C2" s="49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9" t="s">
        <v>74</v>
      </c>
      <c r="V2" s="40">
        <v>2022.0</v>
      </c>
      <c r="W2" s="40">
        <v>2023.0</v>
      </c>
      <c r="X2" s="40">
        <v>2024.0</v>
      </c>
      <c r="Y2" s="40">
        <v>2025.0</v>
      </c>
      <c r="Z2" s="41">
        <v>2026.0</v>
      </c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49"/>
    </row>
    <row r="3">
      <c r="A3" s="50"/>
      <c r="B3" s="7" t="s">
        <v>174</v>
      </c>
      <c r="C3" s="51"/>
      <c r="D3" s="5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2" t="s">
        <v>75</v>
      </c>
      <c r="V3" s="88">
        <v>0.35</v>
      </c>
      <c r="W3" s="88">
        <v>0.35</v>
      </c>
      <c r="X3" s="88">
        <v>0.35</v>
      </c>
      <c r="Y3" s="88">
        <v>0.35</v>
      </c>
      <c r="Z3" s="89">
        <v>0.35</v>
      </c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49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2" t="s">
        <v>76</v>
      </c>
      <c r="V4" s="88">
        <v>0.44</v>
      </c>
      <c r="W4" s="88">
        <v>0.44</v>
      </c>
      <c r="X4" s="88">
        <v>0.42</v>
      </c>
      <c r="Y4" s="88">
        <v>0.42</v>
      </c>
      <c r="Z4" s="89">
        <v>0.42</v>
      </c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49"/>
    </row>
    <row r="5" ht="15.0" customHeight="1">
      <c r="A5" s="50"/>
      <c r="B5" s="134" t="s">
        <v>175</v>
      </c>
      <c r="C5" s="10"/>
      <c r="D5" s="11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2" t="s">
        <v>77</v>
      </c>
      <c r="V5" s="88">
        <v>0.1</v>
      </c>
      <c r="W5" s="88">
        <v>0.15</v>
      </c>
      <c r="X5" s="88">
        <v>0.15</v>
      </c>
      <c r="Y5" s="88">
        <v>0.2</v>
      </c>
      <c r="Z5" s="89">
        <v>0.25</v>
      </c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49"/>
    </row>
    <row r="6">
      <c r="A6" s="50"/>
      <c r="B6" s="15"/>
      <c r="D6" s="16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2" t="s">
        <v>78</v>
      </c>
      <c r="V6" s="88">
        <v>0.1</v>
      </c>
      <c r="W6" s="88">
        <v>0.15</v>
      </c>
      <c r="X6" s="88">
        <v>0.15</v>
      </c>
      <c r="Y6" s="88">
        <v>0.2</v>
      </c>
      <c r="Z6" s="89">
        <v>0.25</v>
      </c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49"/>
    </row>
    <row r="7">
      <c r="A7" s="50"/>
      <c r="B7" s="15"/>
      <c r="D7" s="16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2" t="s">
        <v>79</v>
      </c>
      <c r="V7" s="88">
        <v>0.01</v>
      </c>
      <c r="W7" s="88">
        <v>0.01</v>
      </c>
      <c r="X7" s="88">
        <v>0.01</v>
      </c>
      <c r="Y7" s="88">
        <v>0.01</v>
      </c>
      <c r="Z7" s="89">
        <v>0.01</v>
      </c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49"/>
    </row>
    <row r="8">
      <c r="A8" s="50"/>
      <c r="B8" s="12"/>
      <c r="C8" s="13"/>
      <c r="D8" s="14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2" t="s">
        <v>80</v>
      </c>
      <c r="V8" s="88">
        <v>0.03</v>
      </c>
      <c r="W8" s="88">
        <v>0.03</v>
      </c>
      <c r="X8" s="88">
        <v>0.03</v>
      </c>
      <c r="Y8" s="88">
        <v>0.03</v>
      </c>
      <c r="Z8" s="89">
        <v>0.03</v>
      </c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49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5" t="s">
        <v>81</v>
      </c>
      <c r="V9" s="90">
        <v>0.25</v>
      </c>
      <c r="W9" s="90">
        <v>0.25</v>
      </c>
      <c r="X9" s="90">
        <v>0.25</v>
      </c>
      <c r="Y9" s="90">
        <v>0.25</v>
      </c>
      <c r="Z9" s="91">
        <v>0.25</v>
      </c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49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92"/>
      <c r="V10" s="92"/>
      <c r="W10" s="92"/>
      <c r="X10" s="92"/>
      <c r="Y10" s="92"/>
      <c r="Z10" s="92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49"/>
    </row>
    <row r="11">
      <c r="A11" s="50"/>
      <c r="B11" s="52" t="s">
        <v>86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 t="s">
        <v>134</v>
      </c>
      <c r="V11" s="93"/>
      <c r="W11" s="94"/>
      <c r="X11" s="94"/>
      <c r="Y11" s="94"/>
      <c r="Z11" s="94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49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95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49"/>
    </row>
    <row r="13">
      <c r="A13" s="50"/>
      <c r="B13" s="53" t="s">
        <v>87</v>
      </c>
      <c r="C13" s="54" t="s">
        <v>88</v>
      </c>
      <c r="D13" s="55"/>
      <c r="E13" s="55"/>
      <c r="F13" s="55"/>
      <c r="G13" s="56"/>
      <c r="H13" s="50"/>
      <c r="I13" s="57" t="s">
        <v>89</v>
      </c>
      <c r="J13" s="55"/>
      <c r="K13" s="55"/>
      <c r="L13" s="55"/>
      <c r="M13" s="56"/>
      <c r="N13" s="50"/>
      <c r="O13" s="57" t="s">
        <v>90</v>
      </c>
      <c r="P13" s="55"/>
      <c r="Q13" s="55"/>
      <c r="R13" s="55"/>
      <c r="S13" s="56"/>
      <c r="T13" s="58"/>
      <c r="U13" s="53" t="str">
        <f>+B13</f>
        <v>Estado de resultados</v>
      </c>
      <c r="V13" s="54" t="s">
        <v>135</v>
      </c>
      <c r="W13" s="55"/>
      <c r="X13" s="55"/>
      <c r="Y13" s="55"/>
      <c r="Z13" s="56"/>
      <c r="AA13" s="50"/>
      <c r="AB13" s="57" t="s">
        <v>89</v>
      </c>
      <c r="AC13" s="55"/>
      <c r="AD13" s="55"/>
      <c r="AE13" s="55"/>
      <c r="AF13" s="56"/>
      <c r="AG13" s="50"/>
      <c r="AH13" s="57" t="s">
        <v>90</v>
      </c>
      <c r="AI13" s="55"/>
      <c r="AJ13" s="55"/>
      <c r="AK13" s="55"/>
      <c r="AL13" s="56"/>
      <c r="AM13" s="49"/>
    </row>
    <row r="14">
      <c r="A14" s="50"/>
      <c r="B14" s="50"/>
      <c r="C14" s="59">
        <v>2017.0</v>
      </c>
      <c r="D14" s="59">
        <v>2018.0</v>
      </c>
      <c r="E14" s="59">
        <v>2019.0</v>
      </c>
      <c r="F14" s="59">
        <v>2020.0</v>
      </c>
      <c r="G14" s="59">
        <v>2021.0</v>
      </c>
      <c r="H14" s="50"/>
      <c r="I14" s="59">
        <f t="shared" ref="I14:M14" si="1">+C14</f>
        <v>2017</v>
      </c>
      <c r="J14" s="59">
        <f t="shared" si="1"/>
        <v>2018</v>
      </c>
      <c r="K14" s="59">
        <f t="shared" si="1"/>
        <v>2019</v>
      </c>
      <c r="L14" s="59">
        <f t="shared" si="1"/>
        <v>2020</v>
      </c>
      <c r="M14" s="59">
        <f t="shared" si="1"/>
        <v>2021</v>
      </c>
      <c r="N14" s="50"/>
      <c r="O14" s="59">
        <f t="shared" ref="O14:S14" si="2">+C14</f>
        <v>2017</v>
      </c>
      <c r="P14" s="59">
        <f t="shared" si="2"/>
        <v>2018</v>
      </c>
      <c r="Q14" s="59">
        <f t="shared" si="2"/>
        <v>2019</v>
      </c>
      <c r="R14" s="59">
        <f t="shared" si="2"/>
        <v>2020</v>
      </c>
      <c r="S14" s="59">
        <f t="shared" si="2"/>
        <v>2021</v>
      </c>
      <c r="T14" s="58"/>
      <c r="U14" s="50"/>
      <c r="V14" s="59">
        <v>2022.0</v>
      </c>
      <c r="W14" s="59">
        <v>2023.0</v>
      </c>
      <c r="X14" s="59">
        <v>2024.0</v>
      </c>
      <c r="Y14" s="59">
        <v>2025.0</v>
      </c>
      <c r="Z14" s="59">
        <v>2026.0</v>
      </c>
      <c r="AA14" s="50"/>
      <c r="AB14" s="59">
        <f t="shared" ref="AB14:AF14" si="3">+V14</f>
        <v>2022</v>
      </c>
      <c r="AC14" s="59">
        <f t="shared" si="3"/>
        <v>2023</v>
      </c>
      <c r="AD14" s="59">
        <f t="shared" si="3"/>
        <v>2024</v>
      </c>
      <c r="AE14" s="59">
        <f t="shared" si="3"/>
        <v>2025</v>
      </c>
      <c r="AF14" s="59">
        <f t="shared" si="3"/>
        <v>2026</v>
      </c>
      <c r="AG14" s="50"/>
      <c r="AH14" s="59">
        <f t="shared" ref="AH14:AL14" si="4">+V14</f>
        <v>2022</v>
      </c>
      <c r="AI14" s="59">
        <f t="shared" si="4"/>
        <v>2023</v>
      </c>
      <c r="AJ14" s="59">
        <f t="shared" si="4"/>
        <v>2024</v>
      </c>
      <c r="AK14" s="59">
        <f t="shared" si="4"/>
        <v>2025</v>
      </c>
      <c r="AL14" s="59">
        <f t="shared" si="4"/>
        <v>2026</v>
      </c>
      <c r="AM14" s="49"/>
    </row>
    <row r="15">
      <c r="A15" s="50"/>
      <c r="B15" s="50" t="s">
        <v>91</v>
      </c>
      <c r="C15" s="50">
        <v>150000.0</v>
      </c>
      <c r="D15" s="50">
        <v>190000.0</v>
      </c>
      <c r="E15" s="50">
        <v>315000.0</v>
      </c>
      <c r="F15" s="50">
        <v>380000.0</v>
      </c>
      <c r="G15" s="50">
        <v>680000.0</v>
      </c>
      <c r="H15" s="50"/>
      <c r="I15" s="60">
        <f t="shared" ref="I15:M15" si="5">+C15/C$15</f>
        <v>1</v>
      </c>
      <c r="J15" s="60">
        <f t="shared" si="5"/>
        <v>1</v>
      </c>
      <c r="K15" s="60">
        <f t="shared" si="5"/>
        <v>1</v>
      </c>
      <c r="L15" s="60">
        <f t="shared" si="5"/>
        <v>1</v>
      </c>
      <c r="M15" s="60">
        <f t="shared" si="5"/>
        <v>1</v>
      </c>
      <c r="N15" s="50"/>
      <c r="O15" s="61">
        <f t="shared" ref="O15:O27" si="10">IFERROR(C15/C15,0)</f>
        <v>1</v>
      </c>
      <c r="P15" s="61">
        <f t="shared" ref="P15:S15" si="6">IFERROR(D15/$C15,0)</f>
        <v>1.266666667</v>
      </c>
      <c r="Q15" s="61">
        <f t="shared" si="6"/>
        <v>2.1</v>
      </c>
      <c r="R15" s="61">
        <f t="shared" si="6"/>
        <v>2.533333333</v>
      </c>
      <c r="S15" s="61">
        <f t="shared" si="6"/>
        <v>4.533333333</v>
      </c>
      <c r="T15" s="61"/>
      <c r="U15" s="50" t="s">
        <v>91</v>
      </c>
      <c r="V15" s="50">
        <f>INGRESOS!C9</f>
        <v>918000</v>
      </c>
      <c r="W15" s="50">
        <f>INGRESOS!D9</f>
        <v>1239300</v>
      </c>
      <c r="X15" s="50">
        <f>INGRESOS!E9</f>
        <v>1673055</v>
      </c>
      <c r="Y15" s="50">
        <f>INGRESOS!F9</f>
        <v>2258624.25</v>
      </c>
      <c r="Z15" s="50">
        <f>INGRESOS!G9</f>
        <v>3049142.738</v>
      </c>
      <c r="AA15" s="50"/>
      <c r="AB15" s="60">
        <f t="shared" ref="AB15:AF15" si="7">+V15/V$15</f>
        <v>1</v>
      </c>
      <c r="AC15" s="60">
        <f t="shared" si="7"/>
        <v>1</v>
      </c>
      <c r="AD15" s="60">
        <f t="shared" si="7"/>
        <v>1</v>
      </c>
      <c r="AE15" s="60">
        <f t="shared" si="7"/>
        <v>1</v>
      </c>
      <c r="AF15" s="60">
        <f t="shared" si="7"/>
        <v>1</v>
      </c>
      <c r="AG15" s="50"/>
      <c r="AH15" s="61">
        <f t="shared" ref="AH15:AH27" si="14">IFERROR(V15/V15,0)</f>
        <v>1</v>
      </c>
      <c r="AI15" s="61">
        <f t="shared" ref="AI15:AL15" si="8">IFERROR(W15/$V15,0)</f>
        <v>1.35</v>
      </c>
      <c r="AJ15" s="61">
        <f t="shared" si="8"/>
        <v>1.8225</v>
      </c>
      <c r="AK15" s="61">
        <f t="shared" si="8"/>
        <v>2.460375</v>
      </c>
      <c r="AL15" s="61">
        <f t="shared" si="8"/>
        <v>3.32150625</v>
      </c>
      <c r="AM15" s="49"/>
    </row>
    <row r="16">
      <c r="A16" s="50"/>
      <c r="B16" s="50" t="s">
        <v>92</v>
      </c>
      <c r="C16" s="50">
        <v>-86000.0</v>
      </c>
      <c r="D16" s="50">
        <v>-120000.0</v>
      </c>
      <c r="E16" s="50">
        <v>-135000.0</v>
      </c>
      <c r="F16" s="50">
        <v>-138000.0</v>
      </c>
      <c r="G16" s="50">
        <v>-300000.0</v>
      </c>
      <c r="H16" s="50"/>
      <c r="I16" s="60">
        <f t="shared" ref="I16:M16" si="9">+C16/C$15</f>
        <v>-0.5733333333</v>
      </c>
      <c r="J16" s="60">
        <f t="shared" si="9"/>
        <v>-0.6315789474</v>
      </c>
      <c r="K16" s="60">
        <f t="shared" si="9"/>
        <v>-0.4285714286</v>
      </c>
      <c r="L16" s="60">
        <f t="shared" si="9"/>
        <v>-0.3631578947</v>
      </c>
      <c r="M16" s="60">
        <f t="shared" si="9"/>
        <v>-0.4411764706</v>
      </c>
      <c r="N16" s="50"/>
      <c r="O16" s="61">
        <f t="shared" si="10"/>
        <v>1</v>
      </c>
      <c r="P16" s="61">
        <f t="shared" ref="P16:S16" si="11">IFERROR(D16/$C16,0)</f>
        <v>1.395348837</v>
      </c>
      <c r="Q16" s="61">
        <f t="shared" si="11"/>
        <v>1.569767442</v>
      </c>
      <c r="R16" s="61">
        <f t="shared" si="11"/>
        <v>1.604651163</v>
      </c>
      <c r="S16" s="61">
        <f t="shared" si="11"/>
        <v>3.488372093</v>
      </c>
      <c r="T16" s="61"/>
      <c r="U16" s="50" t="s">
        <v>92</v>
      </c>
      <c r="V16" s="50">
        <f t="shared" ref="V16:Z16" si="12">-V15*V4</f>
        <v>-403920</v>
      </c>
      <c r="W16" s="50">
        <f t="shared" si="12"/>
        <v>-545292</v>
      </c>
      <c r="X16" s="50">
        <f t="shared" si="12"/>
        <v>-702683.1</v>
      </c>
      <c r="Y16" s="50">
        <f t="shared" si="12"/>
        <v>-948622.185</v>
      </c>
      <c r="Z16" s="50">
        <f t="shared" si="12"/>
        <v>-1280639.95</v>
      </c>
      <c r="AA16" s="50"/>
      <c r="AB16" s="60">
        <f t="shared" ref="AB16:AF16" si="13">+V16/V$15</f>
        <v>-0.44</v>
      </c>
      <c r="AC16" s="60">
        <f t="shared" si="13"/>
        <v>-0.44</v>
      </c>
      <c r="AD16" s="60">
        <f t="shared" si="13"/>
        <v>-0.42</v>
      </c>
      <c r="AE16" s="60">
        <f t="shared" si="13"/>
        <v>-0.42</v>
      </c>
      <c r="AF16" s="60">
        <f t="shared" si="13"/>
        <v>-0.42</v>
      </c>
      <c r="AG16" s="50"/>
      <c r="AH16" s="61">
        <f t="shared" si="14"/>
        <v>1</v>
      </c>
      <c r="AI16" s="61">
        <f t="shared" ref="AI16:AL16" si="15">IFERROR(W16/$V16,0)</f>
        <v>1.35</v>
      </c>
      <c r="AJ16" s="61">
        <f t="shared" si="15"/>
        <v>1.739659091</v>
      </c>
      <c r="AK16" s="61">
        <f t="shared" si="15"/>
        <v>2.348539773</v>
      </c>
      <c r="AL16" s="61">
        <f t="shared" si="15"/>
        <v>3.170528693</v>
      </c>
      <c r="AM16" s="49"/>
    </row>
    <row r="17">
      <c r="A17" s="50"/>
      <c r="B17" s="50" t="s">
        <v>93</v>
      </c>
      <c r="C17" s="62">
        <v>-9000.0</v>
      </c>
      <c r="D17" s="62">
        <v>-12000.0</v>
      </c>
      <c r="E17" s="62">
        <v>-16500.0</v>
      </c>
      <c r="F17" s="62">
        <v>-21500.0</v>
      </c>
      <c r="G17" s="62">
        <v>-38500.0</v>
      </c>
      <c r="H17" s="50"/>
      <c r="I17" s="96">
        <f t="shared" ref="I17:M17" si="16">+C17/C$15</f>
        <v>-0.06</v>
      </c>
      <c r="J17" s="96">
        <f t="shared" si="16"/>
        <v>-0.06315789474</v>
      </c>
      <c r="K17" s="96">
        <f t="shared" si="16"/>
        <v>-0.05238095238</v>
      </c>
      <c r="L17" s="96">
        <f t="shared" si="16"/>
        <v>-0.05657894737</v>
      </c>
      <c r="M17" s="96">
        <f t="shared" si="16"/>
        <v>-0.05661764706</v>
      </c>
      <c r="N17" s="50"/>
      <c r="O17" s="97">
        <f t="shared" si="10"/>
        <v>1</v>
      </c>
      <c r="P17" s="97">
        <f t="shared" ref="P17:S17" si="17">IFERROR(D17/$C17,0)</f>
        <v>1.333333333</v>
      </c>
      <c r="Q17" s="97">
        <f t="shared" si="17"/>
        <v>1.833333333</v>
      </c>
      <c r="R17" s="97">
        <f t="shared" si="17"/>
        <v>2.388888889</v>
      </c>
      <c r="S17" s="97">
        <f t="shared" si="17"/>
        <v>4.277777778</v>
      </c>
      <c r="T17" s="61"/>
      <c r="U17" s="50" t="s">
        <v>93</v>
      </c>
      <c r="V17" s="62">
        <f t="shared" ref="V17:Z17" si="18">-V15*6%*(1+V5)</f>
        <v>-60588</v>
      </c>
      <c r="W17" s="62">
        <f t="shared" si="18"/>
        <v>-85511.7</v>
      </c>
      <c r="X17" s="62">
        <f t="shared" si="18"/>
        <v>-115440.795</v>
      </c>
      <c r="Y17" s="62">
        <f t="shared" si="18"/>
        <v>-162620.946</v>
      </c>
      <c r="Z17" s="62">
        <f t="shared" si="18"/>
        <v>-228685.7053</v>
      </c>
      <c r="AA17" s="50"/>
      <c r="AB17" s="96">
        <f t="shared" ref="AB17:AF17" si="19">+V17/V$15</f>
        <v>-0.066</v>
      </c>
      <c r="AC17" s="96">
        <f t="shared" si="19"/>
        <v>-0.069</v>
      </c>
      <c r="AD17" s="96">
        <f t="shared" si="19"/>
        <v>-0.069</v>
      </c>
      <c r="AE17" s="96">
        <f t="shared" si="19"/>
        <v>-0.072</v>
      </c>
      <c r="AF17" s="96">
        <f t="shared" si="19"/>
        <v>-0.075</v>
      </c>
      <c r="AG17" s="50"/>
      <c r="AH17" s="97">
        <f t="shared" si="14"/>
        <v>1</v>
      </c>
      <c r="AI17" s="97">
        <f t="shared" ref="AI17:AL17" si="20">IFERROR(W17/$V17,0)</f>
        <v>1.411363636</v>
      </c>
      <c r="AJ17" s="97">
        <f t="shared" si="20"/>
        <v>1.905340909</v>
      </c>
      <c r="AK17" s="97">
        <f t="shared" si="20"/>
        <v>2.684045455</v>
      </c>
      <c r="AL17" s="97">
        <f t="shared" si="20"/>
        <v>3.77443892</v>
      </c>
      <c r="AM17" s="49"/>
    </row>
    <row r="18">
      <c r="A18" s="50"/>
      <c r="B18" s="63" t="s">
        <v>94</v>
      </c>
      <c r="C18" s="64">
        <f t="shared" ref="C18:G18" si="21">SUM(C15:C17)</f>
        <v>55000</v>
      </c>
      <c r="D18" s="64">
        <f t="shared" si="21"/>
        <v>58000</v>
      </c>
      <c r="E18" s="64">
        <f t="shared" si="21"/>
        <v>163500</v>
      </c>
      <c r="F18" s="64">
        <f t="shared" si="21"/>
        <v>220500</v>
      </c>
      <c r="G18" s="64">
        <f t="shared" si="21"/>
        <v>341500</v>
      </c>
      <c r="H18" s="50"/>
      <c r="I18" s="65">
        <f t="shared" ref="I18:M18" si="22">+C18/C$15</f>
        <v>0.3666666667</v>
      </c>
      <c r="J18" s="66">
        <f t="shared" si="22"/>
        <v>0.3052631579</v>
      </c>
      <c r="K18" s="66">
        <f t="shared" si="22"/>
        <v>0.519047619</v>
      </c>
      <c r="L18" s="66">
        <f t="shared" si="22"/>
        <v>0.5802631579</v>
      </c>
      <c r="M18" s="67">
        <f t="shared" si="22"/>
        <v>0.5022058824</v>
      </c>
      <c r="N18" s="50"/>
      <c r="O18" s="68">
        <f t="shared" si="10"/>
        <v>1</v>
      </c>
      <c r="P18" s="69">
        <f t="shared" ref="P18:S18" si="23">IFERROR(D18/$C18,0)</f>
        <v>1.054545455</v>
      </c>
      <c r="Q18" s="69">
        <f t="shared" si="23"/>
        <v>2.972727273</v>
      </c>
      <c r="R18" s="69">
        <f t="shared" si="23"/>
        <v>4.009090909</v>
      </c>
      <c r="S18" s="70">
        <f t="shared" si="23"/>
        <v>6.209090909</v>
      </c>
      <c r="T18" s="61"/>
      <c r="U18" s="63" t="s">
        <v>94</v>
      </c>
      <c r="V18" s="64">
        <f t="shared" ref="V18:Z18" si="24">SUM(V15:V17)</f>
        <v>453492</v>
      </c>
      <c r="W18" s="64">
        <f t="shared" si="24"/>
        <v>608496.3</v>
      </c>
      <c r="X18" s="64">
        <f t="shared" si="24"/>
        <v>854931.105</v>
      </c>
      <c r="Y18" s="64">
        <f t="shared" si="24"/>
        <v>1147381.119</v>
      </c>
      <c r="Z18" s="64">
        <f t="shared" si="24"/>
        <v>1539817.082</v>
      </c>
      <c r="AA18" s="50"/>
      <c r="AB18" s="65">
        <f t="shared" ref="AB18:AF18" si="25">+V18/V$15</f>
        <v>0.494</v>
      </c>
      <c r="AC18" s="66">
        <f t="shared" si="25"/>
        <v>0.491</v>
      </c>
      <c r="AD18" s="66">
        <f t="shared" si="25"/>
        <v>0.511</v>
      </c>
      <c r="AE18" s="66">
        <f t="shared" si="25"/>
        <v>0.508</v>
      </c>
      <c r="AF18" s="67">
        <f t="shared" si="25"/>
        <v>0.505</v>
      </c>
      <c r="AG18" s="50"/>
      <c r="AH18" s="68">
        <f t="shared" si="14"/>
        <v>1</v>
      </c>
      <c r="AI18" s="69">
        <f t="shared" ref="AI18:AL18" si="26">IFERROR(W18/$V18,0)</f>
        <v>1.341801619</v>
      </c>
      <c r="AJ18" s="69">
        <f t="shared" si="26"/>
        <v>1.885217611</v>
      </c>
      <c r="AK18" s="69">
        <f t="shared" si="26"/>
        <v>2.530102227</v>
      </c>
      <c r="AL18" s="70">
        <f t="shared" si="26"/>
        <v>3.395466915</v>
      </c>
      <c r="AM18" s="49"/>
    </row>
    <row r="19">
      <c r="A19" s="50"/>
      <c r="B19" s="50" t="s">
        <v>95</v>
      </c>
      <c r="C19" s="50">
        <v>-24000.0</v>
      </c>
      <c r="D19" s="50">
        <v>-29500.0</v>
      </c>
      <c r="E19" s="50">
        <v>-49800.0</v>
      </c>
      <c r="F19" s="50">
        <v>-60500.0</v>
      </c>
      <c r="G19" s="50">
        <v>-108000.0</v>
      </c>
      <c r="H19" s="50"/>
      <c r="I19" s="60">
        <f t="shared" ref="I19:M19" si="27">+C19/C$15</f>
        <v>-0.16</v>
      </c>
      <c r="J19" s="60">
        <f t="shared" si="27"/>
        <v>-0.1552631579</v>
      </c>
      <c r="K19" s="60">
        <f t="shared" si="27"/>
        <v>-0.1580952381</v>
      </c>
      <c r="L19" s="60">
        <f t="shared" si="27"/>
        <v>-0.1592105263</v>
      </c>
      <c r="M19" s="60">
        <f t="shared" si="27"/>
        <v>-0.1588235294</v>
      </c>
      <c r="N19" s="50"/>
      <c r="O19" s="61">
        <f t="shared" si="10"/>
        <v>1</v>
      </c>
      <c r="P19" s="61">
        <f t="shared" ref="P19:S19" si="28">IFERROR(D19/$C19,0)</f>
        <v>1.229166667</v>
      </c>
      <c r="Q19" s="61">
        <f t="shared" si="28"/>
        <v>2.075</v>
      </c>
      <c r="R19" s="61">
        <f t="shared" si="28"/>
        <v>2.520833333</v>
      </c>
      <c r="S19" s="61">
        <f t="shared" si="28"/>
        <v>4.5</v>
      </c>
      <c r="T19" s="61"/>
      <c r="U19" s="50" t="s">
        <v>95</v>
      </c>
      <c r="V19" s="50">
        <f>G19*(1+V5)</f>
        <v>-118800</v>
      </c>
      <c r="W19" s="50">
        <f t="shared" ref="W19:Z19" si="29">+V19*(1+W5)</f>
        <v>-136620</v>
      </c>
      <c r="X19" s="50">
        <f t="shared" si="29"/>
        <v>-157113</v>
      </c>
      <c r="Y19" s="50">
        <f t="shared" si="29"/>
        <v>-188535.6</v>
      </c>
      <c r="Z19" s="50">
        <f t="shared" si="29"/>
        <v>-235669.5</v>
      </c>
      <c r="AA19" s="50"/>
      <c r="AB19" s="60">
        <f t="shared" ref="AB19:AF19" si="30">+V19/V$15</f>
        <v>-0.1294117647</v>
      </c>
      <c r="AC19" s="60">
        <f t="shared" si="30"/>
        <v>-0.1102396514</v>
      </c>
      <c r="AD19" s="60">
        <f t="shared" si="30"/>
        <v>-0.09390785121</v>
      </c>
      <c r="AE19" s="60">
        <f t="shared" si="30"/>
        <v>-0.08347364552</v>
      </c>
      <c r="AF19" s="60">
        <f t="shared" si="30"/>
        <v>-0.07729041252</v>
      </c>
      <c r="AG19" s="50"/>
      <c r="AH19" s="61">
        <f t="shared" si="14"/>
        <v>1</v>
      </c>
      <c r="AI19" s="61">
        <f t="shared" ref="AI19:AL19" si="31">IFERROR(W19/$V19,0)</f>
        <v>1.15</v>
      </c>
      <c r="AJ19" s="61">
        <f t="shared" si="31"/>
        <v>1.3225</v>
      </c>
      <c r="AK19" s="61">
        <f t="shared" si="31"/>
        <v>1.587</v>
      </c>
      <c r="AL19" s="61">
        <f t="shared" si="31"/>
        <v>1.98375</v>
      </c>
      <c r="AM19" s="49"/>
    </row>
    <row r="20">
      <c r="A20" s="50"/>
      <c r="B20" s="50" t="s">
        <v>96</v>
      </c>
      <c r="C20" s="50">
        <v>-12000.0</v>
      </c>
      <c r="D20" s="50">
        <v>-17500.0</v>
      </c>
      <c r="E20" s="50">
        <v>-30500.0</v>
      </c>
      <c r="F20" s="50">
        <v>-36000.0</v>
      </c>
      <c r="G20" s="50">
        <v>-67500.0</v>
      </c>
      <c r="H20" s="50"/>
      <c r="I20" s="60">
        <f t="shared" ref="I20:M20" si="32">+C20/C$15</f>
        <v>-0.08</v>
      </c>
      <c r="J20" s="60">
        <f t="shared" si="32"/>
        <v>-0.09210526316</v>
      </c>
      <c r="K20" s="60">
        <f t="shared" si="32"/>
        <v>-0.09682539683</v>
      </c>
      <c r="L20" s="60">
        <f t="shared" si="32"/>
        <v>-0.09473684211</v>
      </c>
      <c r="M20" s="60">
        <f t="shared" si="32"/>
        <v>-0.09926470588</v>
      </c>
      <c r="N20" s="50"/>
      <c r="O20" s="61">
        <f t="shared" si="10"/>
        <v>1</v>
      </c>
      <c r="P20" s="61">
        <f t="shared" ref="P20:S20" si="33">IFERROR(D20/$C20,0)</f>
        <v>1.458333333</v>
      </c>
      <c r="Q20" s="61">
        <f t="shared" si="33"/>
        <v>2.541666667</v>
      </c>
      <c r="R20" s="61">
        <f t="shared" si="33"/>
        <v>3</v>
      </c>
      <c r="S20" s="61">
        <f t="shared" si="33"/>
        <v>5.625</v>
      </c>
      <c r="T20" s="61"/>
      <c r="U20" s="50" t="s">
        <v>96</v>
      </c>
      <c r="V20" s="50">
        <f>+G20*(1+V6)</f>
        <v>-74250</v>
      </c>
      <c r="W20" s="50">
        <f t="shared" ref="W20:Z20" si="34">+V20*(1+W6)</f>
        <v>-85387.5</v>
      </c>
      <c r="X20" s="50">
        <f t="shared" si="34"/>
        <v>-98195.625</v>
      </c>
      <c r="Y20" s="50">
        <f t="shared" si="34"/>
        <v>-117834.75</v>
      </c>
      <c r="Z20" s="50">
        <f t="shared" si="34"/>
        <v>-147293.4375</v>
      </c>
      <c r="AA20" s="50"/>
      <c r="AB20" s="60">
        <f t="shared" ref="AB20:AF20" si="35">+V20/V$15</f>
        <v>-0.08088235294</v>
      </c>
      <c r="AC20" s="60">
        <f t="shared" si="35"/>
        <v>-0.06889978214</v>
      </c>
      <c r="AD20" s="60">
        <f t="shared" si="35"/>
        <v>-0.058692407</v>
      </c>
      <c r="AE20" s="60">
        <f t="shared" si="35"/>
        <v>-0.05217102845</v>
      </c>
      <c r="AF20" s="60">
        <f t="shared" si="35"/>
        <v>-0.04830650782</v>
      </c>
      <c r="AG20" s="50"/>
      <c r="AH20" s="61">
        <f t="shared" si="14"/>
        <v>1</v>
      </c>
      <c r="AI20" s="61">
        <f t="shared" ref="AI20:AL20" si="36">IFERROR(W20/$V20,0)</f>
        <v>1.15</v>
      </c>
      <c r="AJ20" s="61">
        <f t="shared" si="36"/>
        <v>1.3225</v>
      </c>
      <c r="AK20" s="61">
        <f t="shared" si="36"/>
        <v>1.587</v>
      </c>
      <c r="AL20" s="61">
        <f t="shared" si="36"/>
        <v>1.98375</v>
      </c>
      <c r="AM20" s="49"/>
    </row>
    <row r="21" ht="15.75" customHeight="1">
      <c r="A21" s="50"/>
      <c r="B21" s="50" t="s">
        <v>97</v>
      </c>
      <c r="C21" s="50">
        <v>-100.0</v>
      </c>
      <c r="D21" s="50">
        <v>-120.0</v>
      </c>
      <c r="E21" s="50">
        <v>-980.0</v>
      </c>
      <c r="F21" s="50">
        <v>-1100.0</v>
      </c>
      <c r="G21" s="50">
        <v>-1900.0</v>
      </c>
      <c r="H21" s="50"/>
      <c r="I21" s="60">
        <f t="shared" ref="I21:M21" si="37">+C21/C$15</f>
        <v>-0.0006666666667</v>
      </c>
      <c r="J21" s="60">
        <f t="shared" si="37"/>
        <v>-0.0006315789474</v>
      </c>
      <c r="K21" s="60">
        <f t="shared" si="37"/>
        <v>-0.003111111111</v>
      </c>
      <c r="L21" s="60">
        <f t="shared" si="37"/>
        <v>-0.002894736842</v>
      </c>
      <c r="M21" s="60">
        <f t="shared" si="37"/>
        <v>-0.002794117647</v>
      </c>
      <c r="N21" s="50"/>
      <c r="O21" s="61">
        <f t="shared" si="10"/>
        <v>1</v>
      </c>
      <c r="P21" s="61">
        <f t="shared" ref="P21:S21" si="38">IFERROR(D21/$C21,0)</f>
        <v>1.2</v>
      </c>
      <c r="Q21" s="61">
        <f t="shared" si="38"/>
        <v>9.8</v>
      </c>
      <c r="R21" s="61">
        <f t="shared" si="38"/>
        <v>11</v>
      </c>
      <c r="S21" s="61">
        <f t="shared" si="38"/>
        <v>19</v>
      </c>
      <c r="T21" s="61"/>
      <c r="U21" s="50" t="s">
        <v>97</v>
      </c>
      <c r="V21" s="50">
        <f t="shared" ref="V21:Z21" si="39">-V15*V7/2</f>
        <v>-4590</v>
      </c>
      <c r="W21" s="50">
        <f t="shared" si="39"/>
        <v>-6196.5</v>
      </c>
      <c r="X21" s="50">
        <f t="shared" si="39"/>
        <v>-8365.275</v>
      </c>
      <c r="Y21" s="50">
        <f t="shared" si="39"/>
        <v>-11293.12125</v>
      </c>
      <c r="Z21" s="50">
        <f t="shared" si="39"/>
        <v>-15245.71369</v>
      </c>
      <c r="AA21" s="50"/>
      <c r="AB21" s="60">
        <f t="shared" ref="AB21:AF21" si="40">+V21/V$15</f>
        <v>-0.005</v>
      </c>
      <c r="AC21" s="60">
        <f t="shared" si="40"/>
        <v>-0.005</v>
      </c>
      <c r="AD21" s="60">
        <f t="shared" si="40"/>
        <v>-0.005</v>
      </c>
      <c r="AE21" s="60">
        <f t="shared" si="40"/>
        <v>-0.005</v>
      </c>
      <c r="AF21" s="60">
        <f t="shared" si="40"/>
        <v>-0.005</v>
      </c>
      <c r="AG21" s="50"/>
      <c r="AH21" s="61">
        <f t="shared" si="14"/>
        <v>1</v>
      </c>
      <c r="AI21" s="61">
        <f t="shared" ref="AI21:AL21" si="41">IFERROR(W21/$V21,0)</f>
        <v>1.35</v>
      </c>
      <c r="AJ21" s="61">
        <f t="shared" si="41"/>
        <v>1.8225</v>
      </c>
      <c r="AK21" s="61">
        <f t="shared" si="41"/>
        <v>2.460375</v>
      </c>
      <c r="AL21" s="61">
        <f t="shared" si="41"/>
        <v>3.32150625</v>
      </c>
      <c r="AM21" s="49"/>
    </row>
    <row r="22" ht="15.75" customHeight="1">
      <c r="A22" s="50"/>
      <c r="B22" s="50" t="s">
        <v>98</v>
      </c>
      <c r="C22" s="62">
        <v>-520.0</v>
      </c>
      <c r="D22" s="62">
        <v>-680.0</v>
      </c>
      <c r="E22" s="62">
        <v>-3220.0</v>
      </c>
      <c r="F22" s="62">
        <v>-3400.0</v>
      </c>
      <c r="G22" s="62">
        <v>-5100.0</v>
      </c>
      <c r="H22" s="50"/>
      <c r="I22" s="60">
        <f t="shared" ref="I22:M22" si="42">+C22/C$15</f>
        <v>-0.003466666667</v>
      </c>
      <c r="J22" s="60">
        <f t="shared" si="42"/>
        <v>-0.003578947368</v>
      </c>
      <c r="K22" s="60">
        <f t="shared" si="42"/>
        <v>-0.01022222222</v>
      </c>
      <c r="L22" s="60">
        <f t="shared" si="42"/>
        <v>-0.008947368421</v>
      </c>
      <c r="M22" s="60">
        <f t="shared" si="42"/>
        <v>-0.0075</v>
      </c>
      <c r="N22" s="50"/>
      <c r="O22" s="61">
        <f t="shared" si="10"/>
        <v>1</v>
      </c>
      <c r="P22" s="61">
        <f t="shared" ref="P22:S22" si="43">IFERROR(D22/$C22,0)</f>
        <v>1.307692308</v>
      </c>
      <c r="Q22" s="61">
        <f t="shared" si="43"/>
        <v>6.192307692</v>
      </c>
      <c r="R22" s="61">
        <f t="shared" si="43"/>
        <v>6.538461538</v>
      </c>
      <c r="S22" s="61">
        <f t="shared" si="43"/>
        <v>9.807692308</v>
      </c>
      <c r="T22" s="61"/>
      <c r="U22" s="50" t="s">
        <v>98</v>
      </c>
      <c r="V22" s="62">
        <f t="shared" ref="V22:Z22" si="44">-V15*V7/2</f>
        <v>-4590</v>
      </c>
      <c r="W22" s="62">
        <f t="shared" si="44"/>
        <v>-6196.5</v>
      </c>
      <c r="X22" s="62">
        <f t="shared" si="44"/>
        <v>-8365.275</v>
      </c>
      <c r="Y22" s="62">
        <f t="shared" si="44"/>
        <v>-11293.12125</v>
      </c>
      <c r="Z22" s="62">
        <f t="shared" si="44"/>
        <v>-15245.71369</v>
      </c>
      <c r="AA22" s="50"/>
      <c r="AB22" s="60">
        <f t="shared" ref="AB22:AF22" si="45">+V22/V$15</f>
        <v>-0.005</v>
      </c>
      <c r="AC22" s="60">
        <f t="shared" si="45"/>
        <v>-0.005</v>
      </c>
      <c r="AD22" s="60">
        <f t="shared" si="45"/>
        <v>-0.005</v>
      </c>
      <c r="AE22" s="60">
        <f t="shared" si="45"/>
        <v>-0.005</v>
      </c>
      <c r="AF22" s="60">
        <f t="shared" si="45"/>
        <v>-0.005</v>
      </c>
      <c r="AG22" s="50"/>
      <c r="AH22" s="61">
        <f t="shared" si="14"/>
        <v>1</v>
      </c>
      <c r="AI22" s="61">
        <f t="shared" ref="AI22:AL22" si="46">IFERROR(W22/$V22,0)</f>
        <v>1.35</v>
      </c>
      <c r="AJ22" s="61">
        <f t="shared" si="46"/>
        <v>1.8225</v>
      </c>
      <c r="AK22" s="61">
        <f t="shared" si="46"/>
        <v>2.460375</v>
      </c>
      <c r="AL22" s="61">
        <f t="shared" si="46"/>
        <v>3.32150625</v>
      </c>
      <c r="AM22" s="49"/>
    </row>
    <row r="23" ht="15.75" customHeight="1">
      <c r="A23" s="50"/>
      <c r="B23" s="63" t="s">
        <v>99</v>
      </c>
      <c r="C23" s="64">
        <f t="shared" ref="C23:G23" si="47">SUM(C18:C22)</f>
        <v>18380</v>
      </c>
      <c r="D23" s="64">
        <f t="shared" si="47"/>
        <v>10200</v>
      </c>
      <c r="E23" s="64">
        <f t="shared" si="47"/>
        <v>79000</v>
      </c>
      <c r="F23" s="64">
        <f t="shared" si="47"/>
        <v>119500</v>
      </c>
      <c r="G23" s="64">
        <f t="shared" si="47"/>
        <v>159000</v>
      </c>
      <c r="H23" s="50"/>
      <c r="I23" s="65">
        <f t="shared" ref="I23:M23" si="48">+C23/C$15</f>
        <v>0.1225333333</v>
      </c>
      <c r="J23" s="66">
        <f t="shared" si="48"/>
        <v>0.05368421053</v>
      </c>
      <c r="K23" s="66">
        <f t="shared" si="48"/>
        <v>0.2507936508</v>
      </c>
      <c r="L23" s="66">
        <f t="shared" si="48"/>
        <v>0.3144736842</v>
      </c>
      <c r="M23" s="67">
        <f t="shared" si="48"/>
        <v>0.2338235294</v>
      </c>
      <c r="N23" s="50"/>
      <c r="O23" s="68">
        <f t="shared" si="10"/>
        <v>1</v>
      </c>
      <c r="P23" s="69">
        <f t="shared" ref="P23:S23" si="49">IFERROR(D23/$C23,0)</f>
        <v>0.5549510337</v>
      </c>
      <c r="Q23" s="69">
        <f t="shared" si="49"/>
        <v>4.298150163</v>
      </c>
      <c r="R23" s="69">
        <f t="shared" si="49"/>
        <v>6.501632209</v>
      </c>
      <c r="S23" s="70">
        <f t="shared" si="49"/>
        <v>8.650707291</v>
      </c>
      <c r="T23" s="71"/>
      <c r="U23" s="63" t="s">
        <v>99</v>
      </c>
      <c r="V23" s="64">
        <f t="shared" ref="V23:Z23" si="50">SUM(V18:V22)</f>
        <v>251262</v>
      </c>
      <c r="W23" s="64">
        <f t="shared" si="50"/>
        <v>374095.8</v>
      </c>
      <c r="X23" s="64">
        <f t="shared" si="50"/>
        <v>582891.93</v>
      </c>
      <c r="Y23" s="64">
        <f t="shared" si="50"/>
        <v>818424.5265</v>
      </c>
      <c r="Z23" s="64">
        <f t="shared" si="50"/>
        <v>1126362.718</v>
      </c>
      <c r="AA23" s="50"/>
      <c r="AB23" s="65">
        <f t="shared" ref="AB23:AF23" si="51">+V23/V$15</f>
        <v>0.2737058824</v>
      </c>
      <c r="AC23" s="66">
        <f t="shared" si="51"/>
        <v>0.3018605664</v>
      </c>
      <c r="AD23" s="66">
        <f t="shared" si="51"/>
        <v>0.3483997418</v>
      </c>
      <c r="AE23" s="66">
        <f t="shared" si="51"/>
        <v>0.362355326</v>
      </c>
      <c r="AF23" s="67">
        <f t="shared" si="51"/>
        <v>0.3694030797</v>
      </c>
      <c r="AG23" s="50"/>
      <c r="AH23" s="68">
        <f t="shared" si="14"/>
        <v>1</v>
      </c>
      <c r="AI23" s="69">
        <f t="shared" ref="AI23:AL23" si="52">IFERROR(W23/$V23,0)</f>
        <v>1.488867397</v>
      </c>
      <c r="AJ23" s="69">
        <f t="shared" si="52"/>
        <v>2.319857081</v>
      </c>
      <c r="AK23" s="69">
        <f t="shared" si="52"/>
        <v>3.25725548</v>
      </c>
      <c r="AL23" s="70">
        <f t="shared" si="52"/>
        <v>4.482821587</v>
      </c>
      <c r="AM23" s="49"/>
    </row>
    <row r="24" ht="15.75" customHeight="1">
      <c r="A24" s="50"/>
      <c r="B24" s="50" t="s">
        <v>100</v>
      </c>
      <c r="C24" s="62">
        <v>-850.0</v>
      </c>
      <c r="D24" s="62">
        <v>-1300.0</v>
      </c>
      <c r="E24" s="62">
        <v>-2300.0</v>
      </c>
      <c r="F24" s="62">
        <v>-3200.0</v>
      </c>
      <c r="G24" s="62">
        <v>-5950.0</v>
      </c>
      <c r="H24" s="50"/>
      <c r="I24" s="60">
        <f t="shared" ref="I24:M24" si="53">+C24/C$15</f>
        <v>-0.005666666667</v>
      </c>
      <c r="J24" s="60">
        <f t="shared" si="53"/>
        <v>-0.006842105263</v>
      </c>
      <c r="K24" s="60">
        <f t="shared" si="53"/>
        <v>-0.007301587302</v>
      </c>
      <c r="L24" s="60">
        <f t="shared" si="53"/>
        <v>-0.008421052632</v>
      </c>
      <c r="M24" s="60">
        <f t="shared" si="53"/>
        <v>-0.00875</v>
      </c>
      <c r="N24" s="50"/>
      <c r="O24" s="61">
        <f t="shared" si="10"/>
        <v>1</v>
      </c>
      <c r="P24" s="61">
        <f t="shared" ref="P24:S24" si="54">IFERROR(D24/$C24,0)</f>
        <v>1.529411765</v>
      </c>
      <c r="Q24" s="61">
        <f t="shared" si="54"/>
        <v>2.705882353</v>
      </c>
      <c r="R24" s="61">
        <f t="shared" si="54"/>
        <v>3.764705882</v>
      </c>
      <c r="S24" s="61">
        <f t="shared" si="54"/>
        <v>7</v>
      </c>
      <c r="T24" s="61"/>
      <c r="U24" s="50" t="s">
        <v>100</v>
      </c>
      <c r="V24" s="62">
        <f>-'TABLAS AMORTIZACION'!K27</f>
        <v>-7719.009913</v>
      </c>
      <c r="W24" s="62">
        <f>-'TABLAS AMORTIZACION'!L27</f>
        <v>-5202.154565</v>
      </c>
      <c r="X24" s="62">
        <f>-'TABLAS AMORTIZACION'!M27</f>
        <v>-4081.096275</v>
      </c>
      <c r="Y24" s="62">
        <f>-'TABLAS AMORTIZACION'!N27</f>
        <v>-4081.096275</v>
      </c>
      <c r="Z24" s="62">
        <f>-'TABLAS AMORTIZACION'!O27</f>
        <v>-4081.096275</v>
      </c>
      <c r="AA24" s="50"/>
      <c r="AB24" s="60">
        <f t="shared" ref="AB24:AF24" si="55">+V24/V$15</f>
        <v>-0.008408507531</v>
      </c>
      <c r="AC24" s="60">
        <f t="shared" si="55"/>
        <v>-0.004197655584</v>
      </c>
      <c r="AD24" s="60">
        <f t="shared" si="55"/>
        <v>-0.002439307898</v>
      </c>
      <c r="AE24" s="60">
        <f t="shared" si="55"/>
        <v>-0.001806894739</v>
      </c>
      <c r="AF24" s="60">
        <f t="shared" si="55"/>
        <v>-0.001338440548</v>
      </c>
      <c r="AG24" s="50"/>
      <c r="AH24" s="61">
        <f t="shared" si="14"/>
        <v>1</v>
      </c>
      <c r="AI24" s="61">
        <f t="shared" ref="AI24:AL24" si="56">IFERROR(W24/$V24,0)</f>
        <v>0.6739406509</v>
      </c>
      <c r="AJ24" s="61">
        <f t="shared" si="56"/>
        <v>0.5287072204</v>
      </c>
      <c r="AK24" s="61">
        <f t="shared" si="56"/>
        <v>0.5287072204</v>
      </c>
      <c r="AL24" s="61">
        <f t="shared" si="56"/>
        <v>0.5287072204</v>
      </c>
      <c r="AM24" s="49"/>
    </row>
    <row r="25" ht="15.75" customHeight="1">
      <c r="A25" s="50"/>
      <c r="B25" s="63" t="s">
        <v>101</v>
      </c>
      <c r="C25" s="64">
        <f t="shared" ref="C25:G25" si="57">SUM(C23:C24)</f>
        <v>17530</v>
      </c>
      <c r="D25" s="64">
        <f t="shared" si="57"/>
        <v>8900</v>
      </c>
      <c r="E25" s="64">
        <f t="shared" si="57"/>
        <v>76700</v>
      </c>
      <c r="F25" s="64">
        <f t="shared" si="57"/>
        <v>116300</v>
      </c>
      <c r="G25" s="64">
        <f t="shared" si="57"/>
        <v>153050</v>
      </c>
      <c r="H25" s="50"/>
      <c r="I25" s="65">
        <f t="shared" ref="I25:M25" si="58">+C25/C$15</f>
        <v>0.1168666667</v>
      </c>
      <c r="J25" s="66">
        <f t="shared" si="58"/>
        <v>0.04684210526</v>
      </c>
      <c r="K25" s="66">
        <f t="shared" si="58"/>
        <v>0.2434920635</v>
      </c>
      <c r="L25" s="66">
        <f t="shared" si="58"/>
        <v>0.3060526316</v>
      </c>
      <c r="M25" s="67">
        <f t="shared" si="58"/>
        <v>0.2250735294</v>
      </c>
      <c r="N25" s="50"/>
      <c r="O25" s="68">
        <f t="shared" si="10"/>
        <v>1</v>
      </c>
      <c r="P25" s="69">
        <f t="shared" ref="P25:S25" si="59">IFERROR(D25/$C25,0)</f>
        <v>0.5077010839</v>
      </c>
      <c r="Q25" s="69">
        <f t="shared" si="59"/>
        <v>4.375356532</v>
      </c>
      <c r="R25" s="69">
        <f t="shared" si="59"/>
        <v>6.634341129</v>
      </c>
      <c r="S25" s="70">
        <f t="shared" si="59"/>
        <v>8.73074729</v>
      </c>
      <c r="T25" s="71"/>
      <c r="U25" s="63" t="s">
        <v>101</v>
      </c>
      <c r="V25" s="64">
        <f t="shared" ref="V25:Z25" si="60">SUM(V23:V24)</f>
        <v>243542.9901</v>
      </c>
      <c r="W25" s="64">
        <f t="shared" si="60"/>
        <v>368893.6454</v>
      </c>
      <c r="X25" s="64">
        <f t="shared" si="60"/>
        <v>578810.8337</v>
      </c>
      <c r="Y25" s="64">
        <f t="shared" si="60"/>
        <v>814343.4302</v>
      </c>
      <c r="Z25" s="64">
        <f t="shared" si="60"/>
        <v>1122281.621</v>
      </c>
      <c r="AA25" s="50"/>
      <c r="AB25" s="65">
        <f t="shared" ref="AB25:AF25" si="61">+V25/V$15</f>
        <v>0.2652973748</v>
      </c>
      <c r="AC25" s="66">
        <f t="shared" si="61"/>
        <v>0.2976629109</v>
      </c>
      <c r="AD25" s="66">
        <f t="shared" si="61"/>
        <v>0.3459604339</v>
      </c>
      <c r="AE25" s="66">
        <f t="shared" si="61"/>
        <v>0.3605484313</v>
      </c>
      <c r="AF25" s="67">
        <f t="shared" si="61"/>
        <v>0.3680646391</v>
      </c>
      <c r="AG25" s="50"/>
      <c r="AH25" s="68">
        <f t="shared" si="14"/>
        <v>1</v>
      </c>
      <c r="AI25" s="69">
        <f t="shared" ref="AI25:AL25" si="62">IFERROR(W25/$V25,0)</f>
        <v>1.514696216</v>
      </c>
      <c r="AJ25" s="69">
        <f t="shared" si="62"/>
        <v>2.37662695</v>
      </c>
      <c r="AK25" s="69">
        <f t="shared" si="62"/>
        <v>3.343735863</v>
      </c>
      <c r="AL25" s="70">
        <f t="shared" si="62"/>
        <v>4.608145859</v>
      </c>
      <c r="AM25" s="49"/>
    </row>
    <row r="26" ht="15.75" customHeight="1">
      <c r="A26" s="50"/>
      <c r="B26" s="50" t="s">
        <v>102</v>
      </c>
      <c r="C26" s="50">
        <v>-29500.0</v>
      </c>
      <c r="D26" s="50">
        <v>-43000.0</v>
      </c>
      <c r="E26" s="50">
        <v>-47200.0</v>
      </c>
      <c r="F26" s="50">
        <f>-F25*0.25</f>
        <v>-29075</v>
      </c>
      <c r="G26" s="50">
        <v>-99000.0</v>
      </c>
      <c r="H26" s="50"/>
      <c r="I26" s="60">
        <f t="shared" ref="I26:M26" si="63">+C26/C$15</f>
        <v>-0.1966666667</v>
      </c>
      <c r="J26" s="60">
        <f t="shared" si="63"/>
        <v>-0.2263157895</v>
      </c>
      <c r="K26" s="60">
        <f t="shared" si="63"/>
        <v>-0.1498412698</v>
      </c>
      <c r="L26" s="60">
        <f t="shared" si="63"/>
        <v>-0.07651315789</v>
      </c>
      <c r="M26" s="60">
        <f t="shared" si="63"/>
        <v>-0.1455882353</v>
      </c>
      <c r="N26" s="50"/>
      <c r="O26" s="61">
        <f t="shared" si="10"/>
        <v>1</v>
      </c>
      <c r="P26" s="61">
        <f t="shared" ref="P26:S26" si="64">IFERROR(D26/$C26,0)</f>
        <v>1.457627119</v>
      </c>
      <c r="Q26" s="61">
        <f t="shared" si="64"/>
        <v>1.6</v>
      </c>
      <c r="R26" s="61">
        <f t="shared" si="64"/>
        <v>0.9855932203</v>
      </c>
      <c r="S26" s="61">
        <f t="shared" si="64"/>
        <v>3.355932203</v>
      </c>
      <c r="T26" s="61"/>
      <c r="U26" s="50" t="s">
        <v>102</v>
      </c>
      <c r="V26" s="50">
        <f t="shared" ref="V26:Z26" si="65">-V25*V9</f>
        <v>-60885.74752</v>
      </c>
      <c r="W26" s="50">
        <f t="shared" si="65"/>
        <v>-92223.41136</v>
      </c>
      <c r="X26" s="50">
        <f t="shared" si="65"/>
        <v>-144702.7084</v>
      </c>
      <c r="Y26" s="50">
        <f t="shared" si="65"/>
        <v>-203585.8576</v>
      </c>
      <c r="Z26" s="50">
        <f t="shared" si="65"/>
        <v>-280570.4053</v>
      </c>
      <c r="AA26" s="50"/>
      <c r="AB26" s="60">
        <f t="shared" ref="AB26:AF26" si="66">+V26/V$15</f>
        <v>-0.06632434371</v>
      </c>
      <c r="AC26" s="60">
        <f t="shared" si="66"/>
        <v>-0.07441572772</v>
      </c>
      <c r="AD26" s="60">
        <f t="shared" si="66"/>
        <v>-0.08649010847</v>
      </c>
      <c r="AE26" s="60">
        <f t="shared" si="66"/>
        <v>-0.09013710782</v>
      </c>
      <c r="AF26" s="60">
        <f t="shared" si="66"/>
        <v>-0.09201615978</v>
      </c>
      <c r="AG26" s="50"/>
      <c r="AH26" s="61">
        <f t="shared" si="14"/>
        <v>1</v>
      </c>
      <c r="AI26" s="61">
        <f t="shared" ref="AI26:AL26" si="67">IFERROR(W26/$V26,0)</f>
        <v>1.514696216</v>
      </c>
      <c r="AJ26" s="61">
        <f t="shared" si="67"/>
        <v>2.37662695</v>
      </c>
      <c r="AK26" s="61">
        <f t="shared" si="67"/>
        <v>3.343735863</v>
      </c>
      <c r="AL26" s="61">
        <f t="shared" si="67"/>
        <v>4.608145859</v>
      </c>
      <c r="AM26" s="49"/>
    </row>
    <row r="27" ht="15.75" customHeight="1">
      <c r="A27" s="50"/>
      <c r="B27" s="63" t="s">
        <v>103</v>
      </c>
      <c r="C27" s="72">
        <f t="shared" ref="C27:G27" si="68">+C25+C26</f>
        <v>-11970</v>
      </c>
      <c r="D27" s="72">
        <f t="shared" si="68"/>
        <v>-34100</v>
      </c>
      <c r="E27" s="72">
        <f t="shared" si="68"/>
        <v>29500</v>
      </c>
      <c r="F27" s="72">
        <f t="shared" si="68"/>
        <v>87225</v>
      </c>
      <c r="G27" s="72">
        <f t="shared" si="68"/>
        <v>54050</v>
      </c>
      <c r="H27" s="50"/>
      <c r="I27" s="65">
        <f t="shared" ref="I27:M27" si="69">+C27/C$15</f>
        <v>-0.0798</v>
      </c>
      <c r="J27" s="66">
        <f t="shared" si="69"/>
        <v>-0.1794736842</v>
      </c>
      <c r="K27" s="66">
        <f t="shared" si="69"/>
        <v>0.09365079365</v>
      </c>
      <c r="L27" s="66">
        <f t="shared" si="69"/>
        <v>0.2295394737</v>
      </c>
      <c r="M27" s="67">
        <f t="shared" si="69"/>
        <v>0.07948529412</v>
      </c>
      <c r="N27" s="50"/>
      <c r="O27" s="68">
        <f t="shared" si="10"/>
        <v>1</v>
      </c>
      <c r="P27" s="69">
        <f t="shared" ref="P27:S27" si="70">IFERROR(D27/$C27,0)</f>
        <v>2.848788638</v>
      </c>
      <c r="Q27" s="69">
        <f t="shared" si="70"/>
        <v>-2.46449457</v>
      </c>
      <c r="R27" s="69">
        <f t="shared" si="70"/>
        <v>-7.286967419</v>
      </c>
      <c r="S27" s="70">
        <f t="shared" si="70"/>
        <v>-4.515455305</v>
      </c>
      <c r="T27" s="71"/>
      <c r="U27" s="63" t="s">
        <v>103</v>
      </c>
      <c r="V27" s="72">
        <f t="shared" ref="V27:Z27" si="71">+V25+V26</f>
        <v>182657.2426</v>
      </c>
      <c r="W27" s="72">
        <f t="shared" si="71"/>
        <v>276670.2341</v>
      </c>
      <c r="X27" s="72">
        <f t="shared" si="71"/>
        <v>434108.1253</v>
      </c>
      <c r="Y27" s="72">
        <f t="shared" si="71"/>
        <v>610757.5727</v>
      </c>
      <c r="Z27" s="72">
        <f t="shared" si="71"/>
        <v>841711.216</v>
      </c>
      <c r="AA27" s="50"/>
      <c r="AB27" s="65">
        <f t="shared" ref="AB27:AF27" si="72">+V27/V$15</f>
        <v>0.1989730311</v>
      </c>
      <c r="AC27" s="66">
        <f t="shared" si="72"/>
        <v>0.2232471831</v>
      </c>
      <c r="AD27" s="66">
        <f t="shared" si="72"/>
        <v>0.2594703254</v>
      </c>
      <c r="AE27" s="66">
        <f t="shared" si="72"/>
        <v>0.2704113235</v>
      </c>
      <c r="AF27" s="67">
        <f t="shared" si="72"/>
        <v>0.2760484793</v>
      </c>
      <c r="AG27" s="50"/>
      <c r="AH27" s="68">
        <f t="shared" si="14"/>
        <v>1</v>
      </c>
      <c r="AI27" s="69">
        <f t="shared" ref="AI27:AL27" si="73">IFERROR(W27/$V27,0)</f>
        <v>1.514696216</v>
      </c>
      <c r="AJ27" s="69">
        <f t="shared" si="73"/>
        <v>2.37662695</v>
      </c>
      <c r="AK27" s="69">
        <f t="shared" si="73"/>
        <v>3.343735863</v>
      </c>
      <c r="AL27" s="70">
        <f t="shared" si="73"/>
        <v>4.608145859</v>
      </c>
      <c r="AM27" s="49"/>
    </row>
    <row r="28" ht="15.75" customHeight="1">
      <c r="A28" s="50"/>
      <c r="B28" s="50"/>
      <c r="C28" s="73"/>
      <c r="D28" s="73"/>
      <c r="E28" s="73"/>
      <c r="F28" s="73"/>
      <c r="G28" s="73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49"/>
    </row>
    <row r="29" ht="15.75" customHeight="1">
      <c r="A29" s="50"/>
      <c r="B29" s="53" t="s">
        <v>166</v>
      </c>
      <c r="C29" s="73"/>
      <c r="D29" s="73"/>
      <c r="E29" s="73"/>
      <c r="F29" s="73"/>
      <c r="G29" s="73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3" t="s">
        <v>166</v>
      </c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</row>
    <row r="30" ht="15.75" customHeight="1">
      <c r="A30" s="50"/>
      <c r="B30" s="50"/>
      <c r="C30" s="73"/>
      <c r="D30" s="73"/>
      <c r="E30" s="73"/>
      <c r="F30" s="73"/>
      <c r="G30" s="73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</row>
    <row r="31" ht="15.75" customHeight="1">
      <c r="A31" s="50"/>
      <c r="B31" s="120" t="s">
        <v>167</v>
      </c>
      <c r="C31" s="121">
        <f t="shared" ref="C31:G31" si="74">C18/C15</f>
        <v>0.3666666667</v>
      </c>
      <c r="D31" s="121">
        <f t="shared" si="74"/>
        <v>0.3052631579</v>
      </c>
      <c r="E31" s="121">
        <f t="shared" si="74"/>
        <v>0.519047619</v>
      </c>
      <c r="F31" s="121">
        <f t="shared" si="74"/>
        <v>0.5802631579</v>
      </c>
      <c r="G31" s="122">
        <f t="shared" si="74"/>
        <v>0.5022058824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120" t="s">
        <v>167</v>
      </c>
      <c r="V31" s="121">
        <f t="shared" ref="V31:Z31" si="75">V18/V15</f>
        <v>0.494</v>
      </c>
      <c r="W31" s="121">
        <f t="shared" si="75"/>
        <v>0.491</v>
      </c>
      <c r="X31" s="121">
        <f t="shared" si="75"/>
        <v>0.511</v>
      </c>
      <c r="Y31" s="121">
        <f t="shared" si="75"/>
        <v>0.508</v>
      </c>
      <c r="Z31" s="122">
        <f t="shared" si="75"/>
        <v>0.505</v>
      </c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</row>
    <row r="32" ht="15.75" customHeight="1">
      <c r="A32" s="50"/>
      <c r="B32" s="123" t="s">
        <v>99</v>
      </c>
      <c r="C32" s="124">
        <f t="shared" ref="C32:G32" si="76">C23/C15</f>
        <v>0.1225333333</v>
      </c>
      <c r="D32" s="124">
        <f t="shared" si="76"/>
        <v>0.05368421053</v>
      </c>
      <c r="E32" s="124">
        <f t="shared" si="76"/>
        <v>0.2507936508</v>
      </c>
      <c r="F32" s="124">
        <f t="shared" si="76"/>
        <v>0.3144736842</v>
      </c>
      <c r="G32" s="125">
        <f t="shared" si="76"/>
        <v>0.2338235294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123" t="s">
        <v>99</v>
      </c>
      <c r="V32" s="124">
        <f t="shared" ref="V32:Z32" si="77">V23/V15</f>
        <v>0.2737058824</v>
      </c>
      <c r="W32" s="124">
        <f t="shared" si="77"/>
        <v>0.3018605664</v>
      </c>
      <c r="X32" s="124">
        <f t="shared" si="77"/>
        <v>0.3483997418</v>
      </c>
      <c r="Y32" s="124">
        <f t="shared" si="77"/>
        <v>0.362355326</v>
      </c>
      <c r="Z32" s="125">
        <f t="shared" si="77"/>
        <v>0.3694030797</v>
      </c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</row>
    <row r="33" ht="15.75" customHeight="1">
      <c r="A33" s="50"/>
      <c r="B33" s="126" t="s">
        <v>168</v>
      </c>
      <c r="C33" s="127">
        <f t="shared" ref="C33:G33" si="78">C27/C15</f>
        <v>-0.0798</v>
      </c>
      <c r="D33" s="127">
        <f t="shared" si="78"/>
        <v>-0.1794736842</v>
      </c>
      <c r="E33" s="127">
        <f t="shared" si="78"/>
        <v>0.09365079365</v>
      </c>
      <c r="F33" s="127">
        <f t="shared" si="78"/>
        <v>0.2295394737</v>
      </c>
      <c r="G33" s="128">
        <f t="shared" si="78"/>
        <v>0.07948529412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126" t="s">
        <v>168</v>
      </c>
      <c r="V33" s="127">
        <f t="shared" ref="V33:Z33" si="79">V27/V15</f>
        <v>0.1989730311</v>
      </c>
      <c r="W33" s="127">
        <f t="shared" si="79"/>
        <v>0.2232471831</v>
      </c>
      <c r="X33" s="127">
        <f t="shared" si="79"/>
        <v>0.2594703254</v>
      </c>
      <c r="Y33" s="127">
        <f t="shared" si="79"/>
        <v>0.2704113235</v>
      </c>
      <c r="Z33" s="128">
        <f t="shared" si="79"/>
        <v>0.2760484793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</row>
    <row r="35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</row>
    <row r="36" ht="15.75" customHeight="1">
      <c r="A36" s="50"/>
      <c r="B36" s="129" t="s">
        <v>169</v>
      </c>
      <c r="C36" s="130"/>
      <c r="D36" s="130"/>
      <c r="E36" s="130"/>
      <c r="F36" s="130"/>
      <c r="G36" s="131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129" t="s">
        <v>169</v>
      </c>
      <c r="V36" s="130"/>
      <c r="W36" s="130"/>
      <c r="X36" s="130"/>
      <c r="Y36" s="130"/>
      <c r="Z36" s="131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</row>
    <row r="37" ht="15.75" customHeight="1">
      <c r="A37" s="50"/>
      <c r="B37" s="82" t="s">
        <v>170</v>
      </c>
      <c r="C37" s="132">
        <f t="shared" ref="C37:G37" si="80">C23/C54</f>
        <v>0.2548174783</v>
      </c>
      <c r="D37" s="132">
        <f t="shared" si="80"/>
        <v>0.1269445225</v>
      </c>
      <c r="E37" s="132">
        <f t="shared" si="80"/>
        <v>0.2461595526</v>
      </c>
      <c r="F37" s="132">
        <f t="shared" si="80"/>
        <v>0.340480033</v>
      </c>
      <c r="G37" s="132">
        <f t="shared" si="80"/>
        <v>0.4940563685</v>
      </c>
      <c r="H37" s="133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82" t="s">
        <v>170</v>
      </c>
      <c r="V37" s="132">
        <f t="shared" ref="V37:Z37" si="81">V23/V54</f>
        <v>0.8466484489</v>
      </c>
      <c r="W37" s="132">
        <f t="shared" si="81"/>
        <v>0.7223244693</v>
      </c>
      <c r="X37" s="132">
        <f t="shared" si="81"/>
        <v>0.6029701775</v>
      </c>
      <c r="Y37" s="132">
        <f t="shared" si="81"/>
        <v>0.5113950837</v>
      </c>
      <c r="Z37" s="132">
        <f t="shared" si="81"/>
        <v>0.4554010371</v>
      </c>
      <c r="AA37" s="133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</row>
    <row r="38" ht="15.75" customHeight="1">
      <c r="A38" s="50"/>
      <c r="B38" s="82" t="s">
        <v>171</v>
      </c>
      <c r="C38" s="132">
        <f t="shared" ref="C38:G38" si="82">C27/C72</f>
        <v>-0.1659502293</v>
      </c>
      <c r="D38" s="132">
        <f t="shared" si="82"/>
        <v>-0.4243929625</v>
      </c>
      <c r="E38" s="132">
        <f t="shared" si="82"/>
        <v>0.09192033928</v>
      </c>
      <c r="F38" s="132">
        <f t="shared" si="82"/>
        <v>0.248521932</v>
      </c>
      <c r="G38" s="132">
        <f t="shared" si="82"/>
        <v>0.1679480926</v>
      </c>
      <c r="H38" s="133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82" t="s">
        <v>171</v>
      </c>
      <c r="V38" s="132">
        <f t="shared" ref="V38:Z38" si="83">V27/V72</f>
        <v>0.6154789467</v>
      </c>
      <c r="W38" s="132">
        <f t="shared" si="83"/>
        <v>0.5342099002</v>
      </c>
      <c r="X38" s="132">
        <f t="shared" si="83"/>
        <v>0.4490613781</v>
      </c>
      <c r="Y38" s="132">
        <f t="shared" si="83"/>
        <v>0.3816337486</v>
      </c>
      <c r="Z38" s="132">
        <f t="shared" si="83"/>
        <v>0.3403132532</v>
      </c>
      <c r="AA38" s="133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</row>
    <row r="39" ht="15.75" customHeight="1">
      <c r="A39" s="50"/>
      <c r="B39" s="50"/>
      <c r="C39" s="73"/>
      <c r="D39" s="73"/>
      <c r="E39" s="73"/>
      <c r="F39" s="73"/>
      <c r="G39" s="73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49"/>
    </row>
    <row r="40" ht="15.75" customHeight="1">
      <c r="A40" s="50"/>
      <c r="B40" s="50"/>
      <c r="C40" s="73"/>
      <c r="D40" s="73"/>
      <c r="E40" s="73"/>
      <c r="F40" s="73"/>
      <c r="G40" s="73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49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49"/>
    </row>
    <row r="42" ht="15.75" customHeight="1">
      <c r="A42" s="50"/>
      <c r="B42" s="53" t="s">
        <v>104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3" t="str">
        <f>+B42</f>
        <v>Estado de Situación o Balance General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49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49"/>
    </row>
    <row r="44" ht="15.75" customHeight="1">
      <c r="A44" s="50"/>
      <c r="B44" s="50"/>
      <c r="C44" s="59">
        <v>2017.0</v>
      </c>
      <c r="D44" s="59">
        <v>2018.0</v>
      </c>
      <c r="E44" s="59">
        <v>2019.0</v>
      </c>
      <c r="F44" s="59">
        <v>2020.0</v>
      </c>
      <c r="G44" s="59">
        <v>2021.0</v>
      </c>
      <c r="H44" s="50"/>
      <c r="I44" s="59">
        <f t="shared" ref="I44:M44" si="84">+C44</f>
        <v>2017</v>
      </c>
      <c r="J44" s="59">
        <f t="shared" si="84"/>
        <v>2018</v>
      </c>
      <c r="K44" s="59">
        <f t="shared" si="84"/>
        <v>2019</v>
      </c>
      <c r="L44" s="59">
        <f t="shared" si="84"/>
        <v>2020</v>
      </c>
      <c r="M44" s="59">
        <f t="shared" si="84"/>
        <v>2021</v>
      </c>
      <c r="N44" s="50"/>
      <c r="O44" s="59">
        <f t="shared" ref="O44:S44" si="85">+C44</f>
        <v>2017</v>
      </c>
      <c r="P44" s="59">
        <f t="shared" si="85"/>
        <v>2018</v>
      </c>
      <c r="Q44" s="59">
        <f t="shared" si="85"/>
        <v>2019</v>
      </c>
      <c r="R44" s="59">
        <f t="shared" si="85"/>
        <v>2020</v>
      </c>
      <c r="S44" s="59">
        <f t="shared" si="85"/>
        <v>2021</v>
      </c>
      <c r="T44" s="58"/>
      <c r="U44" s="50"/>
      <c r="V44" s="59">
        <v>2022.0</v>
      </c>
      <c r="W44" s="59">
        <v>2023.0</v>
      </c>
      <c r="X44" s="59">
        <v>2024.0</v>
      </c>
      <c r="Y44" s="59">
        <v>2025.0</v>
      </c>
      <c r="Z44" s="59">
        <v>2026.0</v>
      </c>
      <c r="AA44" s="50"/>
      <c r="AB44" s="59">
        <f t="shared" ref="AB44:AF44" si="86">+V44</f>
        <v>2022</v>
      </c>
      <c r="AC44" s="59">
        <f t="shared" si="86"/>
        <v>2023</v>
      </c>
      <c r="AD44" s="59">
        <f t="shared" si="86"/>
        <v>2024</v>
      </c>
      <c r="AE44" s="59">
        <f t="shared" si="86"/>
        <v>2025</v>
      </c>
      <c r="AF44" s="59">
        <f t="shared" si="86"/>
        <v>2026</v>
      </c>
      <c r="AG44" s="50"/>
      <c r="AH44" s="59">
        <f t="shared" ref="AH44:AL44" si="87">+V44</f>
        <v>2022</v>
      </c>
      <c r="AI44" s="59">
        <f t="shared" si="87"/>
        <v>2023</v>
      </c>
      <c r="AJ44" s="59">
        <f t="shared" si="87"/>
        <v>2024</v>
      </c>
      <c r="AK44" s="59">
        <f t="shared" si="87"/>
        <v>2025</v>
      </c>
      <c r="AL44" s="59">
        <f t="shared" si="87"/>
        <v>2026</v>
      </c>
      <c r="AM44" s="49"/>
    </row>
    <row r="45" ht="15.75" customHeight="1">
      <c r="A45" s="50"/>
      <c r="B45" s="50" t="s">
        <v>105</v>
      </c>
      <c r="C45" s="50">
        <v>4000.0</v>
      </c>
      <c r="D45" s="50">
        <v>12000.0</v>
      </c>
      <c r="E45" s="50">
        <v>21000.0</v>
      </c>
      <c r="F45" s="50">
        <v>36000.0</v>
      </c>
      <c r="G45" s="50">
        <v>52000.0</v>
      </c>
      <c r="H45" s="50"/>
      <c r="I45" s="60">
        <f t="shared" ref="I45:M45" si="88">C45/C$54</f>
        <v>0.05545538157</v>
      </c>
      <c r="J45" s="60">
        <f t="shared" si="88"/>
        <v>0.1493464971</v>
      </c>
      <c r="K45" s="60">
        <f t="shared" si="88"/>
        <v>0.06543481779</v>
      </c>
      <c r="L45" s="60">
        <f t="shared" si="88"/>
        <v>0.1025713907</v>
      </c>
      <c r="M45" s="60">
        <f t="shared" si="88"/>
        <v>0.1615781834</v>
      </c>
      <c r="N45" s="50"/>
      <c r="O45" s="61">
        <f t="shared" ref="O45:O54" si="94">IFERROR(C45/C45,0)</f>
        <v>1</v>
      </c>
      <c r="P45" s="61">
        <f t="shared" ref="P45:S45" si="89">IFERROR(D45/$C45,0)</f>
        <v>3</v>
      </c>
      <c r="Q45" s="61">
        <f t="shared" si="89"/>
        <v>5.25</v>
      </c>
      <c r="R45" s="61">
        <f t="shared" si="89"/>
        <v>9</v>
      </c>
      <c r="S45" s="61">
        <f t="shared" si="89"/>
        <v>13</v>
      </c>
      <c r="T45" s="61"/>
      <c r="U45" s="50" t="s">
        <v>105</v>
      </c>
      <c r="V45" s="50">
        <f>+G45</f>
        <v>52000</v>
      </c>
      <c r="W45" s="50">
        <f t="shared" ref="W45:Z45" si="90">+V45</f>
        <v>52000</v>
      </c>
      <c r="X45" s="50">
        <f t="shared" si="90"/>
        <v>52000</v>
      </c>
      <c r="Y45" s="50">
        <f t="shared" si="90"/>
        <v>52000</v>
      </c>
      <c r="Z45" s="50">
        <f t="shared" si="90"/>
        <v>52000</v>
      </c>
      <c r="AA45" s="50"/>
      <c r="AB45" s="60">
        <f t="shared" ref="AB45:AF45" si="91">V45/V$54</f>
        <v>0.175218375</v>
      </c>
      <c r="AC45" s="60">
        <f t="shared" si="91"/>
        <v>0.1004044215</v>
      </c>
      <c r="AD45" s="60">
        <f t="shared" si="91"/>
        <v>0.05379118772</v>
      </c>
      <c r="AE45" s="60">
        <f t="shared" si="91"/>
        <v>0.03249236</v>
      </c>
      <c r="AF45" s="60">
        <f t="shared" si="91"/>
        <v>0.02102418125</v>
      </c>
      <c r="AG45" s="50"/>
      <c r="AH45" s="61">
        <f t="shared" ref="AH45:AH54" si="98">IFERROR(V45/V45,0)</f>
        <v>1</v>
      </c>
      <c r="AI45" s="61">
        <f t="shared" ref="AI45:AL45" si="92">IFERROR(W45/$V45,0)</f>
        <v>1</v>
      </c>
      <c r="AJ45" s="61">
        <f t="shared" si="92"/>
        <v>1</v>
      </c>
      <c r="AK45" s="61">
        <f t="shared" si="92"/>
        <v>1</v>
      </c>
      <c r="AL45" s="61">
        <f t="shared" si="92"/>
        <v>1</v>
      </c>
      <c r="AM45" s="49"/>
    </row>
    <row r="46" ht="15.75" customHeight="1">
      <c r="A46" s="50"/>
      <c r="B46" s="50" t="s">
        <v>106</v>
      </c>
      <c r="C46" s="50">
        <v>-100.0</v>
      </c>
      <c r="D46" s="50">
        <v>-220.0</v>
      </c>
      <c r="E46" s="50">
        <v>-1200.0</v>
      </c>
      <c r="F46" s="50">
        <v>-2300.0</v>
      </c>
      <c r="G46" s="50">
        <v>-4200.0</v>
      </c>
      <c r="H46" s="50"/>
      <c r="I46" s="60">
        <f t="shared" ref="I46:M46" si="93">C46/C$54</f>
        <v>-0.001386384539</v>
      </c>
      <c r="J46" s="60">
        <f t="shared" si="93"/>
        <v>-0.002738019113</v>
      </c>
      <c r="K46" s="60">
        <f t="shared" si="93"/>
        <v>-0.003739132445</v>
      </c>
      <c r="L46" s="60">
        <f t="shared" si="93"/>
        <v>-0.006553172183</v>
      </c>
      <c r="M46" s="60">
        <f t="shared" si="93"/>
        <v>-0.01305054558</v>
      </c>
      <c r="N46" s="50"/>
      <c r="O46" s="61">
        <f t="shared" si="94"/>
        <v>1</v>
      </c>
      <c r="P46" s="61">
        <f t="shared" ref="P46:S46" si="95">IFERROR(D46/$C46,0)</f>
        <v>2.2</v>
      </c>
      <c r="Q46" s="61">
        <f t="shared" si="95"/>
        <v>12</v>
      </c>
      <c r="R46" s="61">
        <f t="shared" si="95"/>
        <v>23</v>
      </c>
      <c r="S46" s="61">
        <f t="shared" si="95"/>
        <v>42</v>
      </c>
      <c r="T46" s="61"/>
      <c r="U46" s="50" t="s">
        <v>106</v>
      </c>
      <c r="V46" s="50">
        <f t="shared" ref="V46:Z46" si="96">+G46+V21</f>
        <v>-8790</v>
      </c>
      <c r="W46" s="50">
        <f t="shared" si="96"/>
        <v>-6196.5</v>
      </c>
      <c r="X46" s="50">
        <f t="shared" si="96"/>
        <v>-8365.276386</v>
      </c>
      <c r="Y46" s="50">
        <f t="shared" si="96"/>
        <v>-11293.12399</v>
      </c>
      <c r="Z46" s="50">
        <f t="shared" si="96"/>
        <v>-15245.71743</v>
      </c>
      <c r="AA46" s="50"/>
      <c r="AB46" s="60">
        <f t="shared" ref="AB46:AF46" si="97">V46/V$54</f>
        <v>-0.02961864455</v>
      </c>
      <c r="AC46" s="60">
        <f t="shared" si="97"/>
        <v>-0.01196453843</v>
      </c>
      <c r="AD46" s="60">
        <f t="shared" si="97"/>
        <v>-0.008653426009</v>
      </c>
      <c r="AE46" s="60">
        <f t="shared" si="97"/>
        <v>-0.007056543273</v>
      </c>
      <c r="AF46" s="60">
        <f t="shared" si="97"/>
        <v>-0.006164013971</v>
      </c>
      <c r="AG46" s="50"/>
      <c r="AH46" s="61">
        <f t="shared" si="98"/>
        <v>1</v>
      </c>
      <c r="AI46" s="61">
        <f t="shared" ref="AI46:AL46" si="99">IFERROR(W46/$V46,0)</f>
        <v>0.7049488055</v>
      </c>
      <c r="AJ46" s="61">
        <f t="shared" si="99"/>
        <v>0.9516810451</v>
      </c>
      <c r="AK46" s="61">
        <f t="shared" si="99"/>
        <v>1.284769509</v>
      </c>
      <c r="AL46" s="61">
        <f t="shared" si="99"/>
        <v>1.734438843</v>
      </c>
      <c r="AM46" s="49"/>
    </row>
    <row r="47" ht="15.75" customHeight="1">
      <c r="A47" s="50"/>
      <c r="B47" s="50" t="s">
        <v>107</v>
      </c>
      <c r="C47" s="50">
        <v>10000.0</v>
      </c>
      <c r="D47" s="50">
        <v>20000.0</v>
      </c>
      <c r="E47" s="50">
        <v>50000.0</v>
      </c>
      <c r="F47" s="50">
        <v>11000.0</v>
      </c>
      <c r="G47" s="50">
        <v>125000.0</v>
      </c>
      <c r="H47" s="50"/>
      <c r="I47" s="60">
        <f t="shared" ref="I47:M47" si="100">C47/C$54</f>
        <v>0.1386384539</v>
      </c>
      <c r="J47" s="60">
        <f t="shared" si="100"/>
        <v>0.2489108284</v>
      </c>
      <c r="K47" s="60">
        <f t="shared" si="100"/>
        <v>0.1557971852</v>
      </c>
      <c r="L47" s="60">
        <f t="shared" si="100"/>
        <v>0.03134125826</v>
      </c>
      <c r="M47" s="60">
        <f t="shared" si="100"/>
        <v>0.3884090947</v>
      </c>
      <c r="N47" s="50"/>
      <c r="O47" s="61">
        <f t="shared" si="94"/>
        <v>1</v>
      </c>
      <c r="P47" s="61">
        <f t="shared" ref="P47:S47" si="101">IFERROR(D47/$C47,0)</f>
        <v>2</v>
      </c>
      <c r="Q47" s="61">
        <f t="shared" si="101"/>
        <v>5</v>
      </c>
      <c r="R47" s="61">
        <f t="shared" si="101"/>
        <v>1.1</v>
      </c>
      <c r="S47" s="61">
        <f t="shared" si="101"/>
        <v>12.5</v>
      </c>
      <c r="T47" s="61"/>
      <c r="U47" s="50" t="s">
        <v>107</v>
      </c>
      <c r="V47" s="50">
        <f>+G47</f>
        <v>125000</v>
      </c>
      <c r="W47" s="50">
        <f t="shared" ref="W47:Z47" si="102">+V47</f>
        <v>125000</v>
      </c>
      <c r="X47" s="50">
        <f t="shared" si="102"/>
        <v>125000</v>
      </c>
      <c r="Y47" s="50">
        <f t="shared" si="102"/>
        <v>125000</v>
      </c>
      <c r="Z47" s="50">
        <f t="shared" si="102"/>
        <v>125000</v>
      </c>
      <c r="AA47" s="50"/>
      <c r="AB47" s="60">
        <f t="shared" ref="AB47:AF47" si="103">V47/V$54</f>
        <v>0.4211980169</v>
      </c>
      <c r="AC47" s="60">
        <f t="shared" si="103"/>
        <v>0.2413567826</v>
      </c>
      <c r="AD47" s="60">
        <f t="shared" si="103"/>
        <v>0.1293057397</v>
      </c>
      <c r="AE47" s="60">
        <f t="shared" si="103"/>
        <v>0.07810663463</v>
      </c>
      <c r="AF47" s="60">
        <f t="shared" si="103"/>
        <v>0.05053889724</v>
      </c>
      <c r="AG47" s="50"/>
      <c r="AH47" s="61">
        <f t="shared" si="98"/>
        <v>1</v>
      </c>
      <c r="AI47" s="61">
        <f t="shared" ref="AI47:AL47" si="104">IFERROR(W47/$V47,0)</f>
        <v>1</v>
      </c>
      <c r="AJ47" s="61">
        <f t="shared" si="104"/>
        <v>1</v>
      </c>
      <c r="AK47" s="61">
        <f t="shared" si="104"/>
        <v>1</v>
      </c>
      <c r="AL47" s="61">
        <f t="shared" si="104"/>
        <v>1</v>
      </c>
      <c r="AM47" s="49"/>
    </row>
    <row r="48" ht="15.75" customHeight="1">
      <c r="A48" s="50"/>
      <c r="B48" s="50" t="s">
        <v>108</v>
      </c>
      <c r="C48" s="62">
        <v>-520.0</v>
      </c>
      <c r="D48" s="62">
        <v>-1200.0</v>
      </c>
      <c r="E48" s="62">
        <v>-4420.0</v>
      </c>
      <c r="F48" s="62">
        <v>-7820.0</v>
      </c>
      <c r="G48" s="62">
        <v>-12920.0</v>
      </c>
      <c r="H48" s="50"/>
      <c r="I48" s="60">
        <f t="shared" ref="I48:M48" si="105">C48/C$54</f>
        <v>-0.007209199604</v>
      </c>
      <c r="J48" s="60">
        <f t="shared" si="105"/>
        <v>-0.01493464971</v>
      </c>
      <c r="K48" s="60">
        <f t="shared" si="105"/>
        <v>-0.01377247117</v>
      </c>
      <c r="L48" s="60">
        <f t="shared" si="105"/>
        <v>-0.02228078542</v>
      </c>
      <c r="M48" s="60">
        <f t="shared" si="105"/>
        <v>-0.04014596403</v>
      </c>
      <c r="N48" s="50"/>
      <c r="O48" s="61">
        <f t="shared" si="94"/>
        <v>1</v>
      </c>
      <c r="P48" s="61">
        <f t="shared" ref="P48:S48" si="106">IFERROR(D48/$C48,0)</f>
        <v>2.307692308</v>
      </c>
      <c r="Q48" s="61">
        <f t="shared" si="106"/>
        <v>8.5</v>
      </c>
      <c r="R48" s="61">
        <f t="shared" si="106"/>
        <v>15.03846154</v>
      </c>
      <c r="S48" s="61">
        <f t="shared" si="106"/>
        <v>24.84615385</v>
      </c>
      <c r="T48" s="61"/>
      <c r="U48" s="50" t="s">
        <v>108</v>
      </c>
      <c r="V48" s="62">
        <f>+G48+V22</f>
        <v>-17510</v>
      </c>
      <c r="W48" s="62">
        <f t="shared" ref="W48:Z48" si="107">+V48+W22</f>
        <v>-23706.5</v>
      </c>
      <c r="X48" s="62">
        <f t="shared" si="107"/>
        <v>-32071.775</v>
      </c>
      <c r="Y48" s="62">
        <f t="shared" si="107"/>
        <v>-43364.89625</v>
      </c>
      <c r="Z48" s="62">
        <f t="shared" si="107"/>
        <v>-58610.60994</v>
      </c>
      <c r="AA48" s="50"/>
      <c r="AB48" s="60">
        <f t="shared" ref="AB48:AF48" si="108">V48/V$54</f>
        <v>-0.0590014182</v>
      </c>
      <c r="AC48" s="60">
        <f t="shared" si="108"/>
        <v>-0.04577379653</v>
      </c>
      <c r="AD48" s="60">
        <f t="shared" si="108"/>
        <v>-0.03317651672</v>
      </c>
      <c r="AE48" s="60">
        <f t="shared" si="108"/>
        <v>-0.02709668886</v>
      </c>
      <c r="AF48" s="60">
        <f t="shared" si="108"/>
        <v>-0.02369692474</v>
      </c>
      <c r="AG48" s="50"/>
      <c r="AH48" s="61">
        <f t="shared" si="98"/>
        <v>1</v>
      </c>
      <c r="AI48" s="61">
        <f t="shared" ref="AI48:AL48" si="109">IFERROR(W48/$V48,0)</f>
        <v>1.353883495</v>
      </c>
      <c r="AJ48" s="61">
        <f t="shared" si="109"/>
        <v>1.831626214</v>
      </c>
      <c r="AK48" s="61">
        <f t="shared" si="109"/>
        <v>2.476578883</v>
      </c>
      <c r="AL48" s="61">
        <f t="shared" si="109"/>
        <v>3.347264988</v>
      </c>
      <c r="AM48" s="49"/>
    </row>
    <row r="49" ht="15.75" customHeight="1">
      <c r="A49" s="50"/>
      <c r="B49" s="63" t="s">
        <v>109</v>
      </c>
      <c r="C49" s="64">
        <f t="shared" ref="C49:G49" si="110">SUM(C45:C48)</f>
        <v>13380</v>
      </c>
      <c r="D49" s="64">
        <f t="shared" si="110"/>
        <v>30580</v>
      </c>
      <c r="E49" s="64">
        <f t="shared" si="110"/>
        <v>65380</v>
      </c>
      <c r="F49" s="64">
        <f t="shared" si="110"/>
        <v>36880</v>
      </c>
      <c r="G49" s="64">
        <f t="shared" si="110"/>
        <v>159880</v>
      </c>
      <c r="H49" s="50"/>
      <c r="I49" s="65">
        <f t="shared" ref="I49:M49" si="111">C49/C$54</f>
        <v>0.1854982514</v>
      </c>
      <c r="J49" s="66">
        <f t="shared" si="111"/>
        <v>0.3805846567</v>
      </c>
      <c r="K49" s="66">
        <f t="shared" si="111"/>
        <v>0.2037203994</v>
      </c>
      <c r="L49" s="66">
        <f t="shared" si="111"/>
        <v>0.1050786913</v>
      </c>
      <c r="M49" s="67">
        <f t="shared" si="111"/>
        <v>0.4967907685</v>
      </c>
      <c r="N49" s="50"/>
      <c r="O49" s="68">
        <f t="shared" si="94"/>
        <v>1</v>
      </c>
      <c r="P49" s="69">
        <f t="shared" ref="P49:S49" si="112">IFERROR(D49/$C49,0)</f>
        <v>2.285500747</v>
      </c>
      <c r="Q49" s="69">
        <f t="shared" si="112"/>
        <v>4.886397608</v>
      </c>
      <c r="R49" s="69">
        <f t="shared" si="112"/>
        <v>2.756352765</v>
      </c>
      <c r="S49" s="70">
        <f t="shared" si="112"/>
        <v>11.94917788</v>
      </c>
      <c r="T49" s="71"/>
      <c r="U49" s="63" t="s">
        <v>109</v>
      </c>
      <c r="V49" s="64">
        <f t="shared" ref="V49:Z49" si="113">SUM(V45:V48)</f>
        <v>150700</v>
      </c>
      <c r="W49" s="64">
        <f t="shared" si="113"/>
        <v>147097</v>
      </c>
      <c r="X49" s="64">
        <f t="shared" si="113"/>
        <v>136562.9486</v>
      </c>
      <c r="Y49" s="64">
        <f t="shared" si="113"/>
        <v>122341.9798</v>
      </c>
      <c r="Z49" s="64">
        <f t="shared" si="113"/>
        <v>103143.6726</v>
      </c>
      <c r="AA49" s="50"/>
      <c r="AB49" s="65">
        <f t="shared" ref="AB49:AF49" si="114">V49/V$54</f>
        <v>0.5077963291</v>
      </c>
      <c r="AC49" s="66">
        <f t="shared" si="114"/>
        <v>0.2840228692</v>
      </c>
      <c r="AD49" s="66">
        <f t="shared" si="114"/>
        <v>0.1412669847</v>
      </c>
      <c r="AE49" s="66">
        <f t="shared" si="114"/>
        <v>0.0764457625</v>
      </c>
      <c r="AF49" s="67">
        <f t="shared" si="114"/>
        <v>0.04170213978</v>
      </c>
      <c r="AG49" s="50"/>
      <c r="AH49" s="68">
        <f t="shared" si="98"/>
        <v>1</v>
      </c>
      <c r="AI49" s="69">
        <f t="shared" ref="AI49:AL49" si="115">IFERROR(W49/$V49,0)</f>
        <v>0.9760915727</v>
      </c>
      <c r="AJ49" s="69">
        <f t="shared" si="115"/>
        <v>0.9061907672</v>
      </c>
      <c r="AK49" s="69">
        <f t="shared" si="115"/>
        <v>0.8118246832</v>
      </c>
      <c r="AL49" s="70">
        <f t="shared" si="115"/>
        <v>0.6844304754</v>
      </c>
      <c r="AM49" s="49"/>
    </row>
    <row r="50" ht="15.75" customHeight="1">
      <c r="A50" s="50"/>
      <c r="B50" s="50" t="s">
        <v>110</v>
      </c>
      <c r="C50" s="50">
        <v>0.0</v>
      </c>
      <c r="D50" s="50">
        <v>6350.0</v>
      </c>
      <c r="E50" s="50">
        <v>11800.0</v>
      </c>
      <c r="F50" s="50">
        <v>12000.0</v>
      </c>
      <c r="G50" s="50">
        <v>49500.0</v>
      </c>
      <c r="H50" s="50"/>
      <c r="I50" s="60">
        <f t="shared" ref="I50:M50" si="116">C50/C$54</f>
        <v>0</v>
      </c>
      <c r="J50" s="60">
        <f t="shared" si="116"/>
        <v>0.07902918803</v>
      </c>
      <c r="K50" s="60">
        <f t="shared" si="116"/>
        <v>0.03676813571</v>
      </c>
      <c r="L50" s="60">
        <f t="shared" si="116"/>
        <v>0.03419046356</v>
      </c>
      <c r="M50" s="60">
        <f t="shared" si="116"/>
        <v>0.1538100015</v>
      </c>
      <c r="N50" s="50"/>
      <c r="O50" s="61">
        <f t="shared" si="94"/>
        <v>0</v>
      </c>
      <c r="P50" s="61">
        <f t="shared" ref="P50:S50" si="117">IFERROR(D50/$C50,0)</f>
        <v>0</v>
      </c>
      <c r="Q50" s="61">
        <f t="shared" si="117"/>
        <v>0</v>
      </c>
      <c r="R50" s="61">
        <f t="shared" si="117"/>
        <v>0</v>
      </c>
      <c r="S50" s="61">
        <f t="shared" si="117"/>
        <v>0</v>
      </c>
      <c r="T50" s="61"/>
      <c r="U50" s="50" t="s">
        <v>110</v>
      </c>
      <c r="V50" s="50">
        <v>0.0</v>
      </c>
      <c r="W50" s="50">
        <v>0.0</v>
      </c>
      <c r="X50" s="50">
        <v>0.0</v>
      </c>
      <c r="Y50" s="50">
        <v>0.0</v>
      </c>
      <c r="Z50" s="50">
        <v>0.0</v>
      </c>
      <c r="AA50" s="50"/>
      <c r="AB50" s="60">
        <f t="shared" ref="AB50:AF50" si="118">V50/V$54</f>
        <v>0</v>
      </c>
      <c r="AC50" s="60">
        <f t="shared" si="118"/>
        <v>0</v>
      </c>
      <c r="AD50" s="60">
        <f t="shared" si="118"/>
        <v>0</v>
      </c>
      <c r="AE50" s="60">
        <f t="shared" si="118"/>
        <v>0</v>
      </c>
      <c r="AF50" s="60">
        <f t="shared" si="118"/>
        <v>0</v>
      </c>
      <c r="AG50" s="50"/>
      <c r="AH50" s="61">
        <f t="shared" si="98"/>
        <v>0</v>
      </c>
      <c r="AI50" s="61">
        <f t="shared" ref="AI50:AL50" si="119">IFERROR(W50/$V50,0)</f>
        <v>0</v>
      </c>
      <c r="AJ50" s="61">
        <f t="shared" si="119"/>
        <v>0</v>
      </c>
      <c r="AK50" s="61">
        <f t="shared" si="119"/>
        <v>0</v>
      </c>
      <c r="AL50" s="61">
        <f t="shared" si="119"/>
        <v>0</v>
      </c>
      <c r="AM50" s="49"/>
    </row>
    <row r="51" ht="15.75" customHeight="1">
      <c r="A51" s="50"/>
      <c r="B51" s="50" t="s">
        <v>111</v>
      </c>
      <c r="C51" s="50">
        <v>1576.45</v>
      </c>
      <c r="D51" s="50">
        <v>11051.41</v>
      </c>
      <c r="E51" s="50">
        <v>22000.0</v>
      </c>
      <c r="F51" s="50">
        <v>18000.0</v>
      </c>
      <c r="G51" s="50">
        <v>8000.0</v>
      </c>
      <c r="H51" s="50"/>
      <c r="I51" s="60">
        <f t="shared" ref="I51:M51" si="120">C51/C$54</f>
        <v>0.02185565907</v>
      </c>
      <c r="J51" s="60">
        <f t="shared" si="120"/>
        <v>0.1375407809</v>
      </c>
      <c r="K51" s="60">
        <f t="shared" si="120"/>
        <v>0.0685507615</v>
      </c>
      <c r="L51" s="60">
        <f t="shared" si="120"/>
        <v>0.05128569534</v>
      </c>
      <c r="M51" s="60">
        <f t="shared" si="120"/>
        <v>0.02485818206</v>
      </c>
      <c r="N51" s="50"/>
      <c r="O51" s="61">
        <f t="shared" si="94"/>
        <v>1</v>
      </c>
      <c r="P51" s="61">
        <f t="shared" ref="P51:S51" si="121">IFERROR(D51/$C51,0)</f>
        <v>7.010314314</v>
      </c>
      <c r="Q51" s="61">
        <f t="shared" si="121"/>
        <v>13.95540613</v>
      </c>
      <c r="R51" s="61">
        <f t="shared" si="121"/>
        <v>11.41805956</v>
      </c>
      <c r="S51" s="61">
        <f t="shared" si="121"/>
        <v>5.07469314</v>
      </c>
      <c r="T51" s="61"/>
      <c r="U51" s="50" t="s">
        <v>111</v>
      </c>
      <c r="V51" s="50">
        <f>+G51</f>
        <v>8000</v>
      </c>
      <c r="W51" s="50">
        <f t="shared" ref="W51:Z51" si="122">+V51</f>
        <v>8000</v>
      </c>
      <c r="X51" s="50">
        <f t="shared" si="122"/>
        <v>8000</v>
      </c>
      <c r="Y51" s="50">
        <f t="shared" si="122"/>
        <v>8000</v>
      </c>
      <c r="Z51" s="50">
        <f t="shared" si="122"/>
        <v>8000</v>
      </c>
      <c r="AA51" s="50"/>
      <c r="AB51" s="60">
        <f t="shared" ref="AB51:AF51" si="123">V51/V$54</f>
        <v>0.02695667308</v>
      </c>
      <c r="AC51" s="60">
        <f t="shared" si="123"/>
        <v>0.01544683408</v>
      </c>
      <c r="AD51" s="60">
        <f t="shared" si="123"/>
        <v>0.008275567342</v>
      </c>
      <c r="AE51" s="60">
        <f t="shared" si="123"/>
        <v>0.004998824616</v>
      </c>
      <c r="AF51" s="60">
        <f t="shared" si="123"/>
        <v>0.003234489423</v>
      </c>
      <c r="AG51" s="50"/>
      <c r="AH51" s="61">
        <f t="shared" si="98"/>
        <v>1</v>
      </c>
      <c r="AI51" s="61">
        <f t="shared" ref="AI51:AL51" si="124">IFERROR(W51/$V51,0)</f>
        <v>1</v>
      </c>
      <c r="AJ51" s="61">
        <f t="shared" si="124"/>
        <v>1</v>
      </c>
      <c r="AK51" s="61">
        <f t="shared" si="124"/>
        <v>1</v>
      </c>
      <c r="AL51" s="61">
        <f t="shared" si="124"/>
        <v>1</v>
      </c>
      <c r="AM51" s="49"/>
    </row>
    <row r="52" ht="15.75" customHeight="1">
      <c r="A52" s="50"/>
      <c r="B52" s="50" t="s">
        <v>112</v>
      </c>
      <c r="C52" s="62">
        <v>57173.61</v>
      </c>
      <c r="D52" s="62">
        <v>32368.649999999994</v>
      </c>
      <c r="E52" s="62">
        <v>221750.06</v>
      </c>
      <c r="F52" s="62">
        <v>284095.06</v>
      </c>
      <c r="G52" s="62">
        <v>104445.62585321383</v>
      </c>
      <c r="H52" s="50"/>
      <c r="I52" s="60">
        <f t="shared" ref="I52:M52" si="125">C52/C$54</f>
        <v>0.7926460896</v>
      </c>
      <c r="J52" s="60">
        <f t="shared" si="125"/>
        <v>0.4028453744</v>
      </c>
      <c r="K52" s="60">
        <f t="shared" si="125"/>
        <v>0.6909607034</v>
      </c>
      <c r="L52" s="60">
        <f t="shared" si="125"/>
        <v>0.8094451497</v>
      </c>
      <c r="M52" s="60">
        <f t="shared" si="125"/>
        <v>0.3245410479</v>
      </c>
      <c r="N52" s="50"/>
      <c r="O52" s="61">
        <f t="shared" si="94"/>
        <v>1</v>
      </c>
      <c r="P52" s="61">
        <f t="shared" ref="P52:S52" si="126">IFERROR(D52/$C52,0)</f>
        <v>0.566146689</v>
      </c>
      <c r="Q52" s="61">
        <f t="shared" si="126"/>
        <v>3.878538717</v>
      </c>
      <c r="R52" s="61">
        <f t="shared" si="126"/>
        <v>4.968989364</v>
      </c>
      <c r="S52" s="61">
        <f t="shared" si="126"/>
        <v>1.826815306</v>
      </c>
      <c r="T52" s="61"/>
      <c r="U52" s="50" t="s">
        <v>112</v>
      </c>
      <c r="V52" s="62">
        <v>138072.52738940134</v>
      </c>
      <c r="W52" s="62">
        <v>362808.47864156973</v>
      </c>
      <c r="X52" s="62">
        <v>822138.1450213543</v>
      </c>
      <c r="Y52" s="62">
        <v>1470034.2315513892</v>
      </c>
      <c r="Z52" s="62">
        <v>2362198.778923403</v>
      </c>
      <c r="AA52" s="50"/>
      <c r="AB52" s="60">
        <f t="shared" ref="AB52:AF52" si="127">V52/V$54</f>
        <v>0.4652469978</v>
      </c>
      <c r="AC52" s="60">
        <f t="shared" si="127"/>
        <v>0.7005302968</v>
      </c>
      <c r="AD52" s="60">
        <f t="shared" si="127"/>
        <v>0.8504574479</v>
      </c>
      <c r="AE52" s="60">
        <f t="shared" si="127"/>
        <v>0.9185554129</v>
      </c>
      <c r="AF52" s="60">
        <f t="shared" si="127"/>
        <v>0.9550633708</v>
      </c>
      <c r="AG52" s="50"/>
      <c r="AH52" s="61">
        <f t="shared" si="98"/>
        <v>1</v>
      </c>
      <c r="AI52" s="61">
        <f t="shared" ref="AI52:AL52" si="128">IFERROR(W52/$V52,0)</f>
        <v>2.627665948</v>
      </c>
      <c r="AJ52" s="61">
        <f t="shared" si="128"/>
        <v>5.954393394</v>
      </c>
      <c r="AK52" s="61">
        <f t="shared" si="128"/>
        <v>10.64682641</v>
      </c>
      <c r="AL52" s="61">
        <f t="shared" si="128"/>
        <v>17.10839096</v>
      </c>
      <c r="AM52" s="49"/>
    </row>
    <row r="53" ht="15.75" customHeight="1">
      <c r="A53" s="50"/>
      <c r="B53" s="63" t="s">
        <v>113</v>
      </c>
      <c r="C53" s="74">
        <f t="shared" ref="C53:G53" si="129">SUM(C50:C52)</f>
        <v>58750.06</v>
      </c>
      <c r="D53" s="74">
        <f t="shared" si="129"/>
        <v>49770.06</v>
      </c>
      <c r="E53" s="74">
        <f t="shared" si="129"/>
        <v>255550.06</v>
      </c>
      <c r="F53" s="74">
        <f t="shared" si="129"/>
        <v>314095.06</v>
      </c>
      <c r="G53" s="74">
        <f t="shared" si="129"/>
        <v>161945.6259</v>
      </c>
      <c r="H53" s="50"/>
      <c r="I53" s="75">
        <f t="shared" ref="I53:M53" si="130">C53/C$54</f>
        <v>0.8145017486</v>
      </c>
      <c r="J53" s="75">
        <f t="shared" si="130"/>
        <v>0.6194153433</v>
      </c>
      <c r="K53" s="75">
        <f t="shared" si="130"/>
        <v>0.7962796006</v>
      </c>
      <c r="L53" s="75">
        <f t="shared" si="130"/>
        <v>0.8949213087</v>
      </c>
      <c r="M53" s="75">
        <f t="shared" si="130"/>
        <v>0.5032092315</v>
      </c>
      <c r="N53" s="50"/>
      <c r="O53" s="61">
        <f t="shared" si="94"/>
        <v>1</v>
      </c>
      <c r="P53" s="61">
        <f t="shared" ref="P53:S53" si="131">IFERROR(D53/$C53,0)</f>
        <v>0.8471490923</v>
      </c>
      <c r="Q53" s="61">
        <f t="shared" si="131"/>
        <v>4.349783813</v>
      </c>
      <c r="R53" s="61">
        <f t="shared" si="131"/>
        <v>5.346293434</v>
      </c>
      <c r="S53" s="61">
        <f t="shared" si="131"/>
        <v>2.756518476</v>
      </c>
      <c r="T53" s="61"/>
      <c r="U53" s="63" t="s">
        <v>113</v>
      </c>
      <c r="V53" s="74">
        <f t="shared" ref="V53:Z53" si="132">SUM(V50:V52)</f>
        <v>146072.5274</v>
      </c>
      <c r="W53" s="74">
        <f t="shared" si="132"/>
        <v>370808.4786</v>
      </c>
      <c r="X53" s="74">
        <f t="shared" si="132"/>
        <v>830138.145</v>
      </c>
      <c r="Y53" s="74">
        <f t="shared" si="132"/>
        <v>1478034.232</v>
      </c>
      <c r="Z53" s="74">
        <f t="shared" si="132"/>
        <v>2370198.779</v>
      </c>
      <c r="AA53" s="50"/>
      <c r="AB53" s="75">
        <f t="shared" ref="AB53:AF53" si="133">V53/V$54</f>
        <v>0.4922036709</v>
      </c>
      <c r="AC53" s="75">
        <f t="shared" si="133"/>
        <v>0.7159771308</v>
      </c>
      <c r="AD53" s="75">
        <f t="shared" si="133"/>
        <v>0.8587330153</v>
      </c>
      <c r="AE53" s="75">
        <f t="shared" si="133"/>
        <v>0.9235542375</v>
      </c>
      <c r="AF53" s="75">
        <f t="shared" si="133"/>
        <v>0.9582978602</v>
      </c>
      <c r="AG53" s="50"/>
      <c r="AH53" s="61">
        <f t="shared" si="98"/>
        <v>1</v>
      </c>
      <c r="AI53" s="61">
        <f t="shared" ref="AI53:AL53" si="134">IFERROR(W53/$V53,0)</f>
        <v>2.538523056</v>
      </c>
      <c r="AJ53" s="61">
        <f t="shared" si="134"/>
        <v>5.683054575</v>
      </c>
      <c r="AK53" s="61">
        <f t="shared" si="134"/>
        <v>10.11849564</v>
      </c>
      <c r="AL53" s="61">
        <f t="shared" si="134"/>
        <v>16.22617765</v>
      </c>
      <c r="AM53" s="49"/>
    </row>
    <row r="54" ht="15.75" customHeight="1">
      <c r="A54" s="50"/>
      <c r="B54" s="63" t="s">
        <v>114</v>
      </c>
      <c r="C54" s="72">
        <f t="shared" ref="C54:G54" si="135">+C49+C53</f>
        <v>72130.06</v>
      </c>
      <c r="D54" s="72">
        <f t="shared" si="135"/>
        <v>80350.06</v>
      </c>
      <c r="E54" s="72">
        <f t="shared" si="135"/>
        <v>320930.06</v>
      </c>
      <c r="F54" s="72">
        <f t="shared" si="135"/>
        <v>350975.06</v>
      </c>
      <c r="G54" s="72">
        <f t="shared" si="135"/>
        <v>321825.6259</v>
      </c>
      <c r="H54" s="50"/>
      <c r="I54" s="65">
        <f t="shared" ref="I54:M54" si="136">C54/C$54</f>
        <v>1</v>
      </c>
      <c r="J54" s="66">
        <f t="shared" si="136"/>
        <v>1</v>
      </c>
      <c r="K54" s="66">
        <f t="shared" si="136"/>
        <v>1</v>
      </c>
      <c r="L54" s="66">
        <f t="shared" si="136"/>
        <v>1</v>
      </c>
      <c r="M54" s="67">
        <f t="shared" si="136"/>
        <v>1</v>
      </c>
      <c r="N54" s="50"/>
      <c r="O54" s="68">
        <f t="shared" si="94"/>
        <v>1</v>
      </c>
      <c r="P54" s="69">
        <f t="shared" ref="P54:S54" si="137">IFERROR(D54/$C54,0)</f>
        <v>1.113960809</v>
      </c>
      <c r="Q54" s="69">
        <f t="shared" si="137"/>
        <v>4.449324734</v>
      </c>
      <c r="R54" s="69">
        <f t="shared" si="137"/>
        <v>4.865863969</v>
      </c>
      <c r="S54" s="70">
        <f t="shared" si="137"/>
        <v>4.46174072</v>
      </c>
      <c r="T54" s="71"/>
      <c r="U54" s="63" t="s">
        <v>114</v>
      </c>
      <c r="V54" s="72">
        <f t="shared" ref="V54:Z54" si="138">+V49+V53</f>
        <v>296772.5274</v>
      </c>
      <c r="W54" s="72">
        <f t="shared" si="138"/>
        <v>517905.4786</v>
      </c>
      <c r="X54" s="72">
        <f t="shared" si="138"/>
        <v>966701.0936</v>
      </c>
      <c r="Y54" s="72">
        <f t="shared" si="138"/>
        <v>1600376.211</v>
      </c>
      <c r="Z54" s="72">
        <f t="shared" si="138"/>
        <v>2473342.452</v>
      </c>
      <c r="AA54" s="50"/>
      <c r="AB54" s="65">
        <f t="shared" ref="AB54:AF54" si="139">V54/V$54</f>
        <v>1</v>
      </c>
      <c r="AC54" s="66">
        <f t="shared" si="139"/>
        <v>1</v>
      </c>
      <c r="AD54" s="66">
        <f t="shared" si="139"/>
        <v>1</v>
      </c>
      <c r="AE54" s="66">
        <f t="shared" si="139"/>
        <v>1</v>
      </c>
      <c r="AF54" s="67">
        <f t="shared" si="139"/>
        <v>1</v>
      </c>
      <c r="AG54" s="50"/>
      <c r="AH54" s="68">
        <f t="shared" si="98"/>
        <v>1</v>
      </c>
      <c r="AI54" s="69">
        <f t="shared" ref="AI54:AL54" si="140">IFERROR(W54/$V54,0)</f>
        <v>1.745126084</v>
      </c>
      <c r="AJ54" s="69">
        <f t="shared" si="140"/>
        <v>3.257380668</v>
      </c>
      <c r="AK54" s="69">
        <f t="shared" si="140"/>
        <v>5.392602292</v>
      </c>
      <c r="AL54" s="70">
        <f t="shared" si="140"/>
        <v>8.334135485</v>
      </c>
      <c r="AM54" s="49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60"/>
      <c r="J55" s="60"/>
      <c r="K55" s="60"/>
      <c r="L55" s="60"/>
      <c r="M55" s="60"/>
      <c r="N55" s="50"/>
      <c r="O55" s="61"/>
      <c r="P55" s="61"/>
      <c r="Q55" s="61"/>
      <c r="R55" s="61"/>
      <c r="S55" s="61"/>
      <c r="T55" s="61"/>
      <c r="U55" s="50"/>
      <c r="V55" s="50"/>
      <c r="W55" s="50"/>
      <c r="X55" s="50"/>
      <c r="Y55" s="50"/>
      <c r="Z55" s="50"/>
      <c r="AA55" s="50"/>
      <c r="AB55" s="60"/>
      <c r="AC55" s="60"/>
      <c r="AD55" s="60"/>
      <c r="AE55" s="60"/>
      <c r="AF55" s="60"/>
      <c r="AG55" s="50"/>
      <c r="AH55" s="61"/>
      <c r="AI55" s="61"/>
      <c r="AJ55" s="61"/>
      <c r="AK55" s="61"/>
      <c r="AL55" s="61"/>
      <c r="AM55" s="49"/>
    </row>
    <row r="56" ht="15.75" customHeight="1">
      <c r="A56" s="50"/>
      <c r="B56" s="50" t="s">
        <v>115</v>
      </c>
      <c r="C56" s="50">
        <v>80000.0</v>
      </c>
      <c r="D56" s="50">
        <v>120000.0</v>
      </c>
      <c r="E56" s="50">
        <v>80000.0</v>
      </c>
      <c r="F56" s="50">
        <v>60000.0</v>
      </c>
      <c r="G56" s="98">
        <v>30000.0</v>
      </c>
      <c r="H56" s="50"/>
      <c r="I56" s="60">
        <f t="shared" ref="I56:M56" si="141">C56/C$54</f>
        <v>1.109107631</v>
      </c>
      <c r="J56" s="60">
        <f t="shared" si="141"/>
        <v>1.493464971</v>
      </c>
      <c r="K56" s="60">
        <f t="shared" si="141"/>
        <v>0.2492754963</v>
      </c>
      <c r="L56" s="60">
        <f t="shared" si="141"/>
        <v>0.1709523178</v>
      </c>
      <c r="M56" s="60">
        <f t="shared" si="141"/>
        <v>0.09321818274</v>
      </c>
      <c r="N56" s="50"/>
      <c r="O56" s="61">
        <f t="shared" ref="O56:O60" si="146">IFERROR(C56/C56,0)</f>
        <v>1</v>
      </c>
      <c r="P56" s="61">
        <f t="shared" ref="P56:S56" si="142">IFERROR(D56/$C56,0)</f>
        <v>1.5</v>
      </c>
      <c r="Q56" s="61">
        <f t="shared" si="142"/>
        <v>1</v>
      </c>
      <c r="R56" s="61">
        <f t="shared" si="142"/>
        <v>0.75</v>
      </c>
      <c r="S56" s="61">
        <f t="shared" si="142"/>
        <v>0.375</v>
      </c>
      <c r="T56" s="61"/>
      <c r="U56" s="50" t="s">
        <v>115</v>
      </c>
      <c r="V56" s="50">
        <f>+'TABLAS AMORTIZACION'!K11+'TABLAS AMORTIZACION'!K17</f>
        <v>-0.000000005406036507</v>
      </c>
      <c r="W56" s="50">
        <f>+'TABLAS AMORTIZACION'!L11+'TABLAS AMORTIZACION'!L17</f>
        <v>-0.00000001023727236</v>
      </c>
      <c r="X56" s="50">
        <f>+'TABLAS AMORTIZACION'!M11+'TABLAS AMORTIZACION'!M17</f>
        <v>-0.00000001506850822</v>
      </c>
      <c r="Y56" s="50">
        <f>+'TABLAS AMORTIZACION'!N11+'TABLAS AMORTIZACION'!N17</f>
        <v>-0.00000001989974407</v>
      </c>
      <c r="Z56" s="50">
        <f>+'TABLAS AMORTIZACION'!O11+'TABLAS AMORTIZACION'!O17</f>
        <v>-0.00000002473097993</v>
      </c>
      <c r="AA56" s="50"/>
      <c r="AB56" s="60">
        <f t="shared" ref="AB56:AF56" si="143">V56/V$54</f>
        <v>0</v>
      </c>
      <c r="AC56" s="60">
        <f t="shared" si="143"/>
        <v>0</v>
      </c>
      <c r="AD56" s="60">
        <f t="shared" si="143"/>
        <v>0</v>
      </c>
      <c r="AE56" s="60">
        <f t="shared" si="143"/>
        <v>0</v>
      </c>
      <c r="AF56" s="60">
        <f t="shared" si="143"/>
        <v>0</v>
      </c>
      <c r="AG56" s="50"/>
      <c r="AH56" s="61">
        <f t="shared" ref="AH56:AH60" si="150">IFERROR(V56/V56,0)</f>
        <v>1</v>
      </c>
      <c r="AI56" s="61">
        <f t="shared" ref="AI56:AL56" si="144">IFERROR(W56/$V56,0)</f>
        <v>1.893674293</v>
      </c>
      <c r="AJ56" s="61">
        <f t="shared" si="144"/>
        <v>2.787348587</v>
      </c>
      <c r="AK56" s="61">
        <f t="shared" si="144"/>
        <v>3.68102288</v>
      </c>
      <c r="AL56" s="61">
        <f t="shared" si="144"/>
        <v>4.574697174</v>
      </c>
      <c r="AM56" s="49"/>
    </row>
    <row r="57" ht="15.75" customHeight="1">
      <c r="A57" s="50"/>
      <c r="B57" s="50" t="s">
        <v>116</v>
      </c>
      <c r="C57" s="50">
        <v>0.0</v>
      </c>
      <c r="D57" s="50">
        <v>2500.0</v>
      </c>
      <c r="E57" s="50">
        <v>3200.0</v>
      </c>
      <c r="F57" s="50">
        <v>15000.0</v>
      </c>
      <c r="G57" s="50">
        <v>25000.0</v>
      </c>
      <c r="H57" s="50"/>
      <c r="I57" s="60">
        <f t="shared" ref="I57:M57" si="145">C57/C$54</f>
        <v>0</v>
      </c>
      <c r="J57" s="60">
        <f t="shared" si="145"/>
        <v>0.03111385356</v>
      </c>
      <c r="K57" s="60">
        <f t="shared" si="145"/>
        <v>0.009971019854</v>
      </c>
      <c r="L57" s="60">
        <f t="shared" si="145"/>
        <v>0.04273807945</v>
      </c>
      <c r="M57" s="60">
        <f t="shared" si="145"/>
        <v>0.07768181895</v>
      </c>
      <c r="N57" s="50"/>
      <c r="O57" s="61">
        <f t="shared" si="146"/>
        <v>0</v>
      </c>
      <c r="P57" s="61">
        <f t="shared" ref="P57:S57" si="147">IFERROR(D57/$C57,0)</f>
        <v>0</v>
      </c>
      <c r="Q57" s="61">
        <f t="shared" si="147"/>
        <v>0</v>
      </c>
      <c r="R57" s="61">
        <f t="shared" si="147"/>
        <v>0</v>
      </c>
      <c r="S57" s="61">
        <f t="shared" si="147"/>
        <v>0</v>
      </c>
      <c r="T57" s="61"/>
      <c r="U57" s="50" t="s">
        <v>116</v>
      </c>
      <c r="V57" s="50">
        <f t="shared" ref="V57:Z57" si="148">-V16/12</f>
        <v>33660</v>
      </c>
      <c r="W57" s="50">
        <f t="shared" si="148"/>
        <v>45441</v>
      </c>
      <c r="X57" s="50">
        <f t="shared" si="148"/>
        <v>58556.925</v>
      </c>
      <c r="Y57" s="50">
        <f t="shared" si="148"/>
        <v>79051.84875</v>
      </c>
      <c r="Z57" s="50">
        <f t="shared" si="148"/>
        <v>106719.9958</v>
      </c>
      <c r="AA57" s="50"/>
      <c r="AB57" s="60">
        <f t="shared" ref="AB57:AF57" si="149">V57/V$54</f>
        <v>0.113420202</v>
      </c>
      <c r="AC57" s="60">
        <f t="shared" si="149"/>
        <v>0.08773994845</v>
      </c>
      <c r="AD57" s="60">
        <f t="shared" si="149"/>
        <v>0.06057397202</v>
      </c>
      <c r="AE57" s="60">
        <f t="shared" si="149"/>
        <v>0.04939579093</v>
      </c>
      <c r="AF57" s="60">
        <f t="shared" si="149"/>
        <v>0.04314808722</v>
      </c>
      <c r="AG57" s="50"/>
      <c r="AH57" s="61">
        <f t="shared" si="150"/>
        <v>1</v>
      </c>
      <c r="AI57" s="61">
        <f t="shared" ref="AI57:AL57" si="151">IFERROR(W57/$V57,0)</f>
        <v>1.35</v>
      </c>
      <c r="AJ57" s="61">
        <f t="shared" si="151"/>
        <v>1.739659091</v>
      </c>
      <c r="AK57" s="61">
        <f t="shared" si="151"/>
        <v>2.348539773</v>
      </c>
      <c r="AL57" s="61">
        <f t="shared" si="151"/>
        <v>3.170528693</v>
      </c>
      <c r="AM57" s="49"/>
    </row>
    <row r="58" ht="15.75" customHeight="1">
      <c r="A58" s="50"/>
      <c r="B58" s="50" t="s">
        <v>117</v>
      </c>
      <c r="C58" s="50">
        <v>300.0</v>
      </c>
      <c r="D58" s="50">
        <v>120.0</v>
      </c>
      <c r="E58" s="50">
        <v>250.0</v>
      </c>
      <c r="F58" s="50">
        <v>320.0</v>
      </c>
      <c r="G58" s="50">
        <v>650.0</v>
      </c>
      <c r="H58" s="50"/>
      <c r="I58" s="60">
        <f t="shared" ref="I58:M58" si="152">C58/C$54</f>
        <v>0.004159153618</v>
      </c>
      <c r="J58" s="60">
        <f t="shared" si="152"/>
        <v>0.001493464971</v>
      </c>
      <c r="K58" s="60">
        <f t="shared" si="152"/>
        <v>0.0007789859261</v>
      </c>
      <c r="L58" s="60">
        <f t="shared" si="152"/>
        <v>0.000911745695</v>
      </c>
      <c r="M58" s="60">
        <f t="shared" si="152"/>
        <v>0.002019727293</v>
      </c>
      <c r="N58" s="50"/>
      <c r="O58" s="61">
        <f t="shared" si="146"/>
        <v>1</v>
      </c>
      <c r="P58" s="61">
        <f t="shared" ref="P58:S58" si="153">IFERROR(D58/$C58,0)</f>
        <v>0.4</v>
      </c>
      <c r="Q58" s="61">
        <f t="shared" si="153"/>
        <v>0.8333333333</v>
      </c>
      <c r="R58" s="61">
        <f t="shared" si="153"/>
        <v>1.066666667</v>
      </c>
      <c r="S58" s="61">
        <f t="shared" si="153"/>
        <v>2.166666667</v>
      </c>
      <c r="T58" s="61"/>
      <c r="U58" s="50" t="s">
        <v>117</v>
      </c>
      <c r="V58" s="50">
        <f t="shared" ref="V58:Z58" si="154">-V20/12</f>
        <v>6187.5</v>
      </c>
      <c r="W58" s="50">
        <f t="shared" si="154"/>
        <v>7115.625</v>
      </c>
      <c r="X58" s="50">
        <f t="shared" si="154"/>
        <v>8182.96875</v>
      </c>
      <c r="Y58" s="50">
        <f t="shared" si="154"/>
        <v>9819.5625</v>
      </c>
      <c r="Z58" s="50">
        <f t="shared" si="154"/>
        <v>12274.45313</v>
      </c>
      <c r="AA58" s="50"/>
      <c r="AB58" s="60">
        <f t="shared" ref="AB58:AF58" si="155">V58/V$54</f>
        <v>0.02084930184</v>
      </c>
      <c r="AC58" s="60">
        <f t="shared" si="155"/>
        <v>0.01373923485</v>
      </c>
      <c r="AD58" s="60">
        <f t="shared" si="155"/>
        <v>0.008464838619</v>
      </c>
      <c r="AE58" s="60">
        <f t="shared" si="155"/>
        <v>0.006135783843</v>
      </c>
      <c r="AF58" s="60">
        <f t="shared" si="155"/>
        <v>0.004962698601</v>
      </c>
      <c r="AG58" s="50"/>
      <c r="AH58" s="61">
        <f t="shared" si="150"/>
        <v>1</v>
      </c>
      <c r="AI58" s="61">
        <f t="shared" ref="AI58:AL58" si="156">IFERROR(W58/$V58,0)</f>
        <v>1.15</v>
      </c>
      <c r="AJ58" s="61">
        <f t="shared" si="156"/>
        <v>1.3225</v>
      </c>
      <c r="AK58" s="61">
        <f t="shared" si="156"/>
        <v>1.587</v>
      </c>
      <c r="AL58" s="61">
        <f t="shared" si="156"/>
        <v>1.98375</v>
      </c>
      <c r="AM58" s="49"/>
    </row>
    <row r="59" ht="15.75" customHeight="1">
      <c r="A59" s="50"/>
      <c r="B59" s="50" t="s">
        <v>118</v>
      </c>
      <c r="C59" s="62">
        <v>0.0</v>
      </c>
      <c r="D59" s="62">
        <v>0.0</v>
      </c>
      <c r="E59" s="62">
        <v>250.0</v>
      </c>
      <c r="F59" s="62">
        <v>1200.0</v>
      </c>
      <c r="G59" s="62">
        <v>2350.0</v>
      </c>
      <c r="H59" s="50"/>
      <c r="I59" s="60">
        <f t="shared" ref="I59:M59" si="157">C59/C$54</f>
        <v>0</v>
      </c>
      <c r="J59" s="60">
        <f t="shared" si="157"/>
        <v>0</v>
      </c>
      <c r="K59" s="60">
        <f t="shared" si="157"/>
        <v>0.0007789859261</v>
      </c>
      <c r="L59" s="60">
        <f t="shared" si="157"/>
        <v>0.003419046356</v>
      </c>
      <c r="M59" s="60">
        <f t="shared" si="157"/>
        <v>0.007302090981</v>
      </c>
      <c r="N59" s="50"/>
      <c r="O59" s="61">
        <f t="shared" si="146"/>
        <v>0</v>
      </c>
      <c r="P59" s="61">
        <f t="shared" ref="P59:S59" si="158">IFERROR(D59/$C59,0)</f>
        <v>0</v>
      </c>
      <c r="Q59" s="61">
        <f t="shared" si="158"/>
        <v>0</v>
      </c>
      <c r="R59" s="61">
        <f t="shared" si="158"/>
        <v>0</v>
      </c>
      <c r="S59" s="61">
        <f t="shared" si="158"/>
        <v>0</v>
      </c>
      <c r="T59" s="61"/>
      <c r="U59" s="50" t="s">
        <v>118</v>
      </c>
      <c r="V59" s="62">
        <f t="shared" ref="V59:Z59" si="159">-(V17+V19)*1%</f>
        <v>1793.88</v>
      </c>
      <c r="W59" s="62">
        <f t="shared" si="159"/>
        <v>2221.317</v>
      </c>
      <c r="X59" s="62">
        <f t="shared" si="159"/>
        <v>2725.53795</v>
      </c>
      <c r="Y59" s="62">
        <f t="shared" si="159"/>
        <v>3511.56546</v>
      </c>
      <c r="Z59" s="62">
        <f t="shared" si="159"/>
        <v>4643.552053</v>
      </c>
      <c r="AA59" s="50"/>
      <c r="AB59" s="60">
        <f t="shared" ref="AB59:AF59" si="160">V59/V$54</f>
        <v>0.006044629588</v>
      </c>
      <c r="AC59" s="60">
        <f t="shared" si="160"/>
        <v>0.004289039393</v>
      </c>
      <c r="AD59" s="60">
        <f t="shared" si="160"/>
        <v>0.002819421606</v>
      </c>
      <c r="AE59" s="60">
        <f t="shared" si="160"/>
        <v>0.002194212483</v>
      </c>
      <c r="AF59" s="60">
        <f t="shared" si="160"/>
        <v>0.00187744</v>
      </c>
      <c r="AG59" s="50"/>
      <c r="AH59" s="61">
        <f t="shared" si="150"/>
        <v>1</v>
      </c>
      <c r="AI59" s="61">
        <f t="shared" ref="AI59:AL59" si="161">IFERROR(W59/$V59,0)</f>
        <v>1.238275135</v>
      </c>
      <c r="AJ59" s="61">
        <f t="shared" si="161"/>
        <v>1.519353552</v>
      </c>
      <c r="AK59" s="61">
        <f t="shared" si="161"/>
        <v>1.957525286</v>
      </c>
      <c r="AL59" s="61">
        <f t="shared" si="161"/>
        <v>2.588552218</v>
      </c>
      <c r="AM59" s="49"/>
    </row>
    <row r="60" ht="15.75" customHeight="1">
      <c r="A60" s="50"/>
      <c r="B60" s="63" t="s">
        <v>119</v>
      </c>
      <c r="C60" s="76">
        <f t="shared" ref="C60:G60" si="162">SUM(C56:C59)</f>
        <v>80300</v>
      </c>
      <c r="D60" s="76">
        <f t="shared" si="162"/>
        <v>122620</v>
      </c>
      <c r="E60" s="76">
        <f t="shared" si="162"/>
        <v>83700</v>
      </c>
      <c r="F60" s="76">
        <f t="shared" si="162"/>
        <v>76520</v>
      </c>
      <c r="G60" s="76">
        <f t="shared" si="162"/>
        <v>58000</v>
      </c>
      <c r="H60" s="50"/>
      <c r="I60" s="65">
        <f t="shared" ref="I60:M60" si="163">C60/C$54</f>
        <v>1.113266785</v>
      </c>
      <c r="J60" s="66">
        <f t="shared" si="163"/>
        <v>1.526072289</v>
      </c>
      <c r="K60" s="66">
        <f t="shared" si="163"/>
        <v>0.2608044881</v>
      </c>
      <c r="L60" s="66">
        <f t="shared" si="163"/>
        <v>0.2180211893</v>
      </c>
      <c r="M60" s="67">
        <f t="shared" si="163"/>
        <v>0.18022182</v>
      </c>
      <c r="N60" s="50"/>
      <c r="O60" s="68">
        <f t="shared" si="146"/>
        <v>1</v>
      </c>
      <c r="P60" s="69">
        <f t="shared" ref="P60:S60" si="164">IFERROR(D60/$C60,0)</f>
        <v>1.527023661</v>
      </c>
      <c r="Q60" s="69">
        <f t="shared" si="164"/>
        <v>1.04234122</v>
      </c>
      <c r="R60" s="69">
        <f t="shared" si="164"/>
        <v>0.9529265255</v>
      </c>
      <c r="S60" s="70">
        <f t="shared" si="164"/>
        <v>0.7222914072</v>
      </c>
      <c r="T60" s="61"/>
      <c r="U60" s="63" t="s">
        <v>119</v>
      </c>
      <c r="V60" s="76">
        <f t="shared" ref="V60:Z60" si="165">SUM(V56:V59)</f>
        <v>41641.38</v>
      </c>
      <c r="W60" s="76">
        <f t="shared" si="165"/>
        <v>54777.942</v>
      </c>
      <c r="X60" s="76">
        <f t="shared" si="165"/>
        <v>69465.4317</v>
      </c>
      <c r="Y60" s="76">
        <f t="shared" si="165"/>
        <v>92382.97671</v>
      </c>
      <c r="Z60" s="76">
        <f t="shared" si="165"/>
        <v>123638.001</v>
      </c>
      <c r="AA60" s="50"/>
      <c r="AB60" s="65">
        <f t="shared" ref="AB60:AF60" si="166">V60/V$54</f>
        <v>0.1403141334</v>
      </c>
      <c r="AC60" s="66">
        <f t="shared" si="166"/>
        <v>0.1057682227</v>
      </c>
      <c r="AD60" s="66">
        <f t="shared" si="166"/>
        <v>0.07185823225</v>
      </c>
      <c r="AE60" s="66">
        <f t="shared" si="166"/>
        <v>0.05772578726</v>
      </c>
      <c r="AF60" s="67">
        <f t="shared" si="166"/>
        <v>0.04998822582</v>
      </c>
      <c r="AG60" s="50"/>
      <c r="AH60" s="68">
        <f t="shared" si="150"/>
        <v>1</v>
      </c>
      <c r="AI60" s="69">
        <f t="shared" ref="AI60:AL60" si="167">IFERROR(W60/$V60,0)</f>
        <v>1.31546894</v>
      </c>
      <c r="AJ60" s="69">
        <f t="shared" si="167"/>
        <v>1.668182748</v>
      </c>
      <c r="AK60" s="69">
        <f t="shared" si="167"/>
        <v>2.218537827</v>
      </c>
      <c r="AL60" s="70">
        <f t="shared" si="167"/>
        <v>2.96911392</v>
      </c>
      <c r="AM60" s="49"/>
    </row>
    <row r="61" ht="15.75" customHeight="1">
      <c r="A61" s="50"/>
      <c r="B61" s="63"/>
      <c r="C61" s="64"/>
      <c r="D61" s="64"/>
      <c r="E61" s="64"/>
      <c r="F61" s="64"/>
      <c r="G61" s="64"/>
      <c r="H61" s="50"/>
      <c r="I61" s="50"/>
      <c r="J61" s="50"/>
      <c r="K61" s="50"/>
      <c r="L61" s="50"/>
      <c r="M61" s="50"/>
      <c r="N61" s="50"/>
      <c r="O61" s="61"/>
      <c r="P61" s="61"/>
      <c r="Q61" s="61"/>
      <c r="R61" s="61"/>
      <c r="S61" s="61"/>
      <c r="T61" s="61"/>
      <c r="U61" s="63"/>
      <c r="V61" s="64"/>
      <c r="W61" s="64"/>
      <c r="X61" s="64"/>
      <c r="Y61" s="64"/>
      <c r="Z61" s="64"/>
      <c r="AA61" s="50"/>
      <c r="AB61" s="50"/>
      <c r="AC61" s="50"/>
      <c r="AD61" s="50"/>
      <c r="AE61" s="50"/>
      <c r="AF61" s="50"/>
      <c r="AG61" s="50"/>
      <c r="AH61" s="61"/>
      <c r="AI61" s="61"/>
      <c r="AJ61" s="61"/>
      <c r="AK61" s="61"/>
      <c r="AL61" s="61"/>
      <c r="AM61" s="49"/>
    </row>
    <row r="62" ht="15.75" customHeight="1">
      <c r="A62" s="50"/>
      <c r="B62" s="50" t="s">
        <v>120</v>
      </c>
      <c r="C62" s="50">
        <v>0.0</v>
      </c>
      <c r="D62" s="50">
        <v>0.0</v>
      </c>
      <c r="E62" s="50">
        <v>250000.0</v>
      </c>
      <c r="F62" s="50">
        <v>200000.0</v>
      </c>
      <c r="G62" s="98">
        <v>135320.56585321383</v>
      </c>
      <c r="H62" s="50"/>
      <c r="I62" s="60">
        <f t="shared" ref="I62:M62" si="168">C62/C$54</f>
        <v>0</v>
      </c>
      <c r="J62" s="60">
        <f t="shared" si="168"/>
        <v>0</v>
      </c>
      <c r="K62" s="60">
        <f t="shared" si="168"/>
        <v>0.7789859261</v>
      </c>
      <c r="L62" s="60">
        <f t="shared" si="168"/>
        <v>0.5698410594</v>
      </c>
      <c r="M62" s="60">
        <f t="shared" si="168"/>
        <v>0.4204779079</v>
      </c>
      <c r="N62" s="50"/>
      <c r="O62" s="61">
        <f>IFERROR(C62/C62,0)</f>
        <v>0</v>
      </c>
      <c r="P62" s="61">
        <f t="shared" ref="P62:S62" si="169">IFERROR(D62/$C62,0)</f>
        <v>0</v>
      </c>
      <c r="Q62" s="61">
        <f t="shared" si="169"/>
        <v>0</v>
      </c>
      <c r="R62" s="61">
        <f t="shared" si="169"/>
        <v>0</v>
      </c>
      <c r="S62" s="61">
        <f t="shared" si="169"/>
        <v>0</v>
      </c>
      <c r="T62" s="61"/>
      <c r="U62" s="50" t="s">
        <v>120</v>
      </c>
      <c r="V62" s="50">
        <f>+'TABLAS AMORTIZACION'!K23</f>
        <v>68673.84482</v>
      </c>
      <c r="W62" s="50">
        <f>+'TABLAS AMORTIZACION'!L23</f>
        <v>-0.000000003041350283</v>
      </c>
      <c r="X62" s="50">
        <f>+'TABLAS AMORTIZACION'!M23</f>
        <v>-0.000000003041350283</v>
      </c>
      <c r="Y62" s="50">
        <f>+'TABLAS AMORTIZACION'!N23</f>
        <v>-0.000000003041350283</v>
      </c>
      <c r="Z62" s="50">
        <f>+'TABLAS AMORTIZACION'!O23</f>
        <v>-0.000000003041350283</v>
      </c>
      <c r="AA62" s="50"/>
      <c r="AB62" s="60">
        <f t="shared" ref="AB62:AF62" si="170">V62/V$54</f>
        <v>0.231402298</v>
      </c>
      <c r="AC62" s="60">
        <f t="shared" si="170"/>
        <v>0</v>
      </c>
      <c r="AD62" s="60">
        <f t="shared" si="170"/>
        <v>0</v>
      </c>
      <c r="AE62" s="60">
        <f t="shared" si="170"/>
        <v>0</v>
      </c>
      <c r="AF62" s="60">
        <f t="shared" si="170"/>
        <v>0</v>
      </c>
      <c r="AG62" s="50"/>
      <c r="AH62" s="61">
        <f>IFERROR(V62/V62,0)</f>
        <v>1</v>
      </c>
      <c r="AI62" s="61">
        <f t="shared" ref="AI62:AL62" si="171">IFERROR(W62/$V62,0)</f>
        <v>0</v>
      </c>
      <c r="AJ62" s="61">
        <f t="shared" si="171"/>
        <v>0</v>
      </c>
      <c r="AK62" s="61">
        <f t="shared" si="171"/>
        <v>0</v>
      </c>
      <c r="AL62" s="61">
        <f t="shared" si="171"/>
        <v>0</v>
      </c>
      <c r="AM62" s="49"/>
    </row>
    <row r="63" ht="15.75" customHeight="1">
      <c r="A63" s="50"/>
      <c r="B63" s="63"/>
      <c r="C63" s="74"/>
      <c r="D63" s="74"/>
      <c r="E63" s="74"/>
      <c r="F63" s="74"/>
      <c r="G63" s="74"/>
      <c r="H63" s="50"/>
      <c r="I63" s="75"/>
      <c r="J63" s="75"/>
      <c r="K63" s="75"/>
      <c r="L63" s="75"/>
      <c r="M63" s="75"/>
      <c r="N63" s="50"/>
      <c r="O63" s="61"/>
      <c r="P63" s="61"/>
      <c r="Q63" s="61"/>
      <c r="R63" s="61"/>
      <c r="S63" s="61"/>
      <c r="T63" s="61"/>
      <c r="U63" s="63"/>
      <c r="V63" s="74"/>
      <c r="W63" s="74"/>
      <c r="X63" s="74"/>
      <c r="Y63" s="74"/>
      <c r="Z63" s="74"/>
      <c r="AA63" s="50"/>
      <c r="AB63" s="75"/>
      <c r="AC63" s="75"/>
      <c r="AD63" s="75"/>
      <c r="AE63" s="75"/>
      <c r="AF63" s="75"/>
      <c r="AG63" s="50"/>
      <c r="AH63" s="61"/>
      <c r="AI63" s="61"/>
      <c r="AJ63" s="61"/>
      <c r="AK63" s="61"/>
      <c r="AL63" s="61"/>
      <c r="AM63" s="49"/>
    </row>
    <row r="64" ht="15.75" customHeight="1">
      <c r="A64" s="50"/>
      <c r="B64" s="63" t="s">
        <v>121</v>
      </c>
      <c r="C64" s="64">
        <f t="shared" ref="C64:G64" si="172">+C62+C60</f>
        <v>80300</v>
      </c>
      <c r="D64" s="64">
        <f t="shared" si="172"/>
        <v>122620</v>
      </c>
      <c r="E64" s="64">
        <f t="shared" si="172"/>
        <v>333700</v>
      </c>
      <c r="F64" s="64">
        <f t="shared" si="172"/>
        <v>276520</v>
      </c>
      <c r="G64" s="64">
        <f t="shared" si="172"/>
        <v>193320.5659</v>
      </c>
      <c r="H64" s="50"/>
      <c r="I64" s="65">
        <f t="shared" ref="I64:M64" si="173">C64/C$54</f>
        <v>1.113266785</v>
      </c>
      <c r="J64" s="66">
        <f t="shared" si="173"/>
        <v>1.526072289</v>
      </c>
      <c r="K64" s="66">
        <f t="shared" si="173"/>
        <v>1.039790414</v>
      </c>
      <c r="L64" s="66">
        <f t="shared" si="173"/>
        <v>0.7878622487</v>
      </c>
      <c r="M64" s="67">
        <f t="shared" si="173"/>
        <v>0.6006997278</v>
      </c>
      <c r="N64" s="50"/>
      <c r="O64" s="68">
        <f>IFERROR(C64/C64,0)</f>
        <v>1</v>
      </c>
      <c r="P64" s="69">
        <f t="shared" ref="P64:S64" si="174">IFERROR(D64/$C64,0)</f>
        <v>1.527023661</v>
      </c>
      <c r="Q64" s="69">
        <f t="shared" si="174"/>
        <v>4.155666252</v>
      </c>
      <c r="R64" s="69">
        <f t="shared" si="174"/>
        <v>3.44358655</v>
      </c>
      <c r="S64" s="70">
        <f t="shared" si="174"/>
        <v>2.407479027</v>
      </c>
      <c r="T64" s="71"/>
      <c r="U64" s="63" t="s">
        <v>121</v>
      </c>
      <c r="V64" s="64">
        <f t="shared" ref="V64:Z64" si="175">+V62+V60</f>
        <v>110315.2248</v>
      </c>
      <c r="W64" s="64">
        <f t="shared" si="175"/>
        <v>54777.942</v>
      </c>
      <c r="X64" s="64">
        <f t="shared" si="175"/>
        <v>69465.4317</v>
      </c>
      <c r="Y64" s="64">
        <f t="shared" si="175"/>
        <v>92382.97671</v>
      </c>
      <c r="Z64" s="64">
        <f t="shared" si="175"/>
        <v>123638.001</v>
      </c>
      <c r="AA64" s="50"/>
      <c r="AB64" s="65">
        <f t="shared" ref="AB64:AF64" si="176">V64/V$54</f>
        <v>0.3717164314</v>
      </c>
      <c r="AC64" s="66">
        <f t="shared" si="176"/>
        <v>0.1057682227</v>
      </c>
      <c r="AD64" s="66">
        <f t="shared" si="176"/>
        <v>0.07185823225</v>
      </c>
      <c r="AE64" s="66">
        <f t="shared" si="176"/>
        <v>0.05772578726</v>
      </c>
      <c r="AF64" s="67">
        <f t="shared" si="176"/>
        <v>0.04998822582</v>
      </c>
      <c r="AG64" s="50"/>
      <c r="AH64" s="68">
        <f>IFERROR(V64/V64,0)</f>
        <v>1</v>
      </c>
      <c r="AI64" s="69">
        <f t="shared" ref="AI64:AL64" si="177">IFERROR(W64/$V64,0)</f>
        <v>0.4965583136</v>
      </c>
      <c r="AJ64" s="69">
        <f t="shared" si="177"/>
        <v>0.6296994074</v>
      </c>
      <c r="AK64" s="69">
        <f t="shared" si="177"/>
        <v>0.8374453921</v>
      </c>
      <c r="AL64" s="70">
        <f t="shared" si="177"/>
        <v>1.120770059</v>
      </c>
      <c r="AM64" s="49"/>
    </row>
    <row r="65" ht="15.75" customHeight="1">
      <c r="A65" s="50"/>
      <c r="B65" s="63"/>
      <c r="C65" s="64"/>
      <c r="D65" s="64"/>
      <c r="E65" s="64"/>
      <c r="F65" s="64"/>
      <c r="G65" s="64"/>
      <c r="H65" s="50"/>
      <c r="I65" s="75"/>
      <c r="J65" s="75"/>
      <c r="K65" s="75"/>
      <c r="L65" s="75"/>
      <c r="M65" s="75"/>
      <c r="N65" s="50"/>
      <c r="O65" s="71"/>
      <c r="P65" s="71"/>
      <c r="Q65" s="71"/>
      <c r="R65" s="71"/>
      <c r="S65" s="71"/>
      <c r="T65" s="71"/>
      <c r="U65" s="63"/>
      <c r="V65" s="64"/>
      <c r="W65" s="64"/>
      <c r="X65" s="64"/>
      <c r="Y65" s="64"/>
      <c r="Z65" s="64"/>
      <c r="AA65" s="50"/>
      <c r="AB65" s="75"/>
      <c r="AC65" s="75"/>
      <c r="AD65" s="75"/>
      <c r="AE65" s="75"/>
      <c r="AF65" s="75"/>
      <c r="AG65" s="50"/>
      <c r="AH65" s="71"/>
      <c r="AI65" s="71"/>
      <c r="AJ65" s="71"/>
      <c r="AK65" s="71"/>
      <c r="AL65" s="71"/>
      <c r="AM65" s="49"/>
    </row>
    <row r="66" ht="15.75" customHeight="1">
      <c r="A66" s="50"/>
      <c r="B66" s="50" t="s">
        <v>122</v>
      </c>
      <c r="C66" s="50">
        <v>3000.06</v>
      </c>
      <c r="D66" s="50">
        <v>3000.06</v>
      </c>
      <c r="E66" s="50">
        <v>3000.06</v>
      </c>
      <c r="F66" s="50">
        <v>3000.06</v>
      </c>
      <c r="G66" s="50">
        <v>3000.06</v>
      </c>
      <c r="H66" s="50"/>
      <c r="I66" s="60">
        <f t="shared" ref="I66:M66" si="178">C66/C$54</f>
        <v>0.04159236801</v>
      </c>
      <c r="J66" s="60">
        <f t="shared" si="178"/>
        <v>0.037337371</v>
      </c>
      <c r="K66" s="60">
        <f t="shared" si="178"/>
        <v>0.00934801807</v>
      </c>
      <c r="L66" s="60">
        <f t="shared" si="178"/>
        <v>0.008547786843</v>
      </c>
      <c r="M66" s="60">
        <f t="shared" si="178"/>
        <v>0.00932200471</v>
      </c>
      <c r="N66" s="50"/>
      <c r="O66" s="61">
        <f t="shared" ref="O66:O70" si="183">IFERROR(C66/C66,0)</f>
        <v>1</v>
      </c>
      <c r="P66" s="61">
        <f t="shared" ref="P66:S66" si="179">IFERROR(D66/$C66,0)</f>
        <v>1</v>
      </c>
      <c r="Q66" s="61">
        <f t="shared" si="179"/>
        <v>1</v>
      </c>
      <c r="R66" s="61">
        <f t="shared" si="179"/>
        <v>1</v>
      </c>
      <c r="S66" s="61">
        <f t="shared" si="179"/>
        <v>1</v>
      </c>
      <c r="T66" s="61"/>
      <c r="U66" s="50" t="s">
        <v>122</v>
      </c>
      <c r="V66" s="50">
        <v>3000.06</v>
      </c>
      <c r="W66" s="50">
        <v>3000.06</v>
      </c>
      <c r="X66" s="50">
        <v>3000.06</v>
      </c>
      <c r="Y66" s="50">
        <v>3000.06</v>
      </c>
      <c r="Z66" s="50">
        <v>3000.06</v>
      </c>
      <c r="AA66" s="50"/>
      <c r="AB66" s="60">
        <f t="shared" ref="AB66:AF66" si="180">V66/V$54</f>
        <v>0.01010895458</v>
      </c>
      <c r="AC66" s="60">
        <f t="shared" si="180"/>
        <v>0.005792678633</v>
      </c>
      <c r="AD66" s="60">
        <f t="shared" si="180"/>
        <v>0.00310339982</v>
      </c>
      <c r="AE66" s="60">
        <f t="shared" si="180"/>
        <v>0.001874596722</v>
      </c>
      <c r="AF66" s="60">
        <f t="shared" si="180"/>
        <v>0.001212957792</v>
      </c>
      <c r="AG66" s="50"/>
      <c r="AH66" s="61">
        <f t="shared" ref="AH66:AH70" si="186">IFERROR(V66/V66,0)</f>
        <v>1</v>
      </c>
      <c r="AI66" s="61">
        <f t="shared" ref="AI66:AL66" si="181">IFERROR(W66/$V66,0)</f>
        <v>1</v>
      </c>
      <c r="AJ66" s="61">
        <f t="shared" si="181"/>
        <v>1</v>
      </c>
      <c r="AK66" s="61">
        <f t="shared" si="181"/>
        <v>1</v>
      </c>
      <c r="AL66" s="61">
        <f t="shared" si="181"/>
        <v>1</v>
      </c>
      <c r="AM66" s="49"/>
    </row>
    <row r="67" ht="15.75" customHeight="1">
      <c r="A67" s="50"/>
      <c r="B67" s="50" t="s">
        <v>123</v>
      </c>
      <c r="C67" s="50">
        <v>800.0</v>
      </c>
      <c r="D67" s="50">
        <v>800.0</v>
      </c>
      <c r="E67" s="50">
        <v>800.0</v>
      </c>
      <c r="F67" s="50">
        <v>800.0</v>
      </c>
      <c r="G67" s="50">
        <v>800.0</v>
      </c>
      <c r="H67" s="50"/>
      <c r="I67" s="60">
        <f t="shared" ref="I67:M67" si="182">C67/C$54</f>
        <v>0.01109107631</v>
      </c>
      <c r="J67" s="60">
        <f t="shared" si="182"/>
        <v>0.009956433138</v>
      </c>
      <c r="K67" s="60">
        <f t="shared" si="182"/>
        <v>0.002492754963</v>
      </c>
      <c r="L67" s="60">
        <f t="shared" si="182"/>
        <v>0.002279364237</v>
      </c>
      <c r="M67" s="60">
        <f t="shared" si="182"/>
        <v>0.002485818206</v>
      </c>
      <c r="N67" s="50"/>
      <c r="O67" s="61">
        <f t="shared" si="183"/>
        <v>1</v>
      </c>
      <c r="P67" s="61">
        <f t="shared" ref="P67:S67" si="184">IFERROR(D67/$C67,0)</f>
        <v>1</v>
      </c>
      <c r="Q67" s="61">
        <f t="shared" si="184"/>
        <v>1</v>
      </c>
      <c r="R67" s="61">
        <f t="shared" si="184"/>
        <v>1</v>
      </c>
      <c r="S67" s="61">
        <f t="shared" si="184"/>
        <v>1</v>
      </c>
      <c r="T67" s="61"/>
      <c r="U67" s="50" t="s">
        <v>123</v>
      </c>
      <c r="V67" s="50">
        <v>800.0</v>
      </c>
      <c r="W67" s="50">
        <v>800.0</v>
      </c>
      <c r="X67" s="50">
        <v>800.0</v>
      </c>
      <c r="Y67" s="50">
        <v>800.0</v>
      </c>
      <c r="Z67" s="50">
        <v>800.0</v>
      </c>
      <c r="AA67" s="50"/>
      <c r="AB67" s="60">
        <f t="shared" ref="AB67:AF67" si="185">V67/V$54</f>
        <v>0.002695667308</v>
      </c>
      <c r="AC67" s="60">
        <f t="shared" si="185"/>
        <v>0.001544683408</v>
      </c>
      <c r="AD67" s="60">
        <f t="shared" si="185"/>
        <v>0.0008275567342</v>
      </c>
      <c r="AE67" s="60">
        <f t="shared" si="185"/>
        <v>0.0004998824616</v>
      </c>
      <c r="AF67" s="60">
        <f t="shared" si="185"/>
        <v>0.0003234489423</v>
      </c>
      <c r="AG67" s="50"/>
      <c r="AH67" s="61">
        <f t="shared" si="186"/>
        <v>1</v>
      </c>
      <c r="AI67" s="61">
        <f t="shared" ref="AI67:AL67" si="187">IFERROR(W67/$V67,0)</f>
        <v>1</v>
      </c>
      <c r="AJ67" s="61">
        <f t="shared" si="187"/>
        <v>1</v>
      </c>
      <c r="AK67" s="61">
        <f t="shared" si="187"/>
        <v>1</v>
      </c>
      <c r="AL67" s="61">
        <f t="shared" si="187"/>
        <v>1</v>
      </c>
      <c r="AM67" s="49"/>
    </row>
    <row r="68" ht="15.75" customHeight="1">
      <c r="A68" s="50"/>
      <c r="B68" s="50" t="s">
        <v>124</v>
      </c>
      <c r="C68" s="50">
        <v>0.0</v>
      </c>
      <c r="D68" s="50">
        <f t="shared" ref="D68:G68" si="188">+C68+C69</f>
        <v>-11970</v>
      </c>
      <c r="E68" s="50">
        <f t="shared" si="188"/>
        <v>-46070</v>
      </c>
      <c r="F68" s="50">
        <f t="shared" si="188"/>
        <v>-16570</v>
      </c>
      <c r="G68" s="50">
        <f t="shared" si="188"/>
        <v>70655</v>
      </c>
      <c r="H68" s="50"/>
      <c r="I68" s="60">
        <f t="shared" ref="I68:M68" si="189">C68/C$54</f>
        <v>0</v>
      </c>
      <c r="J68" s="60">
        <f t="shared" si="189"/>
        <v>-0.1489731308</v>
      </c>
      <c r="K68" s="60">
        <f t="shared" si="189"/>
        <v>-0.1435515265</v>
      </c>
      <c r="L68" s="60">
        <f t="shared" si="189"/>
        <v>-0.04721133177</v>
      </c>
      <c r="M68" s="60">
        <f t="shared" si="189"/>
        <v>0.2195443567</v>
      </c>
      <c r="N68" s="50"/>
      <c r="O68" s="61">
        <f t="shared" si="183"/>
        <v>0</v>
      </c>
      <c r="P68" s="61">
        <f t="shared" ref="P68:S68" si="190">IFERROR(D68/$C68,0)</f>
        <v>0</v>
      </c>
      <c r="Q68" s="61">
        <f t="shared" si="190"/>
        <v>0</v>
      </c>
      <c r="R68" s="61">
        <f t="shared" si="190"/>
        <v>0</v>
      </c>
      <c r="S68" s="61">
        <f t="shared" si="190"/>
        <v>0</v>
      </c>
      <c r="T68" s="61"/>
      <c r="U68" s="50" t="s">
        <v>124</v>
      </c>
      <c r="V68" s="50">
        <v>0.0</v>
      </c>
      <c r="W68" s="50">
        <f t="shared" ref="W68:Z68" si="191">+V68+V69</f>
        <v>182657.2426</v>
      </c>
      <c r="X68" s="50">
        <f t="shared" si="191"/>
        <v>459327.4766</v>
      </c>
      <c r="Y68" s="50">
        <f t="shared" si="191"/>
        <v>893435.6019</v>
      </c>
      <c r="Z68" s="50">
        <f t="shared" si="191"/>
        <v>1504193.175</v>
      </c>
      <c r="AA68" s="50"/>
      <c r="AB68" s="60">
        <f t="shared" ref="AB68:AF68" si="192">V68/V$54</f>
        <v>0</v>
      </c>
      <c r="AC68" s="60">
        <f t="shared" si="192"/>
        <v>0.352684515</v>
      </c>
      <c r="AD68" s="60">
        <f t="shared" si="192"/>
        <v>0.4751494331</v>
      </c>
      <c r="AE68" s="60">
        <f t="shared" si="192"/>
        <v>0.558265985</v>
      </c>
      <c r="AF68" s="60">
        <f t="shared" si="192"/>
        <v>0.6081621142</v>
      </c>
      <c r="AG68" s="50"/>
      <c r="AH68" s="61">
        <f t="shared" si="186"/>
        <v>0</v>
      </c>
      <c r="AI68" s="61">
        <f t="shared" ref="AI68:AL68" si="193">IFERROR(W68/$V68,0)</f>
        <v>0</v>
      </c>
      <c r="AJ68" s="61">
        <f t="shared" si="193"/>
        <v>0</v>
      </c>
      <c r="AK68" s="61">
        <f t="shared" si="193"/>
        <v>0</v>
      </c>
      <c r="AL68" s="61">
        <f t="shared" si="193"/>
        <v>0</v>
      </c>
      <c r="AM68" s="49"/>
    </row>
    <row r="69" ht="15.75" customHeight="1">
      <c r="A69" s="50"/>
      <c r="B69" s="50" t="s">
        <v>125</v>
      </c>
      <c r="C69" s="62">
        <f t="shared" ref="C69:G69" si="194">+C27</f>
        <v>-11970</v>
      </c>
      <c r="D69" s="62">
        <f t="shared" si="194"/>
        <v>-34100</v>
      </c>
      <c r="E69" s="62">
        <f t="shared" si="194"/>
        <v>29500</v>
      </c>
      <c r="F69" s="62">
        <f t="shared" si="194"/>
        <v>87225</v>
      </c>
      <c r="G69" s="62">
        <f t="shared" si="194"/>
        <v>54050</v>
      </c>
      <c r="H69" s="50"/>
      <c r="I69" s="60">
        <f t="shared" ref="I69:M69" si="195">C69/C$54</f>
        <v>-0.1659502293</v>
      </c>
      <c r="J69" s="60">
        <f t="shared" si="195"/>
        <v>-0.4243929625</v>
      </c>
      <c r="K69" s="60">
        <f t="shared" si="195"/>
        <v>0.09192033928</v>
      </c>
      <c r="L69" s="60">
        <f t="shared" si="195"/>
        <v>0.248521932</v>
      </c>
      <c r="M69" s="60">
        <f t="shared" si="195"/>
        <v>0.1679480926</v>
      </c>
      <c r="N69" s="50"/>
      <c r="O69" s="61">
        <f t="shared" si="183"/>
        <v>1</v>
      </c>
      <c r="P69" s="61">
        <f t="shared" ref="P69:S69" si="196">IFERROR(D69/$C69,0)</f>
        <v>2.848788638</v>
      </c>
      <c r="Q69" s="61">
        <f t="shared" si="196"/>
        <v>-2.46449457</v>
      </c>
      <c r="R69" s="61">
        <f t="shared" si="196"/>
        <v>-7.286967419</v>
      </c>
      <c r="S69" s="61">
        <f t="shared" si="196"/>
        <v>-4.515455305</v>
      </c>
      <c r="T69" s="61"/>
      <c r="U69" s="50" t="s">
        <v>125</v>
      </c>
      <c r="V69" s="62">
        <f t="shared" ref="V69:Z69" si="197">+V27</f>
        <v>182657.2426</v>
      </c>
      <c r="W69" s="62">
        <f t="shared" si="197"/>
        <v>276670.2341</v>
      </c>
      <c r="X69" s="62">
        <f t="shared" si="197"/>
        <v>434108.1253</v>
      </c>
      <c r="Y69" s="62">
        <f t="shared" si="197"/>
        <v>610757.5727</v>
      </c>
      <c r="Z69" s="62">
        <f t="shared" si="197"/>
        <v>841711.216</v>
      </c>
      <c r="AA69" s="50"/>
      <c r="AB69" s="60">
        <f t="shared" ref="AB69:AF69" si="198">V69/V$54</f>
        <v>0.6154789467</v>
      </c>
      <c r="AC69" s="60">
        <f t="shared" si="198"/>
        <v>0.5342099002</v>
      </c>
      <c r="AD69" s="60">
        <f t="shared" si="198"/>
        <v>0.4490613781</v>
      </c>
      <c r="AE69" s="60">
        <f t="shared" si="198"/>
        <v>0.3816337486</v>
      </c>
      <c r="AF69" s="60">
        <f t="shared" si="198"/>
        <v>0.3403132532</v>
      </c>
      <c r="AG69" s="50"/>
      <c r="AH69" s="61">
        <f t="shared" si="186"/>
        <v>1</v>
      </c>
      <c r="AI69" s="61">
        <f t="shared" ref="AI69:AL69" si="199">IFERROR(W69/$V69,0)</f>
        <v>1.514696216</v>
      </c>
      <c r="AJ69" s="61">
        <f t="shared" si="199"/>
        <v>2.37662695</v>
      </c>
      <c r="AK69" s="61">
        <f t="shared" si="199"/>
        <v>3.343735863</v>
      </c>
      <c r="AL69" s="61">
        <f t="shared" si="199"/>
        <v>4.608145859</v>
      </c>
      <c r="AM69" s="49"/>
    </row>
    <row r="70" ht="15.75" customHeight="1">
      <c r="A70" s="50"/>
      <c r="B70" s="63" t="s">
        <v>126</v>
      </c>
      <c r="C70" s="64">
        <f t="shared" ref="C70:G70" si="200">SUM(C66:C69)</f>
        <v>-8169.94</v>
      </c>
      <c r="D70" s="64">
        <f t="shared" si="200"/>
        <v>-42269.94</v>
      </c>
      <c r="E70" s="64">
        <f t="shared" si="200"/>
        <v>-12769.94</v>
      </c>
      <c r="F70" s="64">
        <f t="shared" si="200"/>
        <v>74455.06</v>
      </c>
      <c r="G70" s="64">
        <f t="shared" si="200"/>
        <v>128505.06</v>
      </c>
      <c r="H70" s="50"/>
      <c r="I70" s="65">
        <f t="shared" ref="I70:M70" si="201">C70/C$54</f>
        <v>-0.113266785</v>
      </c>
      <c r="J70" s="66">
        <f t="shared" si="201"/>
        <v>-0.5260722892</v>
      </c>
      <c r="K70" s="66">
        <f t="shared" si="201"/>
        <v>-0.03979041415</v>
      </c>
      <c r="L70" s="66">
        <f t="shared" si="201"/>
        <v>0.2121377513</v>
      </c>
      <c r="M70" s="67">
        <f t="shared" si="201"/>
        <v>0.3993002722</v>
      </c>
      <c r="N70" s="50"/>
      <c r="O70" s="68">
        <f t="shared" si="183"/>
        <v>1</v>
      </c>
      <c r="P70" s="69">
        <f t="shared" ref="P70:S70" si="202">IFERROR(D70/$C70,0)</f>
        <v>5.173837262</v>
      </c>
      <c r="Q70" s="69">
        <f t="shared" si="202"/>
        <v>1.563039631</v>
      </c>
      <c r="R70" s="69">
        <f t="shared" si="202"/>
        <v>-9.113293366</v>
      </c>
      <c r="S70" s="70">
        <f t="shared" si="202"/>
        <v>-15.72900903</v>
      </c>
      <c r="T70" s="71"/>
      <c r="U70" s="63" t="s">
        <v>126</v>
      </c>
      <c r="V70" s="64">
        <f t="shared" ref="V70:Z70" si="203">SUM(V66:V69)</f>
        <v>186457.3026</v>
      </c>
      <c r="W70" s="64">
        <f t="shared" si="203"/>
        <v>463127.5366</v>
      </c>
      <c r="X70" s="64">
        <f t="shared" si="203"/>
        <v>897235.6619</v>
      </c>
      <c r="Y70" s="64">
        <f t="shared" si="203"/>
        <v>1507993.235</v>
      </c>
      <c r="Z70" s="64">
        <f t="shared" si="203"/>
        <v>2349704.451</v>
      </c>
      <c r="AA70" s="50"/>
      <c r="AB70" s="65">
        <f t="shared" ref="AB70:AF70" si="204">V70/V$54</f>
        <v>0.6282835686</v>
      </c>
      <c r="AC70" s="66">
        <f t="shared" si="204"/>
        <v>0.8942317773</v>
      </c>
      <c r="AD70" s="66">
        <f t="shared" si="204"/>
        <v>0.9281417678</v>
      </c>
      <c r="AE70" s="66">
        <f t="shared" si="204"/>
        <v>0.9422742127</v>
      </c>
      <c r="AF70" s="67">
        <f t="shared" si="204"/>
        <v>0.9500117742</v>
      </c>
      <c r="AG70" s="50"/>
      <c r="AH70" s="68">
        <f t="shared" si="186"/>
        <v>1</v>
      </c>
      <c r="AI70" s="69">
        <f t="shared" ref="AI70:AL70" si="205">IFERROR(W70/$V70,0)</f>
        <v>2.483826218</v>
      </c>
      <c r="AJ70" s="69">
        <f t="shared" si="205"/>
        <v>4.812016744</v>
      </c>
      <c r="AK70" s="69">
        <f t="shared" si="205"/>
        <v>8.087606191</v>
      </c>
      <c r="AL70" s="70">
        <f t="shared" si="205"/>
        <v>12.60183655</v>
      </c>
      <c r="AM70" s="49"/>
    </row>
    <row r="71" ht="15.75" customHeight="1">
      <c r="A71" s="50"/>
      <c r="B71" s="63"/>
      <c r="C71" s="64"/>
      <c r="D71" s="64"/>
      <c r="E71" s="64"/>
      <c r="F71" s="64"/>
      <c r="G71" s="64"/>
      <c r="H71" s="50"/>
      <c r="I71" s="75"/>
      <c r="J71" s="75"/>
      <c r="K71" s="75"/>
      <c r="L71" s="75"/>
      <c r="M71" s="75"/>
      <c r="N71" s="50"/>
      <c r="O71" s="61"/>
      <c r="P71" s="61"/>
      <c r="Q71" s="61"/>
      <c r="R71" s="61"/>
      <c r="S71" s="61"/>
      <c r="T71" s="61"/>
      <c r="U71" s="63"/>
      <c r="V71" s="64"/>
      <c r="W71" s="64"/>
      <c r="X71" s="64"/>
      <c r="Y71" s="64"/>
      <c r="Z71" s="64"/>
      <c r="AA71" s="50"/>
      <c r="AB71" s="75"/>
      <c r="AC71" s="75"/>
      <c r="AD71" s="75"/>
      <c r="AE71" s="75"/>
      <c r="AF71" s="75"/>
      <c r="AG71" s="50"/>
      <c r="AH71" s="61"/>
      <c r="AI71" s="61"/>
      <c r="AJ71" s="61"/>
      <c r="AK71" s="61"/>
      <c r="AL71" s="61"/>
      <c r="AM71" s="49"/>
    </row>
    <row r="72" ht="15.75" customHeight="1">
      <c r="A72" s="50"/>
      <c r="B72" s="63" t="s">
        <v>127</v>
      </c>
      <c r="C72" s="72">
        <f t="shared" ref="C72:G72" si="206">+C70+C64</f>
        <v>72130.06</v>
      </c>
      <c r="D72" s="72">
        <f t="shared" si="206"/>
        <v>80350.06</v>
      </c>
      <c r="E72" s="72">
        <f t="shared" si="206"/>
        <v>320930.06</v>
      </c>
      <c r="F72" s="72">
        <f t="shared" si="206"/>
        <v>350975.06</v>
      </c>
      <c r="G72" s="72">
        <f t="shared" si="206"/>
        <v>321825.6259</v>
      </c>
      <c r="H72" s="50"/>
      <c r="I72" s="65">
        <f t="shared" ref="I72:M72" si="207">C72/C$54</f>
        <v>1</v>
      </c>
      <c r="J72" s="66">
        <f t="shared" si="207"/>
        <v>1</v>
      </c>
      <c r="K72" s="66">
        <f t="shared" si="207"/>
        <v>1</v>
      </c>
      <c r="L72" s="66">
        <f t="shared" si="207"/>
        <v>1</v>
      </c>
      <c r="M72" s="67">
        <f t="shared" si="207"/>
        <v>1</v>
      </c>
      <c r="N72" s="50"/>
      <c r="O72" s="68">
        <f>IFERROR(C72/C72,0)</f>
        <v>1</v>
      </c>
      <c r="P72" s="69">
        <f t="shared" ref="P72:S72" si="208">IFERROR(D72/$C72,0)</f>
        <v>1.113960809</v>
      </c>
      <c r="Q72" s="69">
        <f t="shared" si="208"/>
        <v>4.449324734</v>
      </c>
      <c r="R72" s="69">
        <f t="shared" si="208"/>
        <v>4.865863969</v>
      </c>
      <c r="S72" s="70">
        <f t="shared" si="208"/>
        <v>4.46174072</v>
      </c>
      <c r="T72" s="71"/>
      <c r="U72" s="63" t="s">
        <v>127</v>
      </c>
      <c r="V72" s="72">
        <f t="shared" ref="V72:Z72" si="209">+V70+V64</f>
        <v>296772.5274</v>
      </c>
      <c r="W72" s="72">
        <f t="shared" si="209"/>
        <v>517905.4786</v>
      </c>
      <c r="X72" s="72">
        <f t="shared" si="209"/>
        <v>966701.0936</v>
      </c>
      <c r="Y72" s="72">
        <f t="shared" si="209"/>
        <v>1600376.211</v>
      </c>
      <c r="Z72" s="72">
        <f t="shared" si="209"/>
        <v>2473342.452</v>
      </c>
      <c r="AA72" s="50"/>
      <c r="AB72" s="65">
        <f t="shared" ref="AB72:AF72" si="210">V72/V$54</f>
        <v>1</v>
      </c>
      <c r="AC72" s="66">
        <f t="shared" si="210"/>
        <v>1</v>
      </c>
      <c r="AD72" s="66">
        <f t="shared" si="210"/>
        <v>1</v>
      </c>
      <c r="AE72" s="66">
        <f t="shared" si="210"/>
        <v>1</v>
      </c>
      <c r="AF72" s="67">
        <f t="shared" si="210"/>
        <v>1</v>
      </c>
      <c r="AG72" s="50"/>
      <c r="AH72" s="68">
        <f>IFERROR(V72/V72,0)</f>
        <v>1</v>
      </c>
      <c r="AI72" s="69">
        <f t="shared" ref="AI72:AL72" si="211">IFERROR(W72/$V72,0)</f>
        <v>1.745126084</v>
      </c>
      <c r="AJ72" s="69">
        <f t="shared" si="211"/>
        <v>3.257380668</v>
      </c>
      <c r="AK72" s="69">
        <f t="shared" si="211"/>
        <v>5.392602292</v>
      </c>
      <c r="AL72" s="70">
        <f t="shared" si="211"/>
        <v>8.334135485</v>
      </c>
      <c r="AM72" s="49"/>
    </row>
    <row r="73" ht="15.75" customHeight="1">
      <c r="A73" s="50"/>
      <c r="B73" s="50"/>
      <c r="C73" s="77">
        <f t="shared" ref="C73:G73" si="212">+C72-C54</f>
        <v>0</v>
      </c>
      <c r="D73" s="77">
        <f t="shared" si="212"/>
        <v>0</v>
      </c>
      <c r="E73" s="77">
        <f t="shared" si="212"/>
        <v>0</v>
      </c>
      <c r="F73" s="77">
        <f t="shared" si="212"/>
        <v>0</v>
      </c>
      <c r="G73" s="77">
        <f t="shared" si="212"/>
        <v>0</v>
      </c>
      <c r="H73" s="50"/>
      <c r="I73" s="64"/>
      <c r="J73" s="64"/>
      <c r="K73" s="64"/>
      <c r="L73" s="64"/>
      <c r="M73" s="64"/>
      <c r="N73" s="50"/>
      <c r="O73" s="50"/>
      <c r="P73" s="50"/>
      <c r="Q73" s="50"/>
      <c r="R73" s="50"/>
      <c r="S73" s="50"/>
      <c r="T73" s="50"/>
      <c r="U73" s="50"/>
      <c r="V73" s="77">
        <f t="shared" ref="V73:Z73" si="213">+V72-V54</f>
        <v>-0.000000006810296327</v>
      </c>
      <c r="W73" s="77">
        <f t="shared" si="213"/>
        <v>-0.00000001303851604</v>
      </c>
      <c r="X73" s="77">
        <f t="shared" si="213"/>
        <v>-0.00000001781154424</v>
      </c>
      <c r="Y73" s="77">
        <f t="shared" si="213"/>
        <v>-0.00000002258457243</v>
      </c>
      <c r="Z73" s="77">
        <f t="shared" si="213"/>
        <v>-0.00000002700835466</v>
      </c>
      <c r="AA73" s="50"/>
      <c r="AB73" s="64"/>
      <c r="AC73" s="64"/>
      <c r="AD73" s="64"/>
      <c r="AE73" s="64"/>
      <c r="AF73" s="64"/>
      <c r="AG73" s="50"/>
      <c r="AH73" s="50"/>
      <c r="AI73" s="50"/>
      <c r="AJ73" s="50"/>
      <c r="AK73" s="50"/>
      <c r="AL73" s="50"/>
      <c r="AM73" s="49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49"/>
    </row>
    <row r="75" ht="15.75" customHeight="1">
      <c r="A75" s="50"/>
      <c r="B75" s="53" t="s">
        <v>166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3" t="s">
        <v>166</v>
      </c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</row>
    <row r="78" ht="15.75" customHeight="1">
      <c r="A78" s="50"/>
      <c r="B78" s="135" t="s">
        <v>176</v>
      </c>
      <c r="C78" s="136">
        <f t="shared" ref="C78:G78" si="214">+C53-C60</f>
        <v>-21549.94</v>
      </c>
      <c r="D78" s="136">
        <f t="shared" si="214"/>
        <v>-72849.94</v>
      </c>
      <c r="E78" s="136">
        <f t="shared" si="214"/>
        <v>171850.06</v>
      </c>
      <c r="F78" s="136">
        <f t="shared" si="214"/>
        <v>237575.06</v>
      </c>
      <c r="G78" s="136">
        <f t="shared" si="214"/>
        <v>103945.6259</v>
      </c>
      <c r="H78" s="133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135" t="s">
        <v>176</v>
      </c>
      <c r="V78" s="136">
        <f t="shared" ref="V78:Z78" si="215">+V53-V60</f>
        <v>104431.1474</v>
      </c>
      <c r="W78" s="136">
        <f t="shared" si="215"/>
        <v>316030.5366</v>
      </c>
      <c r="X78" s="136">
        <f t="shared" si="215"/>
        <v>760672.7133</v>
      </c>
      <c r="Y78" s="136">
        <f t="shared" si="215"/>
        <v>1385651.255</v>
      </c>
      <c r="Z78" s="136">
        <f t="shared" si="215"/>
        <v>2246560.778</v>
      </c>
      <c r="AA78" s="133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</row>
    <row r="80" ht="15.75" customHeight="1">
      <c r="A80" s="50"/>
      <c r="B80" s="129" t="s">
        <v>177</v>
      </c>
      <c r="C80" s="130"/>
      <c r="D80" s="130"/>
      <c r="E80" s="130"/>
      <c r="F80" s="130"/>
      <c r="G80" s="131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129" t="s">
        <v>177</v>
      </c>
      <c r="V80" s="130"/>
      <c r="W80" s="130"/>
      <c r="X80" s="130"/>
      <c r="Y80" s="130"/>
      <c r="Z80" s="131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</row>
    <row r="81" ht="15.75" customHeight="1">
      <c r="A81" s="50"/>
      <c r="B81" s="82" t="s">
        <v>178</v>
      </c>
      <c r="C81" s="137">
        <f t="shared" ref="C81:G81" si="216">+C53/C60</f>
        <v>0.7316321295</v>
      </c>
      <c r="D81" s="137">
        <f t="shared" si="216"/>
        <v>0.4058885989</v>
      </c>
      <c r="E81" s="137">
        <f t="shared" si="216"/>
        <v>3.053166786</v>
      </c>
      <c r="F81" s="137">
        <f t="shared" si="216"/>
        <v>4.104744642</v>
      </c>
      <c r="G81" s="137">
        <f t="shared" si="216"/>
        <v>2.792165963</v>
      </c>
      <c r="H81" s="133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82" t="s">
        <v>178</v>
      </c>
      <c r="V81" s="137">
        <f t="shared" ref="V81:Z81" si="217">+V53/V60</f>
        <v>3.507869513</v>
      </c>
      <c r="W81" s="137">
        <f t="shared" si="217"/>
        <v>6.769302845</v>
      </c>
      <c r="X81" s="137">
        <f t="shared" si="217"/>
        <v>11.95037769</v>
      </c>
      <c r="Y81" s="137">
        <f t="shared" si="217"/>
        <v>15.99898904</v>
      </c>
      <c r="Z81" s="137">
        <f t="shared" si="217"/>
        <v>19.17047154</v>
      </c>
      <c r="AA81" s="133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</row>
    <row r="82" ht="15.75" customHeight="1">
      <c r="A82" s="50"/>
      <c r="B82" s="82" t="s">
        <v>179</v>
      </c>
      <c r="C82" s="137">
        <f t="shared" ref="C82:G82" si="218">(C53-C51)/C60</f>
        <v>0.7120001245</v>
      </c>
      <c r="D82" s="137">
        <f t="shared" si="218"/>
        <v>0.3157612951</v>
      </c>
      <c r="E82" s="137">
        <f t="shared" si="218"/>
        <v>2.790323297</v>
      </c>
      <c r="F82" s="137">
        <f t="shared" si="218"/>
        <v>3.869512023</v>
      </c>
      <c r="G82" s="137">
        <f t="shared" si="218"/>
        <v>2.654234929</v>
      </c>
      <c r="H82" s="133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82" t="s">
        <v>179</v>
      </c>
      <c r="V82" s="137">
        <f t="shared" ref="V82:Z82" si="219">(V53-V51)/V60</f>
        <v>3.315752921</v>
      </c>
      <c r="W82" s="137">
        <f t="shared" si="219"/>
        <v>6.623258658</v>
      </c>
      <c r="X82" s="137">
        <f t="shared" si="219"/>
        <v>11.83521249</v>
      </c>
      <c r="Y82" s="137">
        <f t="shared" si="219"/>
        <v>15.912393</v>
      </c>
      <c r="Z82" s="137">
        <f t="shared" si="219"/>
        <v>19.10576651</v>
      </c>
      <c r="AA82" s="133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</row>
    <row r="83" ht="15.75" customHeight="1">
      <c r="A83" s="50"/>
      <c r="B83" s="82"/>
      <c r="C83" s="137"/>
      <c r="D83" s="137"/>
      <c r="E83" s="137"/>
      <c r="F83" s="137"/>
      <c r="G83" s="137"/>
      <c r="H83" s="133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82"/>
      <c r="V83" s="137"/>
      <c r="W83" s="137"/>
      <c r="X83" s="137"/>
      <c r="Y83" s="137"/>
      <c r="Z83" s="137"/>
      <c r="AA83" s="133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</row>
    <row r="84" ht="15.75" customHeight="1">
      <c r="A84" s="50"/>
      <c r="B84" s="129" t="s">
        <v>180</v>
      </c>
      <c r="C84" s="130"/>
      <c r="D84" s="130"/>
      <c r="E84" s="130"/>
      <c r="F84" s="130"/>
      <c r="G84" s="131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129" t="s">
        <v>180</v>
      </c>
      <c r="V84" s="130"/>
      <c r="W84" s="130"/>
      <c r="X84" s="130"/>
      <c r="Y84" s="130"/>
      <c r="Z84" s="131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</row>
    <row r="85" ht="15.75" customHeight="1">
      <c r="A85" s="50"/>
      <c r="B85" s="82" t="s">
        <v>181</v>
      </c>
      <c r="C85" s="137">
        <f t="shared" ref="C85:G85" si="220">+C64/C54</f>
        <v>1.113266785</v>
      </c>
      <c r="D85" s="137">
        <f t="shared" si="220"/>
        <v>1.526072289</v>
      </c>
      <c r="E85" s="137">
        <f t="shared" si="220"/>
        <v>1.039790414</v>
      </c>
      <c r="F85" s="137">
        <f t="shared" si="220"/>
        <v>0.7878622487</v>
      </c>
      <c r="G85" s="137">
        <f t="shared" si="220"/>
        <v>0.6006997278</v>
      </c>
      <c r="H85" s="133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82" t="s">
        <v>181</v>
      </c>
      <c r="V85" s="137">
        <f t="shared" ref="V85:Z85" si="221">+V64/V54</f>
        <v>0.3717164314</v>
      </c>
      <c r="W85" s="137">
        <f t="shared" si="221"/>
        <v>0.1057682227</v>
      </c>
      <c r="X85" s="137">
        <f t="shared" si="221"/>
        <v>0.07185823225</v>
      </c>
      <c r="Y85" s="137">
        <f t="shared" si="221"/>
        <v>0.05772578726</v>
      </c>
      <c r="Z85" s="137">
        <f t="shared" si="221"/>
        <v>0.04998822582</v>
      </c>
      <c r="AA85" s="133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</row>
    <row r="86" ht="15.75" customHeight="1">
      <c r="A86" s="50"/>
      <c r="B86" s="82" t="s">
        <v>182</v>
      </c>
      <c r="C86" s="137">
        <f t="shared" ref="C86:G86" si="222">+C64/C70</f>
        <v>-9.828713552</v>
      </c>
      <c r="D86" s="137">
        <f t="shared" si="222"/>
        <v>-2.900879443</v>
      </c>
      <c r="E86" s="137">
        <f t="shared" si="222"/>
        <v>-26.13168112</v>
      </c>
      <c r="F86" s="137">
        <f t="shared" si="222"/>
        <v>3.713918168</v>
      </c>
      <c r="G86" s="137">
        <f t="shared" si="222"/>
        <v>1.504380963</v>
      </c>
      <c r="H86" s="133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82" t="s">
        <v>182</v>
      </c>
      <c r="V86" s="137">
        <f t="shared" ref="V86:Z86" si="223">+V64/V70</f>
        <v>0.591637996</v>
      </c>
      <c r="W86" s="137">
        <f t="shared" si="223"/>
        <v>0.1182783092</v>
      </c>
      <c r="X86" s="137">
        <f t="shared" si="223"/>
        <v>0.07742161246</v>
      </c>
      <c r="Y86" s="137">
        <f t="shared" si="223"/>
        <v>0.06126219574</v>
      </c>
      <c r="Z86" s="137">
        <f t="shared" si="223"/>
        <v>0.05261853292</v>
      </c>
      <c r="AA86" s="133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</row>
    <row r="87" ht="15.75" customHeight="1">
      <c r="A87" s="50"/>
      <c r="B87" s="82" t="s">
        <v>183</v>
      </c>
      <c r="C87" s="137">
        <f t="shared" ref="C87:G87" si="224">+C56/C70</f>
        <v>-9.791993576</v>
      </c>
      <c r="D87" s="137">
        <f t="shared" si="224"/>
        <v>-2.838896861</v>
      </c>
      <c r="E87" s="137">
        <f t="shared" si="224"/>
        <v>-6.264712285</v>
      </c>
      <c r="F87" s="137">
        <f t="shared" si="224"/>
        <v>0.8058552367</v>
      </c>
      <c r="G87" s="137">
        <f t="shared" si="224"/>
        <v>0.2334538422</v>
      </c>
      <c r="H87" s="133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82" t="s">
        <v>183</v>
      </c>
      <c r="V87" s="137">
        <f t="shared" ref="V87:Z87" si="225">+V56/V70</f>
        <v>0</v>
      </c>
      <c r="W87" s="137">
        <f t="shared" si="225"/>
        <v>0</v>
      </c>
      <c r="X87" s="137">
        <f t="shared" si="225"/>
        <v>0</v>
      </c>
      <c r="Y87" s="137">
        <f t="shared" si="225"/>
        <v>0</v>
      </c>
      <c r="Z87" s="137">
        <f t="shared" si="225"/>
        <v>0</v>
      </c>
      <c r="AA87" s="133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49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49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49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49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49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49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49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49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49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49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49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49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49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49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49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49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49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49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49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49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49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49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49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49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49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49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49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49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49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49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49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49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49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49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49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49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49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49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49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49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49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49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49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49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49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49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49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49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49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49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49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49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49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49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49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49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49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49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49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49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49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49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49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49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49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49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49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49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49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49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49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49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49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49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49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49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49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49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49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49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49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49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49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49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49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49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49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49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49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49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49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49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49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49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49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49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49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49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49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49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49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49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49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49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49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49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49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49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49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49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49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49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49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49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49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49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49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49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49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49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49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49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49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49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49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49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49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49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49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49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49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49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49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49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49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49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49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49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49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49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49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49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49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49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49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49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49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49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49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49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49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49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49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49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49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49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49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49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49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49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49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49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49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49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49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49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49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49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49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49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49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49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49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49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49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49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49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49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49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49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49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49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49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49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49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49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49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49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49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49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49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49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49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49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49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49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49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49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49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</row>
  </sheetData>
  <mergeCells count="13">
    <mergeCell ref="B36:G36"/>
    <mergeCell ref="U36:Z36"/>
    <mergeCell ref="B80:G80"/>
    <mergeCell ref="U80:Z80"/>
    <mergeCell ref="B84:G84"/>
    <mergeCell ref="U84:Z84"/>
    <mergeCell ref="B5:D8"/>
    <mergeCell ref="C13:G13"/>
    <mergeCell ref="I13:M13"/>
    <mergeCell ref="O13:S13"/>
    <mergeCell ref="V13:Z13"/>
    <mergeCell ref="AB13:AF13"/>
    <mergeCell ref="AH13:AL13"/>
  </mergeCells>
  <printOptions/>
  <pageMargins bottom="0.75" footer="0.0" header="0.0" left="0.7" right="0.7" top="0.75"/>
  <pageSetup orientation="landscape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 outlineLevelRow="1"/>
  <cols>
    <col customWidth="1" min="1" max="1" width="10.1"/>
    <col customWidth="1" min="2" max="2" width="4.4"/>
    <col customWidth="1" min="3" max="3" width="23.2"/>
    <col customWidth="1" min="4" max="4" width="11.8"/>
    <col customWidth="1" min="5" max="5" width="8.9"/>
    <col customWidth="1" min="6" max="8" width="9.8"/>
    <col customWidth="1" min="9" max="9" width="11.8"/>
    <col customWidth="1" min="10" max="10" width="11.0"/>
    <col customWidth="1" min="11" max="21" width="10.6"/>
    <col customWidth="1" min="22" max="26" width="11.2"/>
  </cols>
  <sheetData>
    <row r="1">
      <c r="A1" s="6"/>
      <c r="B1" s="13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6.25" customHeight="1">
      <c r="A2" s="6"/>
      <c r="B2" s="1" t="s">
        <v>0</v>
      </c>
      <c r="C2" s="6"/>
      <c r="D2" s="6"/>
      <c r="E2" s="6"/>
      <c r="F2" s="9" t="s">
        <v>184</v>
      </c>
      <c r="G2" s="10"/>
      <c r="H2" s="10"/>
      <c r="I2" s="1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 t="s">
        <v>185</v>
      </c>
      <c r="C3" s="6"/>
      <c r="D3" s="6"/>
      <c r="E3" s="6"/>
      <c r="F3" s="12"/>
      <c r="G3" s="13"/>
      <c r="H3" s="13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139"/>
      <c r="C4" s="6"/>
      <c r="D4" s="6"/>
      <c r="E4" s="140"/>
      <c r="F4" s="14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41">
        <v>2022.0</v>
      </c>
      <c r="E6" s="141">
        <v>2023.0</v>
      </c>
      <c r="F6" s="141">
        <v>2024.0</v>
      </c>
      <c r="G6" s="141">
        <v>2025.0</v>
      </c>
      <c r="H6" s="141">
        <v>2026.0</v>
      </c>
      <c r="I6" s="142" t="s">
        <v>186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14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187</v>
      </c>
      <c r="C8" s="8"/>
      <c r="D8" s="144">
        <f>+'BALANCE GENERAL'!G52</f>
        <v>104445.6259</v>
      </c>
      <c r="E8" s="144">
        <f t="shared" ref="E8:H8" si="1">D47</f>
        <v>115707.8533</v>
      </c>
      <c r="F8" s="144">
        <f t="shared" si="1"/>
        <v>165817.6803</v>
      </c>
      <c r="G8" s="144">
        <f t="shared" si="1"/>
        <v>334609.745</v>
      </c>
      <c r="H8" s="144">
        <f t="shared" si="1"/>
        <v>566718.9118</v>
      </c>
      <c r="I8" s="145">
        <f>D8</f>
        <v>104445.6259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6"/>
      <c r="W8" s="6"/>
      <c r="X8" s="6"/>
      <c r="Y8" s="6"/>
      <c r="Z8" s="6"/>
    </row>
    <row r="9">
      <c r="A9" s="6"/>
      <c r="B9" s="6"/>
      <c r="C9" s="6"/>
      <c r="D9" s="49"/>
      <c r="E9" s="49"/>
      <c r="F9" s="49"/>
      <c r="G9" s="49"/>
      <c r="H9" s="49"/>
      <c r="I9" s="146"/>
      <c r="J9" s="3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188</v>
      </c>
      <c r="C10" s="6"/>
      <c r="D10" s="144">
        <f t="shared" ref="D10:H10" si="2">SUM(D11:D13)</f>
        <v>967500</v>
      </c>
      <c r="E10" s="144">
        <f t="shared" si="2"/>
        <v>1239300</v>
      </c>
      <c r="F10" s="144">
        <f t="shared" si="2"/>
        <v>1673055</v>
      </c>
      <c r="G10" s="144">
        <f t="shared" si="2"/>
        <v>2258624.25</v>
      </c>
      <c r="H10" s="144">
        <f t="shared" si="2"/>
        <v>3049142.738</v>
      </c>
      <c r="I10" s="145">
        <f t="shared" ref="I10:I13" si="3">SUM(D10:H10)</f>
        <v>9187621.988</v>
      </c>
      <c r="J10" s="3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idden="1" outlineLevel="1">
      <c r="A11" s="6"/>
      <c r="B11" s="8"/>
      <c r="C11" s="147" t="s">
        <v>189</v>
      </c>
      <c r="D11" s="50">
        <f>'BALANCE GENERAL'!G50</f>
        <v>49500</v>
      </c>
      <c r="E11" s="50">
        <v>0.0</v>
      </c>
      <c r="F11" s="50">
        <v>0.0</v>
      </c>
      <c r="G11" s="50">
        <v>0.0</v>
      </c>
      <c r="H11" s="50">
        <v>0.0</v>
      </c>
      <c r="I11" s="146">
        <f t="shared" si="3"/>
        <v>49500</v>
      </c>
      <c r="J11" s="3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idden="1" outlineLevel="1">
      <c r="A12" s="6"/>
      <c r="B12" s="8"/>
      <c r="C12" s="147" t="s">
        <v>190</v>
      </c>
      <c r="D12" s="50">
        <f>+'BALANCE GENERAL'!V15</f>
        <v>918000</v>
      </c>
      <c r="E12" s="50">
        <f>+'BALANCE GENERAL'!W15</f>
        <v>1239300</v>
      </c>
      <c r="F12" s="50">
        <f>+'BALANCE GENERAL'!X15</f>
        <v>1673055</v>
      </c>
      <c r="G12" s="50">
        <f>+'BALANCE GENERAL'!Y15</f>
        <v>2258624.25</v>
      </c>
      <c r="H12" s="50">
        <f>+'BALANCE GENERAL'!Z15</f>
        <v>3049142.738</v>
      </c>
      <c r="I12" s="146">
        <f t="shared" si="3"/>
        <v>9138121.988</v>
      </c>
      <c r="J12" s="3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idden="1" outlineLevel="1">
      <c r="A13" s="6"/>
      <c r="B13" s="8"/>
      <c r="C13" s="147" t="s">
        <v>191</v>
      </c>
      <c r="D13" s="50">
        <f>-'BALANCE GENERAL'!V50</f>
        <v>0</v>
      </c>
      <c r="E13" s="50">
        <f>-'BALANCE GENERAL'!W50</f>
        <v>0</v>
      </c>
      <c r="F13" s="50">
        <f>-'BALANCE GENERAL'!X50</f>
        <v>0</v>
      </c>
      <c r="G13" s="50">
        <f>-'BALANCE GENERAL'!Y50</f>
        <v>0</v>
      </c>
      <c r="H13" s="50">
        <f>-'BALANCE GENERAL'!Z50</f>
        <v>0</v>
      </c>
      <c r="I13" s="146">
        <f t="shared" si="3"/>
        <v>0</v>
      </c>
      <c r="J13" s="3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ollapsed="1">
      <c r="A14" s="6"/>
      <c r="B14" s="6"/>
      <c r="C14" s="6"/>
      <c r="D14" s="49"/>
      <c r="E14" s="49"/>
      <c r="F14" s="49"/>
      <c r="G14" s="49"/>
      <c r="H14" s="49"/>
      <c r="I14" s="146"/>
      <c r="J14" s="3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8" t="s">
        <v>192</v>
      </c>
      <c r="C15" s="8"/>
      <c r="D15" s="144">
        <f t="shared" ref="D15:H15" si="4">+D16+D20+D21+D22+D26+D27</f>
        <v>705746.2475</v>
      </c>
      <c r="E15" s="144">
        <f t="shared" si="4"/>
        <v>893977.9864</v>
      </c>
      <c r="F15" s="144">
        <f t="shared" si="4"/>
        <v>1152895.339</v>
      </c>
      <c r="G15" s="144">
        <f t="shared" si="4"/>
        <v>1533827.929</v>
      </c>
      <c r="H15" s="144">
        <f t="shared" si="4"/>
        <v>2055364.55</v>
      </c>
      <c r="I15" s="145">
        <f t="shared" ref="I15:I27" si="6">SUM(D15:H15)</f>
        <v>6341812.051</v>
      </c>
      <c r="J15" s="3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148" t="s">
        <v>193</v>
      </c>
      <c r="D16" s="49">
        <f t="shared" ref="D16:H16" si="5">SUM(D17:D19)</f>
        <v>395260</v>
      </c>
      <c r="E16" s="49">
        <f t="shared" si="5"/>
        <v>499851</v>
      </c>
      <c r="F16" s="49">
        <f t="shared" si="5"/>
        <v>644126.175</v>
      </c>
      <c r="G16" s="49">
        <f t="shared" si="5"/>
        <v>869570.3363</v>
      </c>
      <c r="H16" s="49">
        <f t="shared" si="5"/>
        <v>1173919.954</v>
      </c>
      <c r="I16" s="146">
        <f t="shared" si="6"/>
        <v>3582727.465</v>
      </c>
      <c r="J16" s="3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idden="1" outlineLevel="1">
      <c r="A17" s="6"/>
      <c r="B17" s="8"/>
      <c r="C17" s="147" t="s">
        <v>194</v>
      </c>
      <c r="D17" s="50">
        <f>+'BALANCE GENERAL'!G57</f>
        <v>25000</v>
      </c>
      <c r="E17" s="50">
        <v>0.0</v>
      </c>
      <c r="F17" s="50">
        <v>0.0</v>
      </c>
      <c r="G17" s="50">
        <v>0.0</v>
      </c>
      <c r="H17" s="50">
        <v>0.0</v>
      </c>
      <c r="I17" s="146">
        <f t="shared" si="6"/>
        <v>25000</v>
      </c>
      <c r="J17" s="3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idden="1" outlineLevel="1">
      <c r="A18" s="6"/>
      <c r="B18" s="8"/>
      <c r="C18" s="147" t="s">
        <v>195</v>
      </c>
      <c r="D18" s="50">
        <f>-'BALANCE GENERAL'!V16</f>
        <v>403920</v>
      </c>
      <c r="E18" s="50">
        <f>-'BALANCE GENERAL'!W16</f>
        <v>545292</v>
      </c>
      <c r="F18" s="50">
        <f>-'BALANCE GENERAL'!X16</f>
        <v>702683.1</v>
      </c>
      <c r="G18" s="50">
        <f>-'BALANCE GENERAL'!Y16</f>
        <v>948622.185</v>
      </c>
      <c r="H18" s="50">
        <f>-'BALANCE GENERAL'!Z16</f>
        <v>1280639.95</v>
      </c>
      <c r="I18" s="146">
        <f t="shared" si="6"/>
        <v>3881157.235</v>
      </c>
      <c r="J18" s="3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idden="1" outlineLevel="1">
      <c r="A19" s="6"/>
      <c r="B19" s="8"/>
      <c r="C19" s="147" t="s">
        <v>196</v>
      </c>
      <c r="D19" s="50">
        <f>-'BALANCE GENERAL'!V57</f>
        <v>-33660</v>
      </c>
      <c r="E19" s="50">
        <f>-'BALANCE GENERAL'!W57</f>
        <v>-45441</v>
      </c>
      <c r="F19" s="50">
        <f>-'BALANCE GENERAL'!X57</f>
        <v>-58556.925</v>
      </c>
      <c r="G19" s="50">
        <f>-'BALANCE GENERAL'!Y57</f>
        <v>-79051.84875</v>
      </c>
      <c r="H19" s="50">
        <f>-'BALANCE GENERAL'!Z57</f>
        <v>-106719.9958</v>
      </c>
      <c r="I19" s="146">
        <f t="shared" si="6"/>
        <v>-323429.7696</v>
      </c>
      <c r="J19" s="3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ollapsed="1">
      <c r="A20" s="6"/>
      <c r="B20" s="6"/>
      <c r="C20" s="148" t="s">
        <v>197</v>
      </c>
      <c r="D20" s="49">
        <f>-'BALANCE GENERAL'!V17</f>
        <v>60588</v>
      </c>
      <c r="E20" s="49">
        <f>-'BALANCE GENERAL'!W17</f>
        <v>85511.7</v>
      </c>
      <c r="F20" s="49">
        <f>-'BALANCE GENERAL'!X17</f>
        <v>115440.795</v>
      </c>
      <c r="G20" s="49">
        <f>-'BALANCE GENERAL'!Y17</f>
        <v>162620.946</v>
      </c>
      <c r="H20" s="49">
        <f>-'BALANCE GENERAL'!Z17</f>
        <v>228685.7053</v>
      </c>
      <c r="I20" s="146">
        <f t="shared" si="6"/>
        <v>652847.1463</v>
      </c>
      <c r="J20" s="3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148" t="s">
        <v>198</v>
      </c>
      <c r="D21" s="49">
        <f>-'BALANCE GENERAL'!V19</f>
        <v>118800</v>
      </c>
      <c r="E21" s="49">
        <f>-'BALANCE GENERAL'!W19</f>
        <v>136620</v>
      </c>
      <c r="F21" s="49">
        <f>-'BALANCE GENERAL'!X19</f>
        <v>157113</v>
      </c>
      <c r="G21" s="49">
        <f>-'BALANCE GENERAL'!Y19</f>
        <v>188535.6</v>
      </c>
      <c r="H21" s="49">
        <f>-'BALANCE GENERAL'!Z19</f>
        <v>235669.5</v>
      </c>
      <c r="I21" s="146">
        <f t="shared" si="6"/>
        <v>836738.1</v>
      </c>
      <c r="J21" s="3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148" t="s">
        <v>199</v>
      </c>
      <c r="D22" s="49">
        <f t="shared" ref="D22:H22" si="7">SUM(D23:D25)</f>
        <v>68712.5</v>
      </c>
      <c r="E22" s="49">
        <f t="shared" si="7"/>
        <v>78271.875</v>
      </c>
      <c r="F22" s="49">
        <f t="shared" si="7"/>
        <v>90012.66041</v>
      </c>
      <c r="G22" s="49">
        <f t="shared" si="7"/>
        <v>108015.189</v>
      </c>
      <c r="H22" s="49">
        <f t="shared" si="7"/>
        <v>135018.9852</v>
      </c>
      <c r="I22" s="146">
        <f t="shared" si="6"/>
        <v>480031.2096</v>
      </c>
      <c r="J22" s="3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hidden="1" customHeight="1" outlineLevel="1">
      <c r="A23" s="6"/>
      <c r="B23" s="8"/>
      <c r="C23" s="147" t="s">
        <v>194</v>
      </c>
      <c r="D23" s="50">
        <f>+'BALANCE GENERAL'!G58</f>
        <v>650</v>
      </c>
      <c r="E23" s="50" t="str">
        <f>+'BALANCE GENERAL'!H58</f>
        <v/>
      </c>
      <c r="F23" s="50">
        <f>+'BALANCE GENERAL'!I58</f>
        <v>0.004159153618</v>
      </c>
      <c r="G23" s="50">
        <f>+'BALANCE GENERAL'!J58</f>
        <v>0.001493464971</v>
      </c>
      <c r="H23" s="50">
        <f>+'BALANCE GENERAL'!K58</f>
        <v>0.0007789859261</v>
      </c>
      <c r="I23" s="146">
        <f t="shared" si="6"/>
        <v>650.0064316</v>
      </c>
      <c r="J23" s="3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hidden="1" customHeight="1" outlineLevel="1">
      <c r="A24" s="6"/>
      <c r="B24" s="8"/>
      <c r="C24" s="147" t="s">
        <v>195</v>
      </c>
      <c r="D24" s="50">
        <f>-'BALANCE GENERAL'!V20</f>
        <v>74250</v>
      </c>
      <c r="E24" s="50">
        <f>-'BALANCE GENERAL'!W20</f>
        <v>85387.5</v>
      </c>
      <c r="F24" s="50">
        <f>-'BALANCE GENERAL'!X20</f>
        <v>98195.625</v>
      </c>
      <c r="G24" s="50">
        <f>-'BALANCE GENERAL'!Y20</f>
        <v>117834.75</v>
      </c>
      <c r="H24" s="50">
        <f>-'BALANCE GENERAL'!Z20</f>
        <v>147293.4375</v>
      </c>
      <c r="I24" s="146">
        <f t="shared" si="6"/>
        <v>522961.3125</v>
      </c>
      <c r="J24" s="3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hidden="1" customHeight="1" outlineLevel="1">
      <c r="A25" s="6"/>
      <c r="B25" s="8"/>
      <c r="C25" s="147" t="s">
        <v>196</v>
      </c>
      <c r="D25" s="50">
        <f>-'BALANCE GENERAL'!V58</f>
        <v>-6187.5</v>
      </c>
      <c r="E25" s="50">
        <f>-'BALANCE GENERAL'!W58</f>
        <v>-7115.625</v>
      </c>
      <c r="F25" s="50">
        <f>-'BALANCE GENERAL'!X58</f>
        <v>-8182.96875</v>
      </c>
      <c r="G25" s="50">
        <f>-'BALANCE GENERAL'!Y58</f>
        <v>-9819.5625</v>
      </c>
      <c r="H25" s="50">
        <f>-'BALANCE GENERAL'!Z58</f>
        <v>-12274.45313</v>
      </c>
      <c r="I25" s="146">
        <f t="shared" si="6"/>
        <v>-43580.10938</v>
      </c>
      <c r="J25" s="3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collapsed="1">
      <c r="A26" s="6"/>
      <c r="B26" s="6"/>
      <c r="C26" s="148" t="s">
        <v>200</v>
      </c>
      <c r="D26" s="49">
        <f>-'BALANCE GENERAL'!V26</f>
        <v>60885.74752</v>
      </c>
      <c r="E26" s="49">
        <f>-'BALANCE GENERAL'!W26</f>
        <v>92223.41136</v>
      </c>
      <c r="F26" s="49">
        <f>-'BALANCE GENERAL'!X26</f>
        <v>144702.7084</v>
      </c>
      <c r="G26" s="49">
        <f>-'BALANCE GENERAL'!Y26</f>
        <v>203585.8576</v>
      </c>
      <c r="H26" s="49">
        <f>-'BALANCE GENERAL'!Z26</f>
        <v>280570.4053</v>
      </c>
      <c r="I26" s="146">
        <f t="shared" si="6"/>
        <v>781968.1302</v>
      </c>
      <c r="J26" s="3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148" t="s">
        <v>201</v>
      </c>
      <c r="D27" s="49">
        <v>1500.0</v>
      </c>
      <c r="E27" s="49">
        <v>1500.0</v>
      </c>
      <c r="F27" s="49">
        <v>1500.0</v>
      </c>
      <c r="G27" s="49">
        <v>1500.0</v>
      </c>
      <c r="H27" s="49">
        <v>1500.0</v>
      </c>
      <c r="I27" s="146">
        <f t="shared" si="6"/>
        <v>7500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149"/>
      <c r="E28" s="149"/>
      <c r="F28" s="149"/>
      <c r="G28" s="149"/>
      <c r="H28" s="149"/>
      <c r="I28" s="150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8" t="s">
        <v>202</v>
      </c>
      <c r="C29" s="8"/>
      <c r="D29" s="144">
        <f t="shared" ref="D29:I29" si="8">D10-D15</f>
        <v>261753.7525</v>
      </c>
      <c r="E29" s="144">
        <f t="shared" si="8"/>
        <v>345322.0136</v>
      </c>
      <c r="F29" s="144">
        <f t="shared" si="8"/>
        <v>520159.6612</v>
      </c>
      <c r="G29" s="144">
        <f t="shared" si="8"/>
        <v>724796.3212</v>
      </c>
      <c r="H29" s="144">
        <f t="shared" si="8"/>
        <v>993778.1878</v>
      </c>
      <c r="I29" s="145">
        <f t="shared" si="8"/>
        <v>2845809.936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49"/>
      <c r="E30" s="49"/>
      <c r="F30" s="49"/>
      <c r="G30" s="49"/>
      <c r="H30" s="49"/>
      <c r="I30" s="14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8" t="s">
        <v>203</v>
      </c>
      <c r="C31" s="8"/>
      <c r="D31" s="144"/>
      <c r="E31" s="151"/>
      <c r="F31" s="151"/>
      <c r="G31" s="151"/>
      <c r="H31" s="151"/>
      <c r="I31" s="145">
        <f>SUM(D31:H31)</f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149"/>
      <c r="E32" s="149"/>
      <c r="F32" s="149"/>
      <c r="G32" s="149"/>
      <c r="H32" s="149"/>
      <c r="I32" s="15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8" t="s">
        <v>204</v>
      </c>
      <c r="C33" s="8"/>
      <c r="D33" s="144">
        <f t="shared" ref="D33:I33" si="9">D29-D31</f>
        <v>261753.7525</v>
      </c>
      <c r="E33" s="144">
        <f t="shared" si="9"/>
        <v>345322.0136</v>
      </c>
      <c r="F33" s="144">
        <f t="shared" si="9"/>
        <v>520159.6612</v>
      </c>
      <c r="G33" s="144">
        <f t="shared" si="9"/>
        <v>724796.3212</v>
      </c>
      <c r="H33" s="144">
        <f t="shared" si="9"/>
        <v>993778.1878</v>
      </c>
      <c r="I33" s="145">
        <f t="shared" si="9"/>
        <v>2845809.936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49"/>
      <c r="E34" s="49"/>
      <c r="F34" s="49"/>
      <c r="G34" s="49"/>
      <c r="H34" s="49"/>
      <c r="I34" s="14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8" t="s">
        <v>205</v>
      </c>
      <c r="C35" s="8"/>
      <c r="D35" s="144"/>
      <c r="E35" s="151"/>
      <c r="F35" s="151"/>
      <c r="G35" s="151"/>
      <c r="H35" s="151"/>
      <c r="I35" s="14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8"/>
      <c r="C36" s="148" t="s">
        <v>206</v>
      </c>
      <c r="D36" s="49">
        <f>-'TABLAS AMORTIZACION'!K25</f>
        <v>-250000</v>
      </c>
      <c r="E36" s="49">
        <f>-'TABLAS AMORTIZACION'!L25</f>
        <v>-250000</v>
      </c>
      <c r="F36" s="49">
        <f>-'TABLAS AMORTIZACION'!M25</f>
        <v>-250000</v>
      </c>
      <c r="G36" s="49">
        <f>-'TABLAS AMORTIZACION'!N25</f>
        <v>-250000</v>
      </c>
      <c r="H36" s="49">
        <f>-'TABLAS AMORTIZACION'!O25</f>
        <v>-250000</v>
      </c>
      <c r="I36" s="146">
        <f t="shared" ref="I36:I38" si="10">SUM(D36:H36)</f>
        <v>-1250000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8"/>
      <c r="C37" s="148" t="s">
        <v>207</v>
      </c>
      <c r="D37" s="49">
        <f>-'TABLAS AMORTIZACION'!K26</f>
        <v>346646.721</v>
      </c>
      <c r="E37" s="49">
        <f>-'TABLAS AMORTIZACION'!L26</f>
        <v>318673.8448</v>
      </c>
      <c r="F37" s="49">
        <f>-'TABLAS AMORTIZACION'!M26</f>
        <v>250000</v>
      </c>
      <c r="G37" s="49">
        <f>-'TABLAS AMORTIZACION'!N26</f>
        <v>250000</v>
      </c>
      <c r="H37" s="49">
        <f>-'TABLAS AMORTIZACION'!O26</f>
        <v>250000</v>
      </c>
      <c r="I37" s="146">
        <f t="shared" si="10"/>
        <v>1415320.566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 t="s">
        <v>208</v>
      </c>
      <c r="D38" s="149">
        <f>+'TABLAS AMORTIZACION'!K27</f>
        <v>7719.009913</v>
      </c>
      <c r="E38" s="149">
        <f>+'TABLAS AMORTIZACION'!L27</f>
        <v>5202.154565</v>
      </c>
      <c r="F38" s="149">
        <f>+'TABLAS AMORTIZACION'!M27</f>
        <v>4081.096275</v>
      </c>
      <c r="G38" s="149">
        <f>+'TABLAS AMORTIZACION'!N27</f>
        <v>4081.096275</v>
      </c>
      <c r="H38" s="149">
        <f>+'TABLAS AMORTIZACION'!O27</f>
        <v>4081.096275</v>
      </c>
      <c r="I38" s="150">
        <f t="shared" si="10"/>
        <v>25164.4533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8" t="s">
        <v>209</v>
      </c>
      <c r="C39" s="8"/>
      <c r="D39" s="144">
        <f t="shared" ref="D39:I39" si="11">SUM(D36:D38)</f>
        <v>104365.7309</v>
      </c>
      <c r="E39" s="144">
        <f t="shared" si="11"/>
        <v>73875.99939</v>
      </c>
      <c r="F39" s="144">
        <f t="shared" si="11"/>
        <v>4081.096275</v>
      </c>
      <c r="G39" s="144">
        <f t="shared" si="11"/>
        <v>4081.096275</v>
      </c>
      <c r="H39" s="144">
        <f t="shared" si="11"/>
        <v>4081.096275</v>
      </c>
      <c r="I39" s="145">
        <f t="shared" si="11"/>
        <v>190485.0192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8"/>
      <c r="C40" s="8"/>
      <c r="D40" s="144"/>
      <c r="E40" s="144"/>
      <c r="F40" s="144"/>
      <c r="G40" s="144"/>
      <c r="H40" s="144"/>
      <c r="I40" s="14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8" t="s">
        <v>210</v>
      </c>
      <c r="C41" s="8"/>
      <c r="D41" s="144">
        <f t="shared" ref="D41:I41" si="12">SUM(D42:D43)</f>
        <v>146125.7941</v>
      </c>
      <c r="E41" s="144">
        <f t="shared" si="12"/>
        <v>221336.1873</v>
      </c>
      <c r="F41" s="144">
        <f t="shared" si="12"/>
        <v>347286.5002</v>
      </c>
      <c r="G41" s="144">
        <f t="shared" si="12"/>
        <v>488606.0581</v>
      </c>
      <c r="H41" s="144">
        <f t="shared" si="12"/>
        <v>673368.9728</v>
      </c>
      <c r="I41" s="145">
        <f t="shared" si="12"/>
        <v>1876723.512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 t="s">
        <v>211</v>
      </c>
      <c r="D42" s="152"/>
      <c r="E42" s="152"/>
      <c r="F42" s="152"/>
      <c r="G42" s="49"/>
      <c r="H42" s="49"/>
      <c r="I42" s="146">
        <f t="shared" ref="I42:I43" si="13">SUM(D42:H42)</f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 t="s">
        <v>212</v>
      </c>
      <c r="D43" s="49">
        <f>+'BALANCE GENERAL'!V27*80%</f>
        <v>146125.7941</v>
      </c>
      <c r="E43" s="49">
        <f>+'BALANCE GENERAL'!W27*80%</f>
        <v>221336.1873</v>
      </c>
      <c r="F43" s="49">
        <f>+'BALANCE GENERAL'!X27*80%</f>
        <v>347286.5002</v>
      </c>
      <c r="G43" s="49">
        <f>+'BALANCE GENERAL'!Y27*80%</f>
        <v>488606.0581</v>
      </c>
      <c r="H43" s="49">
        <f>+'BALANCE GENERAL'!Z27*80%</f>
        <v>673368.9728</v>
      </c>
      <c r="I43" s="146">
        <f t="shared" si="13"/>
        <v>1876723.512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149"/>
      <c r="E44" s="149"/>
      <c r="F44" s="149"/>
      <c r="G44" s="149"/>
      <c r="H44" s="149"/>
      <c r="I44" s="15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8" t="s">
        <v>213</v>
      </c>
      <c r="C45" s="8"/>
      <c r="D45" s="144">
        <f t="shared" ref="D45:I45" si="14">D33-D39-D41</f>
        <v>11262.22748</v>
      </c>
      <c r="E45" s="144">
        <f t="shared" si="14"/>
        <v>50109.82699</v>
      </c>
      <c r="F45" s="144">
        <f t="shared" si="14"/>
        <v>168792.0646</v>
      </c>
      <c r="G45" s="144">
        <f t="shared" si="14"/>
        <v>232109.1668</v>
      </c>
      <c r="H45" s="144">
        <f t="shared" si="14"/>
        <v>316328.1187</v>
      </c>
      <c r="I45" s="145">
        <f t="shared" si="14"/>
        <v>778601.4046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8"/>
      <c r="C46" s="8"/>
      <c r="D46" s="144"/>
      <c r="E46" s="144"/>
      <c r="F46" s="144"/>
      <c r="G46" s="144"/>
      <c r="H46" s="144"/>
      <c r="I46" s="14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8" t="s">
        <v>214</v>
      </c>
      <c r="C47" s="8"/>
      <c r="D47" s="153">
        <f t="shared" ref="D47:I47" si="15">+D8+D45</f>
        <v>115707.8533</v>
      </c>
      <c r="E47" s="153">
        <f t="shared" si="15"/>
        <v>165817.6803</v>
      </c>
      <c r="F47" s="153">
        <f t="shared" si="15"/>
        <v>334609.745</v>
      </c>
      <c r="G47" s="153">
        <f t="shared" si="15"/>
        <v>566718.9118</v>
      </c>
      <c r="H47" s="153">
        <f t="shared" si="15"/>
        <v>883047.0305</v>
      </c>
      <c r="I47" s="153">
        <f t="shared" si="15"/>
        <v>883047.0305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F2:I3"/>
  </mergeCells>
  <printOptions/>
  <pageMargins bottom="1.0" footer="0.0" header="0.0" left="0.75" right="0.75" top="1.0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 fitToPage="1"/>
  </sheetPr>
  <sheetViews>
    <sheetView showGridLines="0" workbookViewId="0"/>
  </sheetViews>
  <sheetFormatPr customHeight="1" defaultColWidth="10.1" defaultRowHeight="15.0"/>
  <cols>
    <col customWidth="1" min="1" max="1" width="10.7"/>
    <col customWidth="1" min="2" max="2" width="31.1"/>
    <col customWidth="1" min="3" max="5" width="8.1"/>
    <col customWidth="1" min="6" max="7" width="9.6"/>
    <col customWidth="1" min="8" max="8" width="3.7"/>
    <col customWidth="1" min="9" max="9" width="20.0"/>
    <col customWidth="1" min="10" max="10" width="7.2"/>
    <col customWidth="1" min="11" max="14" width="8.0"/>
    <col customWidth="1" min="15" max="15" width="8.7"/>
    <col customWidth="1" min="16" max="26" width="10.5"/>
  </cols>
  <sheetData>
    <row r="2">
      <c r="B2" s="1" t="s">
        <v>0</v>
      </c>
      <c r="C2" s="6"/>
    </row>
    <row r="3">
      <c r="B3" s="7" t="s">
        <v>215</v>
      </c>
      <c r="C3" s="6"/>
    </row>
    <row r="7">
      <c r="B7" s="53" t="s">
        <v>87</v>
      </c>
      <c r="I7" s="53" t="s">
        <v>216</v>
      </c>
    </row>
    <row r="8">
      <c r="B8" s="50"/>
      <c r="C8" s="59">
        <v>2022.0</v>
      </c>
      <c r="D8" s="59">
        <v>2023.0</v>
      </c>
      <c r="E8" s="59">
        <v>2024.0</v>
      </c>
      <c r="F8" s="59">
        <v>2025.0</v>
      </c>
      <c r="G8" s="59">
        <v>2026.0</v>
      </c>
      <c r="I8" s="148"/>
      <c r="J8" s="59">
        <v>2022.0</v>
      </c>
      <c r="K8" s="59">
        <v>2023.0</v>
      </c>
      <c r="L8" s="59">
        <v>2024.0</v>
      </c>
      <c r="M8" s="59">
        <v>2025.0</v>
      </c>
      <c r="N8" s="59">
        <v>2026.0</v>
      </c>
      <c r="O8" s="59" t="s">
        <v>186</v>
      </c>
    </row>
    <row r="9">
      <c r="B9" s="50" t="s">
        <v>91</v>
      </c>
      <c r="C9" s="50">
        <v>918000.0000000001</v>
      </c>
      <c r="D9" s="50">
        <v>1239300.0000000002</v>
      </c>
      <c r="E9" s="50">
        <v>1673055.0000000005</v>
      </c>
      <c r="F9" s="50">
        <v>2258624.250000001</v>
      </c>
      <c r="G9" s="50">
        <v>3049142.7375000017</v>
      </c>
      <c r="I9" s="103" t="s">
        <v>187</v>
      </c>
      <c r="J9" s="64">
        <v>104445.62585321383</v>
      </c>
      <c r="K9" s="64">
        <f t="shared" ref="K9:N9" si="1">J39</f>
        <v>115707.8533</v>
      </c>
      <c r="L9" s="64">
        <f t="shared" si="1"/>
        <v>165817.6803</v>
      </c>
      <c r="M9" s="64">
        <f t="shared" si="1"/>
        <v>334609.745</v>
      </c>
      <c r="N9" s="64">
        <f t="shared" si="1"/>
        <v>566718.9118</v>
      </c>
      <c r="O9" s="64">
        <f>J9</f>
        <v>104445.6259</v>
      </c>
    </row>
    <row r="10">
      <c r="B10" s="50" t="s">
        <v>92</v>
      </c>
      <c r="C10" s="50">
        <v>-403920.00000000006</v>
      </c>
      <c r="D10" s="50">
        <v>-545292.0000000001</v>
      </c>
      <c r="E10" s="50">
        <v>-702683.1000000002</v>
      </c>
      <c r="F10" s="50">
        <v>-948622.1850000004</v>
      </c>
      <c r="G10" s="50">
        <v>-1280639.9497500006</v>
      </c>
      <c r="I10" s="99"/>
      <c r="J10" s="50"/>
      <c r="K10" s="50"/>
      <c r="L10" s="50"/>
      <c r="M10" s="50"/>
      <c r="N10" s="50"/>
      <c r="O10" s="50"/>
    </row>
    <row r="11">
      <c r="B11" s="50" t="s">
        <v>93</v>
      </c>
      <c r="C11" s="62">
        <v>-60588.000000000015</v>
      </c>
      <c r="D11" s="62">
        <v>-85511.70000000001</v>
      </c>
      <c r="E11" s="62">
        <v>-115440.79500000001</v>
      </c>
      <c r="F11" s="62">
        <v>-162620.94600000005</v>
      </c>
      <c r="G11" s="62">
        <v>-228685.7053125001</v>
      </c>
      <c r="I11" s="103" t="s">
        <v>188</v>
      </c>
      <c r="J11" s="64">
        <v>967500.0000000001</v>
      </c>
      <c r="K11" s="64">
        <v>1239300.0000000002</v>
      </c>
      <c r="L11" s="64">
        <v>1673055.0000000005</v>
      </c>
      <c r="M11" s="64">
        <v>2258624.250000001</v>
      </c>
      <c r="N11" s="64">
        <v>3049142.7375000017</v>
      </c>
      <c r="O11" s="64">
        <f>SUM(J11:N11)</f>
        <v>9187621.988</v>
      </c>
    </row>
    <row r="12">
      <c r="B12" s="63" t="s">
        <v>94</v>
      </c>
      <c r="C12" s="64">
        <f t="shared" ref="C12:G12" si="2">SUM(C9:C11)</f>
        <v>453492</v>
      </c>
      <c r="D12" s="64">
        <f t="shared" si="2"/>
        <v>608496.3</v>
      </c>
      <c r="E12" s="64">
        <f t="shared" si="2"/>
        <v>854931.105</v>
      </c>
      <c r="F12" s="64">
        <f t="shared" si="2"/>
        <v>1147381.119</v>
      </c>
      <c r="G12" s="64">
        <f t="shared" si="2"/>
        <v>1539817.082</v>
      </c>
      <c r="I12" s="99"/>
      <c r="J12" s="50"/>
      <c r="K12" s="50"/>
      <c r="L12" s="50"/>
      <c r="M12" s="50"/>
      <c r="N12" s="50"/>
      <c r="O12" s="50"/>
    </row>
    <row r="13">
      <c r="B13" s="50" t="s">
        <v>95</v>
      </c>
      <c r="C13" s="50">
        <v>-118800.00000000001</v>
      </c>
      <c r="D13" s="50">
        <v>-136620.0</v>
      </c>
      <c r="E13" s="50">
        <v>-157113.0</v>
      </c>
      <c r="F13" s="50">
        <v>-188535.6</v>
      </c>
      <c r="G13" s="50">
        <v>-235669.5</v>
      </c>
      <c r="I13" s="103" t="s">
        <v>192</v>
      </c>
      <c r="J13" s="64">
        <f t="shared" ref="J13:N13" si="3">+J14+J15+J16+J17+J18+J19</f>
        <v>705746.2475</v>
      </c>
      <c r="K13" s="64">
        <f t="shared" si="3"/>
        <v>893977.9864</v>
      </c>
      <c r="L13" s="64">
        <f t="shared" si="3"/>
        <v>1152895.339</v>
      </c>
      <c r="M13" s="64">
        <f t="shared" si="3"/>
        <v>1533827.929</v>
      </c>
      <c r="N13" s="64">
        <f t="shared" si="3"/>
        <v>2055364.55</v>
      </c>
      <c r="O13" s="64">
        <f t="shared" ref="O13:O19" si="4">SUM(J13:N13)</f>
        <v>6341812.051</v>
      </c>
    </row>
    <row r="14">
      <c r="B14" s="50" t="s">
        <v>96</v>
      </c>
      <c r="C14" s="50">
        <v>-74250.0</v>
      </c>
      <c r="D14" s="50">
        <v>-85387.5</v>
      </c>
      <c r="E14" s="50">
        <v>-98195.62499999999</v>
      </c>
      <c r="F14" s="50">
        <v>-117834.74999999999</v>
      </c>
      <c r="G14" s="50">
        <v>-147293.43749999997</v>
      </c>
      <c r="I14" s="99" t="s">
        <v>193</v>
      </c>
      <c r="J14" s="50">
        <v>395260.00000000006</v>
      </c>
      <c r="K14" s="50">
        <v>499851.0000000001</v>
      </c>
      <c r="L14" s="50">
        <v>644126.1750000002</v>
      </c>
      <c r="M14" s="50">
        <v>869570.3362500004</v>
      </c>
      <c r="N14" s="50">
        <v>1173919.9539375005</v>
      </c>
      <c r="O14" s="50">
        <f t="shared" si="4"/>
        <v>3582727.465</v>
      </c>
    </row>
    <row r="15">
      <c r="B15" s="50" t="s">
        <v>97</v>
      </c>
      <c r="C15" s="50">
        <v>-4590.000000000001</v>
      </c>
      <c r="D15" s="50">
        <v>-6196.500000000001</v>
      </c>
      <c r="E15" s="50">
        <v>-8365.275000000003</v>
      </c>
      <c r="F15" s="50">
        <v>-11293.121250000006</v>
      </c>
      <c r="G15" s="50">
        <v>-15245.713687500009</v>
      </c>
      <c r="I15" s="99" t="s">
        <v>197</v>
      </c>
      <c r="J15" s="50">
        <v>60588.000000000015</v>
      </c>
      <c r="K15" s="50">
        <v>85511.70000000001</v>
      </c>
      <c r="L15" s="50">
        <v>115440.79500000001</v>
      </c>
      <c r="M15" s="50">
        <v>162620.94600000005</v>
      </c>
      <c r="N15" s="50">
        <v>228685.7053125001</v>
      </c>
      <c r="O15" s="50">
        <f t="shared" si="4"/>
        <v>652847.1463</v>
      </c>
    </row>
    <row r="16">
      <c r="B16" s="50" t="s">
        <v>98</v>
      </c>
      <c r="C16" s="62">
        <v>-4590.000000000001</v>
      </c>
      <c r="D16" s="62">
        <v>-6196.500000000001</v>
      </c>
      <c r="E16" s="62">
        <v>-8365.275000000003</v>
      </c>
      <c r="F16" s="62">
        <v>-11293.121250000006</v>
      </c>
      <c r="G16" s="62">
        <v>-15245.713687500009</v>
      </c>
      <c r="I16" s="99" t="s">
        <v>198</v>
      </c>
      <c r="J16" s="50">
        <v>118800.00000000001</v>
      </c>
      <c r="K16" s="50">
        <v>136620.0</v>
      </c>
      <c r="L16" s="50">
        <v>157113.0</v>
      </c>
      <c r="M16" s="50">
        <v>188535.6</v>
      </c>
      <c r="N16" s="50">
        <v>235669.5</v>
      </c>
      <c r="O16" s="50">
        <f t="shared" si="4"/>
        <v>836738.1</v>
      </c>
    </row>
    <row r="17">
      <c r="B17" s="63" t="s">
        <v>99</v>
      </c>
      <c r="C17" s="64">
        <f t="shared" ref="C17:G17" si="5">SUM(C12:C16)</f>
        <v>251262</v>
      </c>
      <c r="D17" s="64">
        <f t="shared" si="5"/>
        <v>374095.8</v>
      </c>
      <c r="E17" s="64">
        <f t="shared" si="5"/>
        <v>582891.93</v>
      </c>
      <c r="F17" s="64">
        <f t="shared" si="5"/>
        <v>818424.5265</v>
      </c>
      <c r="G17" s="64">
        <f t="shared" si="5"/>
        <v>1126362.718</v>
      </c>
      <c r="I17" s="99" t="s">
        <v>199</v>
      </c>
      <c r="J17" s="50">
        <v>68712.5</v>
      </c>
      <c r="K17" s="50">
        <v>78271.875</v>
      </c>
      <c r="L17" s="50">
        <v>90012.6604091536</v>
      </c>
      <c r="M17" s="50">
        <v>108015.18899346495</v>
      </c>
      <c r="N17" s="50">
        <v>135018.9851539859</v>
      </c>
      <c r="O17" s="50">
        <f t="shared" si="4"/>
        <v>480031.2096</v>
      </c>
    </row>
    <row r="18">
      <c r="B18" s="50" t="s">
        <v>100</v>
      </c>
      <c r="C18" s="62">
        <v>-7719.009913103613</v>
      </c>
      <c r="D18" s="62">
        <v>-5202.154564803445</v>
      </c>
      <c r="E18" s="62">
        <v>-4081.096275466849</v>
      </c>
      <c r="F18" s="62">
        <v>-4081.096275466849</v>
      </c>
      <c r="G18" s="62">
        <v>-4081.096275466849</v>
      </c>
      <c r="I18" s="99" t="s">
        <v>200</v>
      </c>
      <c r="J18" s="50">
        <v>60885.74752172411</v>
      </c>
      <c r="K18" s="50">
        <v>92223.41135879915</v>
      </c>
      <c r="L18" s="50">
        <v>144702.70843113333</v>
      </c>
      <c r="M18" s="50">
        <v>203585.85755613341</v>
      </c>
      <c r="N18" s="50">
        <v>280570.40532175853</v>
      </c>
      <c r="O18" s="50">
        <f t="shared" si="4"/>
        <v>781968.1302</v>
      </c>
    </row>
    <row r="19">
      <c r="B19" s="63" t="s">
        <v>101</v>
      </c>
      <c r="C19" s="64">
        <f t="shared" ref="C19:G19" si="6">SUM(C17:C18)</f>
        <v>243542.9901</v>
      </c>
      <c r="D19" s="64">
        <f t="shared" si="6"/>
        <v>368893.6454</v>
      </c>
      <c r="E19" s="64">
        <f t="shared" si="6"/>
        <v>578810.8337</v>
      </c>
      <c r="F19" s="64">
        <f t="shared" si="6"/>
        <v>814343.4302</v>
      </c>
      <c r="G19" s="64">
        <f t="shared" si="6"/>
        <v>1122281.621</v>
      </c>
      <c r="I19" s="99" t="s">
        <v>201</v>
      </c>
      <c r="J19" s="50">
        <v>1500.0</v>
      </c>
      <c r="K19" s="50">
        <v>1500.0</v>
      </c>
      <c r="L19" s="50">
        <v>1500.0</v>
      </c>
      <c r="M19" s="50">
        <v>1500.0</v>
      </c>
      <c r="N19" s="50">
        <v>1500.0</v>
      </c>
      <c r="O19" s="50">
        <f t="shared" si="4"/>
        <v>7500</v>
      </c>
    </row>
    <row r="20">
      <c r="B20" s="50" t="s">
        <v>102</v>
      </c>
      <c r="C20" s="50">
        <v>-60885.74752172411</v>
      </c>
      <c r="D20" s="50">
        <v>-92223.41135879915</v>
      </c>
      <c r="E20" s="50">
        <v>-144702.70843113333</v>
      </c>
      <c r="F20" s="50">
        <v>-203585.85755613341</v>
      </c>
      <c r="G20" s="50">
        <v>-280570.40532175853</v>
      </c>
      <c r="I20" s="99"/>
      <c r="J20" s="62"/>
      <c r="K20" s="62"/>
      <c r="L20" s="62"/>
      <c r="M20" s="62"/>
      <c r="N20" s="62"/>
      <c r="O20" s="62"/>
    </row>
    <row r="21" ht="15.75" customHeight="1">
      <c r="B21" s="63" t="s">
        <v>103</v>
      </c>
      <c r="C21" s="72">
        <f t="shared" ref="C21:G21" si="7">SUM(C19:C20)</f>
        <v>182657.2426</v>
      </c>
      <c r="D21" s="72">
        <f t="shared" si="7"/>
        <v>276670.2341</v>
      </c>
      <c r="E21" s="72">
        <f t="shared" si="7"/>
        <v>434108.1253</v>
      </c>
      <c r="F21" s="72">
        <f t="shared" si="7"/>
        <v>610757.5727</v>
      </c>
      <c r="G21" s="72">
        <f t="shared" si="7"/>
        <v>841711.216</v>
      </c>
      <c r="I21" s="103" t="s">
        <v>202</v>
      </c>
      <c r="J21" s="64">
        <f t="shared" ref="J21:O21" si="8">J11-J13</f>
        <v>261753.7525</v>
      </c>
      <c r="K21" s="64">
        <f t="shared" si="8"/>
        <v>345322.0136</v>
      </c>
      <c r="L21" s="64">
        <f t="shared" si="8"/>
        <v>520159.6612</v>
      </c>
      <c r="M21" s="64">
        <f t="shared" si="8"/>
        <v>724796.3212</v>
      </c>
      <c r="N21" s="64">
        <f t="shared" si="8"/>
        <v>993778.1878</v>
      </c>
      <c r="O21" s="64">
        <f t="shared" si="8"/>
        <v>2845809.936</v>
      </c>
    </row>
    <row r="22" ht="15.75" customHeight="1">
      <c r="I22" s="99"/>
      <c r="J22" s="50"/>
      <c r="K22" s="50"/>
      <c r="L22" s="50"/>
      <c r="M22" s="50"/>
      <c r="N22" s="50"/>
      <c r="O22" s="50"/>
    </row>
    <row r="23" ht="15.75" customHeight="1">
      <c r="I23" s="103" t="s">
        <v>203</v>
      </c>
      <c r="J23" s="64"/>
      <c r="K23" s="154"/>
      <c r="L23" s="154"/>
      <c r="M23" s="154"/>
      <c r="N23" s="154"/>
      <c r="O23" s="64">
        <f>SUM(J23:N23)</f>
        <v>0</v>
      </c>
    </row>
    <row r="24" ht="15.75" customHeight="1">
      <c r="B24" s="53" t="s">
        <v>104</v>
      </c>
      <c r="I24" s="99"/>
      <c r="J24" s="62"/>
      <c r="K24" s="62"/>
      <c r="L24" s="62"/>
      <c r="M24" s="62"/>
      <c r="N24" s="62"/>
      <c r="O24" s="62"/>
    </row>
    <row r="25" ht="15.75" customHeight="1">
      <c r="B25" s="50"/>
      <c r="C25" s="59">
        <v>2022.0</v>
      </c>
      <c r="D25" s="59">
        <v>2023.0</v>
      </c>
      <c r="E25" s="59">
        <v>2024.0</v>
      </c>
      <c r="F25" s="59">
        <v>2025.0</v>
      </c>
      <c r="G25" s="59">
        <v>2026.0</v>
      </c>
      <c r="I25" s="103" t="s">
        <v>204</v>
      </c>
      <c r="J25" s="64">
        <f t="shared" ref="J25:O25" si="9">J21-J23</f>
        <v>261753.7525</v>
      </c>
      <c r="K25" s="64">
        <f t="shared" si="9"/>
        <v>345322.0136</v>
      </c>
      <c r="L25" s="64">
        <f t="shared" si="9"/>
        <v>520159.6612</v>
      </c>
      <c r="M25" s="64">
        <f t="shared" si="9"/>
        <v>724796.3212</v>
      </c>
      <c r="N25" s="64">
        <f t="shared" si="9"/>
        <v>993778.1878</v>
      </c>
      <c r="O25" s="64">
        <f t="shared" si="9"/>
        <v>2845809.936</v>
      </c>
    </row>
    <row r="26" ht="15.75" customHeight="1">
      <c r="B26" s="50" t="s">
        <v>105</v>
      </c>
      <c r="C26" s="50">
        <v>52000.0</v>
      </c>
      <c r="D26" s="50">
        <v>52000.0</v>
      </c>
      <c r="E26" s="50">
        <v>52000.0</v>
      </c>
      <c r="F26" s="50">
        <v>52000.0</v>
      </c>
      <c r="G26" s="50">
        <v>52000.0</v>
      </c>
      <c r="I26" s="99"/>
      <c r="J26" s="50"/>
      <c r="K26" s="50"/>
      <c r="L26" s="50"/>
      <c r="M26" s="50"/>
      <c r="N26" s="50"/>
      <c r="O26" s="50"/>
    </row>
    <row r="27" ht="15.75" customHeight="1">
      <c r="B27" s="50" t="s">
        <v>106</v>
      </c>
      <c r="C27" s="50">
        <v>-8790.0</v>
      </c>
      <c r="D27" s="50">
        <v>-6196.500000000001</v>
      </c>
      <c r="E27" s="50">
        <v>-8365.276386384543</v>
      </c>
      <c r="F27" s="50">
        <v>-11293.123988019119</v>
      </c>
      <c r="G27" s="50">
        <v>-15245.717426632455</v>
      </c>
      <c r="I27" s="103" t="s">
        <v>205</v>
      </c>
      <c r="J27" s="64"/>
      <c r="K27" s="154"/>
      <c r="L27" s="154"/>
      <c r="M27" s="154"/>
      <c r="N27" s="154"/>
      <c r="O27" s="64"/>
    </row>
    <row r="28" ht="15.75" customHeight="1">
      <c r="B28" s="50" t="s">
        <v>107</v>
      </c>
      <c r="C28" s="50">
        <v>125000.0</v>
      </c>
      <c r="D28" s="50">
        <v>125000.0</v>
      </c>
      <c r="E28" s="50">
        <v>125000.0</v>
      </c>
      <c r="F28" s="50">
        <v>125000.0</v>
      </c>
      <c r="G28" s="50">
        <v>125000.0</v>
      </c>
      <c r="I28" s="99" t="s">
        <v>206</v>
      </c>
      <c r="J28" s="50">
        <v>-250000.0</v>
      </c>
      <c r="K28" s="50">
        <v>-250000.0</v>
      </c>
      <c r="L28" s="50">
        <v>-250000.0</v>
      </c>
      <c r="M28" s="50">
        <v>-250000.0</v>
      </c>
      <c r="N28" s="50">
        <v>-250000.0</v>
      </c>
      <c r="O28" s="50">
        <f t="shared" ref="O28:O30" si="10">SUM(J28:N28)</f>
        <v>-1250000</v>
      </c>
    </row>
    <row r="29" ht="15.75" customHeight="1">
      <c r="B29" s="50" t="s">
        <v>108</v>
      </c>
      <c r="C29" s="62">
        <v>-17510.0</v>
      </c>
      <c r="D29" s="62">
        <v>-23706.5</v>
      </c>
      <c r="E29" s="62">
        <v>-32071.775</v>
      </c>
      <c r="F29" s="62">
        <v>-43364.896250000005</v>
      </c>
      <c r="G29" s="62">
        <v>-58610.60993750001</v>
      </c>
      <c r="I29" s="99" t="s">
        <v>207</v>
      </c>
      <c r="J29" s="50">
        <v>346646.7210289849</v>
      </c>
      <c r="K29" s="50">
        <v>318673.84482422896</v>
      </c>
      <c r="L29" s="50">
        <v>249999.99999999997</v>
      </c>
      <c r="M29" s="50">
        <v>249999.99999999997</v>
      </c>
      <c r="N29" s="50">
        <v>249999.99999999997</v>
      </c>
      <c r="O29" s="50">
        <f t="shared" si="10"/>
        <v>1415320.566</v>
      </c>
    </row>
    <row r="30" ht="15.75" customHeight="1">
      <c r="B30" s="63" t="s">
        <v>109</v>
      </c>
      <c r="C30" s="64">
        <f t="shared" ref="C30:G30" si="11">SUM(C26:C29)</f>
        <v>150700</v>
      </c>
      <c r="D30" s="64">
        <f t="shared" si="11"/>
        <v>147097</v>
      </c>
      <c r="E30" s="64">
        <f t="shared" si="11"/>
        <v>136562.9486</v>
      </c>
      <c r="F30" s="64">
        <f t="shared" si="11"/>
        <v>122341.9798</v>
      </c>
      <c r="G30" s="64">
        <f t="shared" si="11"/>
        <v>103143.6726</v>
      </c>
      <c r="I30" s="99" t="s">
        <v>208</v>
      </c>
      <c r="J30" s="62">
        <v>7719.009913103613</v>
      </c>
      <c r="K30" s="62">
        <v>5202.154564803445</v>
      </c>
      <c r="L30" s="62">
        <v>4081.096275466849</v>
      </c>
      <c r="M30" s="62">
        <v>4081.096275466849</v>
      </c>
      <c r="N30" s="62">
        <v>4081.096275466849</v>
      </c>
      <c r="O30" s="62">
        <f t="shared" si="10"/>
        <v>25164.4533</v>
      </c>
    </row>
    <row r="31" ht="15.75" customHeight="1">
      <c r="B31" s="50" t="s">
        <v>110</v>
      </c>
      <c r="C31" s="50">
        <v>0.0</v>
      </c>
      <c r="D31" s="50">
        <v>0.0</v>
      </c>
      <c r="E31" s="50">
        <v>0.0</v>
      </c>
      <c r="F31" s="50">
        <v>0.0</v>
      </c>
      <c r="G31" s="50">
        <v>0.0</v>
      </c>
      <c r="I31" s="103" t="s">
        <v>209</v>
      </c>
      <c r="J31" s="64">
        <f t="shared" ref="J31:O31" si="12">SUM(J28:J30)</f>
        <v>104365.7309</v>
      </c>
      <c r="K31" s="64">
        <f t="shared" si="12"/>
        <v>73875.99939</v>
      </c>
      <c r="L31" s="64">
        <f t="shared" si="12"/>
        <v>4081.096275</v>
      </c>
      <c r="M31" s="64">
        <f t="shared" si="12"/>
        <v>4081.096275</v>
      </c>
      <c r="N31" s="64">
        <f t="shared" si="12"/>
        <v>4081.096275</v>
      </c>
      <c r="O31" s="64">
        <f t="shared" si="12"/>
        <v>190485.0192</v>
      </c>
    </row>
    <row r="32" ht="15.75" customHeight="1">
      <c r="B32" s="50" t="s">
        <v>111</v>
      </c>
      <c r="C32" s="50">
        <v>8000.0</v>
      </c>
      <c r="D32" s="50">
        <v>8000.0</v>
      </c>
      <c r="E32" s="50">
        <v>8000.0</v>
      </c>
      <c r="F32" s="50">
        <v>8000.0</v>
      </c>
      <c r="G32" s="50">
        <v>8000.0</v>
      </c>
      <c r="I32" s="103"/>
      <c r="J32" s="64"/>
      <c r="K32" s="64"/>
      <c r="L32" s="64"/>
      <c r="M32" s="64"/>
      <c r="N32" s="64"/>
      <c r="O32" s="64"/>
    </row>
    <row r="33" ht="15.75" customHeight="1">
      <c r="B33" s="50" t="s">
        <v>112</v>
      </c>
      <c r="C33" s="62">
        <v>138072.52738940134</v>
      </c>
      <c r="D33" s="62">
        <v>362808.47864156973</v>
      </c>
      <c r="E33" s="62">
        <v>822138.1450213543</v>
      </c>
      <c r="F33" s="62">
        <v>1470034.2315513892</v>
      </c>
      <c r="G33" s="62">
        <v>2362198.778923403</v>
      </c>
      <c r="I33" s="103" t="s">
        <v>210</v>
      </c>
      <c r="J33" s="64">
        <f t="shared" ref="J33:O33" si="13">SUM(J34:J35)</f>
        <v>146125.7941</v>
      </c>
      <c r="K33" s="64">
        <f t="shared" si="13"/>
        <v>221336.1873</v>
      </c>
      <c r="L33" s="64">
        <f t="shared" si="13"/>
        <v>347286.5002</v>
      </c>
      <c r="M33" s="64">
        <f t="shared" si="13"/>
        <v>488606.0581</v>
      </c>
      <c r="N33" s="64">
        <f t="shared" si="13"/>
        <v>673368.9728</v>
      </c>
      <c r="O33" s="64">
        <f t="shared" si="13"/>
        <v>1876723.512</v>
      </c>
    </row>
    <row r="34" ht="15.75" customHeight="1">
      <c r="B34" s="63" t="s">
        <v>113</v>
      </c>
      <c r="C34" s="74">
        <f t="shared" ref="C34:G34" si="14">SUM(C31:C33)</f>
        <v>146072.5274</v>
      </c>
      <c r="D34" s="74">
        <f t="shared" si="14"/>
        <v>370808.4786</v>
      </c>
      <c r="E34" s="74">
        <f t="shared" si="14"/>
        <v>830138.145</v>
      </c>
      <c r="F34" s="74">
        <f t="shared" si="14"/>
        <v>1478034.232</v>
      </c>
      <c r="G34" s="74">
        <f t="shared" si="14"/>
        <v>2370198.779</v>
      </c>
      <c r="I34" s="99" t="s">
        <v>211</v>
      </c>
      <c r="J34" s="155"/>
      <c r="K34" s="155"/>
      <c r="L34" s="155"/>
      <c r="M34" s="50"/>
      <c r="N34" s="50"/>
      <c r="O34" s="50">
        <f t="shared" ref="O34:O35" si="16">SUM(J34:N34)</f>
        <v>0</v>
      </c>
    </row>
    <row r="35" ht="15.75" customHeight="1">
      <c r="B35" s="63" t="s">
        <v>114</v>
      </c>
      <c r="C35" s="72">
        <f t="shared" ref="C35:G35" si="15">+C30+C34</f>
        <v>296772.5274</v>
      </c>
      <c r="D35" s="72">
        <f t="shared" si="15"/>
        <v>517905.4786</v>
      </c>
      <c r="E35" s="72">
        <f t="shared" si="15"/>
        <v>966701.0936</v>
      </c>
      <c r="F35" s="72">
        <f t="shared" si="15"/>
        <v>1600376.211</v>
      </c>
      <c r="G35" s="72">
        <f t="shared" si="15"/>
        <v>2473342.452</v>
      </c>
      <c r="I35" s="99" t="s">
        <v>217</v>
      </c>
      <c r="J35" s="50">
        <v>146125.79405213785</v>
      </c>
      <c r="K35" s="50">
        <v>221336.18726111797</v>
      </c>
      <c r="L35" s="50">
        <v>347286.50023472006</v>
      </c>
      <c r="M35" s="50">
        <v>488606.0581347202</v>
      </c>
      <c r="N35" s="50">
        <v>673368.9727722206</v>
      </c>
      <c r="O35" s="50">
        <f t="shared" si="16"/>
        <v>1876723.512</v>
      </c>
    </row>
    <row r="36" ht="15.75" customHeight="1">
      <c r="B36" s="50"/>
      <c r="C36" s="50"/>
      <c r="D36" s="50"/>
      <c r="E36" s="50"/>
      <c r="F36" s="50"/>
      <c r="G36" s="50"/>
      <c r="I36" s="99"/>
      <c r="J36" s="62"/>
      <c r="K36" s="62"/>
      <c r="L36" s="62"/>
      <c r="M36" s="62"/>
      <c r="N36" s="62"/>
      <c r="O36" s="62"/>
    </row>
    <row r="37" ht="15.75" customHeight="1">
      <c r="B37" s="50" t="s">
        <v>115</v>
      </c>
      <c r="C37" s="50">
        <v>0.0</v>
      </c>
      <c r="D37" s="50">
        <v>0.0</v>
      </c>
      <c r="E37" s="50">
        <v>0.0</v>
      </c>
      <c r="F37" s="50">
        <v>0.0</v>
      </c>
      <c r="G37" s="50">
        <v>0.0</v>
      </c>
      <c r="I37" s="103" t="s">
        <v>213</v>
      </c>
      <c r="J37" s="64">
        <f t="shared" ref="J37:O37" si="17">J25-J31-J33</f>
        <v>11262.22748</v>
      </c>
      <c r="K37" s="64">
        <f t="shared" si="17"/>
        <v>50109.82699</v>
      </c>
      <c r="L37" s="64">
        <f t="shared" si="17"/>
        <v>168792.0646</v>
      </c>
      <c r="M37" s="64">
        <f t="shared" si="17"/>
        <v>232109.1668</v>
      </c>
      <c r="N37" s="64">
        <f t="shared" si="17"/>
        <v>316328.1187</v>
      </c>
      <c r="O37" s="64">
        <f t="shared" si="17"/>
        <v>778601.4046</v>
      </c>
    </row>
    <row r="38" ht="15.75" customHeight="1">
      <c r="B38" s="50" t="s">
        <v>116</v>
      </c>
      <c r="C38" s="50">
        <v>33660.00000000001</v>
      </c>
      <c r="D38" s="50">
        <v>45441.00000000001</v>
      </c>
      <c r="E38" s="50">
        <v>58556.92500000002</v>
      </c>
      <c r="F38" s="50">
        <v>79051.84875000003</v>
      </c>
      <c r="G38" s="50">
        <v>106719.99581250006</v>
      </c>
      <c r="I38" s="103"/>
      <c r="J38" s="64"/>
      <c r="K38" s="64"/>
      <c r="L38" s="64"/>
      <c r="M38" s="64"/>
      <c r="N38" s="64"/>
      <c r="O38" s="64"/>
    </row>
    <row r="39" ht="15.75" customHeight="1">
      <c r="B39" s="50" t="s">
        <v>117</v>
      </c>
      <c r="C39" s="50">
        <v>6187.5</v>
      </c>
      <c r="D39" s="50">
        <v>7115.625</v>
      </c>
      <c r="E39" s="50">
        <v>8182.968749999999</v>
      </c>
      <c r="F39" s="50">
        <v>9819.562499999998</v>
      </c>
      <c r="G39" s="50">
        <v>12274.453124999998</v>
      </c>
      <c r="I39" s="103" t="s">
        <v>214</v>
      </c>
      <c r="J39" s="72">
        <f t="shared" ref="J39:O39" si="18">+J9+J37</f>
        <v>115707.8533</v>
      </c>
      <c r="K39" s="72">
        <f t="shared" si="18"/>
        <v>165817.6803</v>
      </c>
      <c r="L39" s="72">
        <f t="shared" si="18"/>
        <v>334609.745</v>
      </c>
      <c r="M39" s="72">
        <f t="shared" si="18"/>
        <v>566718.9118</v>
      </c>
      <c r="N39" s="72">
        <f t="shared" si="18"/>
        <v>883047.0305</v>
      </c>
      <c r="O39" s="72">
        <f t="shared" si="18"/>
        <v>883047.0305</v>
      </c>
      <c r="P39" s="156">
        <f>+N39-O39</f>
        <v>-0.0000000004656612873</v>
      </c>
    </row>
    <row r="40" ht="15.75" customHeight="1">
      <c r="B40" s="50" t="s">
        <v>118</v>
      </c>
      <c r="C40" s="62">
        <v>1793.8800000000003</v>
      </c>
      <c r="D40" s="62">
        <v>2221.317</v>
      </c>
      <c r="E40" s="62">
        <v>2725.5379500000004</v>
      </c>
      <c r="F40" s="62">
        <v>3511.565460000001</v>
      </c>
      <c r="G40" s="62">
        <v>4643.552053125001</v>
      </c>
    </row>
    <row r="41" ht="15.75" customHeight="1">
      <c r="B41" s="63" t="s">
        <v>119</v>
      </c>
      <c r="C41" s="76">
        <f t="shared" ref="C41:G41" si="19">SUM(C37:C40)</f>
        <v>41641.38</v>
      </c>
      <c r="D41" s="76">
        <f t="shared" si="19"/>
        <v>54777.942</v>
      </c>
      <c r="E41" s="76">
        <f t="shared" si="19"/>
        <v>69465.4317</v>
      </c>
      <c r="F41" s="76">
        <f t="shared" si="19"/>
        <v>92382.97671</v>
      </c>
      <c r="G41" s="76">
        <f t="shared" si="19"/>
        <v>123638.001</v>
      </c>
    </row>
    <row r="42" ht="15.75" customHeight="1">
      <c r="B42" s="63"/>
      <c r="C42" s="64"/>
      <c r="D42" s="64"/>
      <c r="E42" s="64"/>
      <c r="F42" s="64"/>
      <c r="G42" s="64"/>
    </row>
    <row r="43" ht="15.75" customHeight="1">
      <c r="B43" s="50" t="s">
        <v>120</v>
      </c>
      <c r="C43" s="50">
        <v>68673.84482422899</v>
      </c>
      <c r="D43" s="50">
        <v>0.0</v>
      </c>
      <c r="E43" s="50">
        <v>0.0</v>
      </c>
      <c r="F43" s="50">
        <v>0.0</v>
      </c>
      <c r="G43" s="50">
        <v>0.0</v>
      </c>
    </row>
    <row r="44" ht="15.75" customHeight="1">
      <c r="B44" s="63"/>
      <c r="C44" s="74"/>
      <c r="D44" s="74"/>
      <c r="E44" s="74"/>
      <c r="F44" s="74"/>
      <c r="G44" s="74"/>
    </row>
    <row r="45" ht="15.75" customHeight="1">
      <c r="B45" s="63" t="s">
        <v>121</v>
      </c>
      <c r="C45" s="64">
        <f t="shared" ref="C45:G45" si="20">SUM(C41:C44)</f>
        <v>110315.2248</v>
      </c>
      <c r="D45" s="64">
        <f t="shared" si="20"/>
        <v>54777.942</v>
      </c>
      <c r="E45" s="64">
        <f t="shared" si="20"/>
        <v>69465.4317</v>
      </c>
      <c r="F45" s="64">
        <f t="shared" si="20"/>
        <v>92382.97671</v>
      </c>
      <c r="G45" s="64">
        <f t="shared" si="20"/>
        <v>123638.001</v>
      </c>
    </row>
    <row r="46" ht="15.75" customHeight="1">
      <c r="B46" s="63"/>
      <c r="C46" s="64"/>
      <c r="D46" s="64"/>
      <c r="E46" s="64"/>
      <c r="F46" s="64"/>
      <c r="G46" s="64"/>
    </row>
    <row r="47" ht="15.75" customHeight="1">
      <c r="B47" s="50" t="s">
        <v>122</v>
      </c>
      <c r="C47" s="50">
        <v>3000.06</v>
      </c>
      <c r="D47" s="50">
        <v>3000.06</v>
      </c>
      <c r="E47" s="50">
        <v>3000.06</v>
      </c>
      <c r="F47" s="50">
        <v>3000.06</v>
      </c>
      <c r="G47" s="50">
        <v>3000.06</v>
      </c>
    </row>
    <row r="48" ht="15.75" customHeight="1">
      <c r="B48" s="50" t="s">
        <v>123</v>
      </c>
      <c r="C48" s="50">
        <v>800.0</v>
      </c>
      <c r="D48" s="50">
        <v>800.0</v>
      </c>
      <c r="E48" s="50">
        <v>800.0</v>
      </c>
      <c r="F48" s="50">
        <v>800.0</v>
      </c>
      <c r="G48" s="50">
        <v>800.0</v>
      </c>
    </row>
    <row r="49" ht="15.75" customHeight="1">
      <c r="B49" s="50" t="s">
        <v>124</v>
      </c>
      <c r="C49" s="50">
        <v>0.0</v>
      </c>
      <c r="D49" s="50">
        <v>182657.24256517232</v>
      </c>
      <c r="E49" s="50">
        <v>459327.47664156975</v>
      </c>
      <c r="F49" s="50">
        <v>893435.6019349698</v>
      </c>
      <c r="G49" s="50">
        <v>1504193.17460337</v>
      </c>
    </row>
    <row r="50" ht="15.75" customHeight="1">
      <c r="B50" s="50" t="s">
        <v>125</v>
      </c>
      <c r="C50" s="62">
        <v>182657.24256517232</v>
      </c>
      <c r="D50" s="62">
        <v>276670.23407639744</v>
      </c>
      <c r="E50" s="62">
        <v>434108.1252934</v>
      </c>
      <c r="F50" s="62">
        <v>610757.5726684002</v>
      </c>
      <c r="G50" s="62">
        <v>841711.2159652757</v>
      </c>
    </row>
    <row r="51" ht="15.75" customHeight="1">
      <c r="B51" s="63" t="s">
        <v>126</v>
      </c>
      <c r="C51" s="64">
        <f t="shared" ref="C51:G51" si="21">SUM(C47:C50)</f>
        <v>186457.3026</v>
      </c>
      <c r="D51" s="64">
        <f t="shared" si="21"/>
        <v>463127.5366</v>
      </c>
      <c r="E51" s="64">
        <f t="shared" si="21"/>
        <v>897235.6619</v>
      </c>
      <c r="F51" s="64">
        <f t="shared" si="21"/>
        <v>1507993.235</v>
      </c>
      <c r="G51" s="64">
        <f t="shared" si="21"/>
        <v>2349704.451</v>
      </c>
    </row>
    <row r="52" ht="15.75" customHeight="1">
      <c r="B52" s="63"/>
      <c r="C52" s="64"/>
      <c r="D52" s="64"/>
      <c r="E52" s="64"/>
      <c r="F52" s="64"/>
      <c r="G52" s="64"/>
    </row>
    <row r="53" ht="15.75" customHeight="1">
      <c r="B53" s="63" t="s">
        <v>127</v>
      </c>
      <c r="C53" s="72">
        <f t="shared" ref="C53:G53" si="22">+C51+C45</f>
        <v>296772.5274</v>
      </c>
      <c r="D53" s="72">
        <f t="shared" si="22"/>
        <v>517905.4786</v>
      </c>
      <c r="E53" s="72">
        <f t="shared" si="22"/>
        <v>966701.0936</v>
      </c>
      <c r="F53" s="72">
        <f t="shared" si="22"/>
        <v>1600376.211</v>
      </c>
      <c r="G53" s="72">
        <f t="shared" si="22"/>
        <v>2473342.452</v>
      </c>
    </row>
    <row r="54" ht="15.75" customHeight="1">
      <c r="B54" s="50"/>
      <c r="C54" s="77">
        <f t="shared" ref="C54:G54" si="23">+C53-C35</f>
        <v>0</v>
      </c>
      <c r="D54" s="77">
        <f t="shared" si="23"/>
        <v>0</v>
      </c>
      <c r="E54" s="77">
        <f t="shared" si="23"/>
        <v>0</v>
      </c>
      <c r="F54" s="77">
        <f t="shared" si="23"/>
        <v>0</v>
      </c>
      <c r="G54" s="77">
        <f t="shared" si="23"/>
        <v>0</v>
      </c>
    </row>
    <row r="55" ht="15.75" customHeight="1">
      <c r="B55" s="50"/>
      <c r="C55" s="77"/>
      <c r="D55" s="77"/>
      <c r="E55" s="77"/>
      <c r="F55" s="77"/>
      <c r="G55" s="77"/>
    </row>
    <row r="56" ht="15.75" customHeight="1">
      <c r="B56" s="53" t="s">
        <v>166</v>
      </c>
    </row>
    <row r="57" ht="15.75" customHeight="1">
      <c r="B57" s="53"/>
    </row>
    <row r="58" ht="15.75" customHeight="1">
      <c r="B58" s="157" t="s">
        <v>167</v>
      </c>
      <c r="C58" s="158">
        <f t="shared" ref="C58:G58" si="24">+C12/C9</f>
        <v>0.494</v>
      </c>
      <c r="D58" s="158">
        <f t="shared" si="24"/>
        <v>0.491</v>
      </c>
      <c r="E58" s="158">
        <f t="shared" si="24"/>
        <v>0.511</v>
      </c>
      <c r="F58" s="158">
        <f t="shared" si="24"/>
        <v>0.508</v>
      </c>
      <c r="G58" s="159">
        <f t="shared" si="24"/>
        <v>0.505</v>
      </c>
    </row>
    <row r="59" ht="15.75" customHeight="1">
      <c r="B59" s="160" t="s">
        <v>99</v>
      </c>
      <c r="C59" s="161">
        <f t="shared" ref="C59:G59" si="25">+C17/C9</f>
        <v>0.2737058824</v>
      </c>
      <c r="D59" s="161">
        <f t="shared" si="25"/>
        <v>0.3018605664</v>
      </c>
      <c r="E59" s="161">
        <f t="shared" si="25"/>
        <v>0.3483997418</v>
      </c>
      <c r="F59" s="161">
        <f t="shared" si="25"/>
        <v>0.362355326</v>
      </c>
      <c r="G59" s="162">
        <f t="shared" si="25"/>
        <v>0.3694030797</v>
      </c>
    </row>
    <row r="60" ht="15.75" customHeight="1">
      <c r="B60" s="163" t="s">
        <v>168</v>
      </c>
      <c r="C60" s="164">
        <f t="shared" ref="C60:G60" si="26">+C21/C9</f>
        <v>0.1989730311</v>
      </c>
      <c r="D60" s="164">
        <f t="shared" si="26"/>
        <v>0.2232471831</v>
      </c>
      <c r="E60" s="164">
        <f t="shared" si="26"/>
        <v>0.2594703254</v>
      </c>
      <c r="F60" s="164">
        <f t="shared" si="26"/>
        <v>0.2704113235</v>
      </c>
      <c r="G60" s="165">
        <f t="shared" si="26"/>
        <v>0.2760484793</v>
      </c>
    </row>
    <row r="61" ht="15.75" customHeight="1"/>
    <row r="62" ht="15.75" customHeight="1">
      <c r="B62" s="166" t="s">
        <v>176</v>
      </c>
      <c r="C62" s="167">
        <f t="shared" ref="C62:G62" si="27">+C34-C41</f>
        <v>104431.1474</v>
      </c>
      <c r="D62" s="167">
        <f t="shared" si="27"/>
        <v>316030.5366</v>
      </c>
      <c r="E62" s="167">
        <f t="shared" si="27"/>
        <v>760672.7133</v>
      </c>
      <c r="F62" s="167">
        <f t="shared" si="27"/>
        <v>1385651.255</v>
      </c>
      <c r="G62" s="168">
        <f t="shared" si="27"/>
        <v>2246560.778</v>
      </c>
    </row>
    <row r="63" ht="15.75" customHeight="1">
      <c r="B63" s="50"/>
      <c r="C63" s="50"/>
      <c r="D63" s="50"/>
      <c r="E63" s="50"/>
      <c r="F63" s="50"/>
      <c r="G63" s="50"/>
    </row>
    <row r="64" ht="15.75" customHeight="1">
      <c r="B64" s="129" t="s">
        <v>177</v>
      </c>
      <c r="C64" s="130"/>
      <c r="D64" s="130"/>
      <c r="E64" s="130"/>
      <c r="F64" s="130"/>
      <c r="G64" s="131"/>
    </row>
    <row r="65" ht="15.75" customHeight="1">
      <c r="B65" s="169" t="s">
        <v>178</v>
      </c>
      <c r="C65" s="170">
        <f t="shared" ref="C65:G65" si="28">+C34/C41</f>
        <v>3.507869513</v>
      </c>
      <c r="D65" s="170">
        <f t="shared" si="28"/>
        <v>6.769302845</v>
      </c>
      <c r="E65" s="170">
        <f t="shared" si="28"/>
        <v>11.95037769</v>
      </c>
      <c r="F65" s="170">
        <f t="shared" si="28"/>
        <v>15.99898904</v>
      </c>
      <c r="G65" s="170">
        <f t="shared" si="28"/>
        <v>19.17047154</v>
      </c>
    </row>
    <row r="66" ht="15.75" customHeight="1">
      <c r="B66" s="169" t="s">
        <v>179</v>
      </c>
      <c r="C66" s="170">
        <f t="shared" ref="C66:G66" si="29">(C34-C32)/C38</f>
        <v>4.101976452</v>
      </c>
      <c r="D66" s="170">
        <f t="shared" si="29"/>
        <v>7.984165812</v>
      </c>
      <c r="E66" s="170">
        <f t="shared" si="29"/>
        <v>14.03998152</v>
      </c>
      <c r="F66" s="170">
        <f t="shared" si="29"/>
        <v>18.59582356</v>
      </c>
      <c r="G66" s="170">
        <f t="shared" si="29"/>
        <v>22.13454715</v>
      </c>
    </row>
    <row r="67" ht="15.75" customHeight="1">
      <c r="B67" s="82"/>
      <c r="C67" s="137"/>
      <c r="D67" s="137"/>
      <c r="E67" s="137"/>
      <c r="F67" s="137"/>
      <c r="G67" s="137"/>
    </row>
    <row r="68" ht="15.75" customHeight="1">
      <c r="B68" s="129" t="s">
        <v>180</v>
      </c>
      <c r="C68" s="130"/>
      <c r="D68" s="130"/>
      <c r="E68" s="130"/>
      <c r="F68" s="130"/>
      <c r="G68" s="131"/>
    </row>
    <row r="69" ht="15.75" customHeight="1">
      <c r="B69" s="169" t="s">
        <v>181</v>
      </c>
      <c r="C69" s="170">
        <f t="shared" ref="C69:G69" si="30">+C45/C35</f>
        <v>0.3717164314</v>
      </c>
      <c r="D69" s="170">
        <f t="shared" si="30"/>
        <v>0.1057682227</v>
      </c>
      <c r="E69" s="170">
        <f t="shared" si="30"/>
        <v>0.07185823225</v>
      </c>
      <c r="F69" s="170">
        <f t="shared" si="30"/>
        <v>0.05772578726</v>
      </c>
      <c r="G69" s="170">
        <f t="shared" si="30"/>
        <v>0.04998822582</v>
      </c>
    </row>
    <row r="70" ht="15.75" customHeight="1">
      <c r="B70" s="169" t="s">
        <v>182</v>
      </c>
      <c r="C70" s="170">
        <f t="shared" ref="C70:G70" si="31">+C45/C51</f>
        <v>0.591637996</v>
      </c>
      <c r="D70" s="170">
        <f t="shared" si="31"/>
        <v>0.1182783092</v>
      </c>
      <c r="E70" s="170">
        <f t="shared" si="31"/>
        <v>0.07742161246</v>
      </c>
      <c r="F70" s="170">
        <f t="shared" si="31"/>
        <v>0.06126219574</v>
      </c>
      <c r="G70" s="170">
        <f t="shared" si="31"/>
        <v>0.05261853292</v>
      </c>
    </row>
    <row r="71" ht="15.75" customHeight="1">
      <c r="B71" s="169" t="s">
        <v>183</v>
      </c>
      <c r="C71" s="170">
        <f t="shared" ref="C71:G71" si="32">+C37/C51</f>
        <v>0</v>
      </c>
      <c r="D71" s="170">
        <f t="shared" si="32"/>
        <v>0</v>
      </c>
      <c r="E71" s="170">
        <f t="shared" si="32"/>
        <v>0</v>
      </c>
      <c r="F71" s="170">
        <f t="shared" si="32"/>
        <v>0</v>
      </c>
      <c r="G71" s="170">
        <f t="shared" si="32"/>
        <v>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64:G64"/>
    <mergeCell ref="B68:G68"/>
  </mergeCells>
  <printOptions/>
  <pageMargins bottom="0.42" footer="0.0" header="0.0" left="0.28" right="0.3" top="0.4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0.1" defaultRowHeight="15.0"/>
  <cols>
    <col customWidth="1" min="1" max="1" width="11.6"/>
    <col customWidth="1" min="2" max="3" width="25.0"/>
    <col customWidth="1" min="4" max="4" width="12.0"/>
    <col customWidth="1" min="5" max="5" width="4.0"/>
    <col customWidth="1" min="6" max="6" width="8.8"/>
    <col customWidth="1" min="7" max="7" width="14.9"/>
    <col customWidth="1" min="8" max="8" width="1.2"/>
    <col customWidth="1" min="9" max="9" width="8.7"/>
    <col customWidth="1" min="10" max="10" width="13.8"/>
    <col customWidth="1" min="11" max="11" width="6.9"/>
    <col customWidth="1" min="12" max="13" width="11.6"/>
    <col customWidth="1" min="14" max="26" width="10.5"/>
  </cols>
  <sheetData>
    <row r="1">
      <c r="A1" s="38"/>
      <c r="B1" s="38"/>
      <c r="C1" s="38"/>
      <c r="D1" s="38"/>
      <c r="E1" s="171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1" t="s">
        <v>0</v>
      </c>
      <c r="C2" s="38"/>
      <c r="D2" s="38"/>
      <c r="E2" s="17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7" t="s">
        <v>218</v>
      </c>
      <c r="C3" s="38"/>
      <c r="D3" s="38"/>
      <c r="E3" s="171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/>
      <c r="B4" s="7"/>
      <c r="C4" s="38"/>
      <c r="D4" s="38"/>
      <c r="E4" s="171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33.75" customHeight="1">
      <c r="A5" s="38"/>
      <c r="B5" s="172" t="s">
        <v>28</v>
      </c>
      <c r="C5" s="173" t="s">
        <v>219</v>
      </c>
      <c r="D5" s="173" t="s">
        <v>220</v>
      </c>
      <c r="E5" s="174" t="s">
        <v>221</v>
      </c>
      <c r="F5" s="175"/>
      <c r="G5" s="173" t="s">
        <v>222</v>
      </c>
      <c r="H5" s="38"/>
      <c r="I5" s="172" t="s">
        <v>223</v>
      </c>
      <c r="J5" s="173" t="s">
        <v>224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24.75" customHeight="1">
      <c r="A6" s="38"/>
      <c r="B6" s="176" t="s">
        <v>31</v>
      </c>
      <c r="C6" s="177" t="s">
        <v>225</v>
      </c>
      <c r="D6" s="177" t="s">
        <v>226</v>
      </c>
      <c r="E6" s="178" t="s">
        <v>227</v>
      </c>
      <c r="F6" s="179">
        <v>900000.0</v>
      </c>
      <c r="G6" s="177" t="s">
        <v>228</v>
      </c>
      <c r="H6" s="38"/>
      <c r="I6" s="180">
        <f>+'ANALISIS RESUMEN'!$C$9</f>
        <v>918000</v>
      </c>
      <c r="J6" s="181">
        <f t="shared" ref="J6:J15" si="1">I6/F6</f>
        <v>1.02</v>
      </c>
      <c r="K6" s="38"/>
      <c r="L6" s="38"/>
      <c r="M6" s="132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24.75" customHeight="1">
      <c r="A7" s="38"/>
      <c r="B7" s="182"/>
      <c r="C7" s="177" t="s">
        <v>229</v>
      </c>
      <c r="D7" s="177" t="s">
        <v>226</v>
      </c>
      <c r="E7" s="178" t="s">
        <v>227</v>
      </c>
      <c r="F7" s="183">
        <v>0.2</v>
      </c>
      <c r="G7" s="177" t="s">
        <v>230</v>
      </c>
      <c r="H7" s="38"/>
      <c r="I7" s="184">
        <f>+'ANALISIS RESUMEN'!$C$60</f>
        <v>0.1989730311</v>
      </c>
      <c r="J7" s="181">
        <f t="shared" si="1"/>
        <v>0.9948651556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24.75" customHeight="1">
      <c r="A8" s="38"/>
      <c r="B8" s="185"/>
      <c r="C8" s="177" t="s">
        <v>36</v>
      </c>
      <c r="D8" s="177" t="s">
        <v>226</v>
      </c>
      <c r="E8" s="178" t="s">
        <v>227</v>
      </c>
      <c r="F8" s="179">
        <v>250000.0</v>
      </c>
      <c r="G8" s="177" t="s">
        <v>228</v>
      </c>
      <c r="H8" s="38"/>
      <c r="I8" s="186">
        <v>250000.0</v>
      </c>
      <c r="J8" s="181">
        <f t="shared" si="1"/>
        <v>1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24.75" customHeight="1">
      <c r="A9" s="38"/>
      <c r="B9" s="187" t="s">
        <v>38</v>
      </c>
      <c r="C9" s="177" t="s">
        <v>231</v>
      </c>
      <c r="D9" s="177" t="s">
        <v>232</v>
      </c>
      <c r="E9" s="178" t="s">
        <v>227</v>
      </c>
      <c r="F9" s="188">
        <v>4.5</v>
      </c>
      <c r="G9" s="177" t="s">
        <v>233</v>
      </c>
      <c r="H9" s="38"/>
      <c r="I9" s="189">
        <v>4.6</v>
      </c>
      <c r="J9" s="181">
        <f t="shared" si="1"/>
        <v>1.022222222</v>
      </c>
      <c r="K9" s="38"/>
      <c r="L9" s="190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24.75" customHeight="1">
      <c r="A10" s="38"/>
      <c r="B10" s="182"/>
      <c r="C10" s="177" t="s">
        <v>234</v>
      </c>
      <c r="D10" s="177" t="s">
        <v>232</v>
      </c>
      <c r="E10" s="178" t="s">
        <v>227</v>
      </c>
      <c r="F10" s="179">
        <v>300.0</v>
      </c>
      <c r="G10" s="177" t="s">
        <v>235</v>
      </c>
      <c r="H10" s="38"/>
      <c r="I10" s="191">
        <v>265.0</v>
      </c>
      <c r="J10" s="181">
        <f t="shared" si="1"/>
        <v>0.8833333333</v>
      </c>
      <c r="K10" s="38"/>
      <c r="L10" s="192"/>
      <c r="M10" s="132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24.75" customHeight="1">
      <c r="A11" s="38"/>
      <c r="B11" s="193"/>
      <c r="C11" s="177" t="s">
        <v>236</v>
      </c>
      <c r="D11" s="177" t="s">
        <v>232</v>
      </c>
      <c r="E11" s="178" t="s">
        <v>227</v>
      </c>
      <c r="F11" s="179">
        <v>2000.0</v>
      </c>
      <c r="G11" s="177" t="s">
        <v>237</v>
      </c>
      <c r="H11" s="38"/>
      <c r="I11" s="191">
        <v>1300.0</v>
      </c>
      <c r="J11" s="181">
        <f t="shared" si="1"/>
        <v>0.65</v>
      </c>
      <c r="K11" s="38"/>
      <c r="L11" s="192"/>
      <c r="M11" s="132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24.75" customHeight="1">
      <c r="A12" s="38"/>
      <c r="B12" s="194" t="s">
        <v>45</v>
      </c>
      <c r="C12" s="177" t="s">
        <v>46</v>
      </c>
      <c r="D12" s="177" t="s">
        <v>232</v>
      </c>
      <c r="E12" s="178" t="s">
        <v>238</v>
      </c>
      <c r="F12" s="179">
        <v>4200.0</v>
      </c>
      <c r="G12" s="177" t="s">
        <v>239</v>
      </c>
      <c r="H12" s="38"/>
      <c r="I12" s="191">
        <v>15.0</v>
      </c>
      <c r="J12" s="181">
        <f t="shared" si="1"/>
        <v>0.003571428571</v>
      </c>
      <c r="K12" s="38"/>
      <c r="L12" s="192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30.0" customHeight="1">
      <c r="A13" s="38"/>
      <c r="B13" s="193"/>
      <c r="C13" s="177" t="s">
        <v>240</v>
      </c>
      <c r="D13" s="177" t="s">
        <v>232</v>
      </c>
      <c r="E13" s="178" t="s">
        <v>238</v>
      </c>
      <c r="F13" s="179">
        <v>15.0</v>
      </c>
      <c r="G13" s="177" t="s">
        <v>241</v>
      </c>
      <c r="H13" s="38"/>
      <c r="I13" s="191">
        <v>45.0</v>
      </c>
      <c r="J13" s="181">
        <f t="shared" si="1"/>
        <v>3</v>
      </c>
      <c r="K13" s="38"/>
      <c r="L13" s="192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24.75" customHeight="1">
      <c r="A14" s="38"/>
      <c r="B14" s="195" t="s">
        <v>50</v>
      </c>
      <c r="C14" s="177" t="s">
        <v>242</v>
      </c>
      <c r="D14" s="177" t="s">
        <v>232</v>
      </c>
      <c r="E14" s="178" t="s">
        <v>243</v>
      </c>
      <c r="F14" s="183">
        <v>1.0</v>
      </c>
      <c r="G14" s="177" t="s">
        <v>244</v>
      </c>
      <c r="H14" s="38"/>
      <c r="I14" s="196">
        <v>0.9</v>
      </c>
      <c r="J14" s="181">
        <f t="shared" si="1"/>
        <v>0.9</v>
      </c>
      <c r="K14" s="38"/>
      <c r="L14" s="19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185"/>
      <c r="C15" s="177" t="s">
        <v>245</v>
      </c>
      <c r="D15" s="177" t="s">
        <v>232</v>
      </c>
      <c r="E15" s="178" t="s">
        <v>243</v>
      </c>
      <c r="F15" s="183">
        <v>1.0</v>
      </c>
      <c r="G15" s="177" t="s">
        <v>244</v>
      </c>
      <c r="H15" s="38"/>
      <c r="I15" s="196">
        <v>1.0</v>
      </c>
      <c r="J15" s="181">
        <f t="shared" si="1"/>
        <v>1</v>
      </c>
      <c r="K15" s="38"/>
      <c r="L15" s="19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38"/>
      <c r="C16" s="38"/>
      <c r="D16" s="38"/>
      <c r="E16" s="17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38"/>
      <c r="C17" s="38"/>
      <c r="D17" s="38"/>
      <c r="E17" s="171"/>
      <c r="F17" s="38"/>
      <c r="G17" s="198" t="s">
        <v>246</v>
      </c>
      <c r="H17" s="199"/>
      <c r="I17" s="199"/>
      <c r="J17" s="200">
        <f>AVERAGE(J6:J16)</f>
        <v>1.047399214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17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17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17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/>
      <c r="B21" s="38"/>
      <c r="C21" s="38"/>
      <c r="D21" s="38"/>
      <c r="E21" s="17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/>
      <c r="B22" s="38"/>
      <c r="C22" s="38"/>
      <c r="D22" s="38"/>
      <c r="E22" s="17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/>
      <c r="B23" s="38"/>
      <c r="C23" s="38"/>
      <c r="D23" s="38"/>
      <c r="E23" s="17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/>
      <c r="B24" s="38"/>
      <c r="C24" s="38"/>
      <c r="D24" s="38"/>
      <c r="E24" s="17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/>
      <c r="B25" s="38"/>
      <c r="C25" s="38"/>
      <c r="D25" s="38"/>
      <c r="E25" s="171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/>
      <c r="B26" s="38"/>
      <c r="C26" s="38"/>
      <c r="D26" s="38"/>
      <c r="E26" s="171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/>
      <c r="B27" s="38"/>
      <c r="C27" s="38"/>
      <c r="D27" s="38"/>
      <c r="E27" s="171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/>
      <c r="B28" s="38"/>
      <c r="C28" s="38"/>
      <c r="D28" s="38"/>
      <c r="E28" s="171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/>
      <c r="B29" s="38"/>
      <c r="C29" s="38"/>
      <c r="D29" s="38"/>
      <c r="E29" s="171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/>
      <c r="B30" s="38"/>
      <c r="C30" s="38"/>
      <c r="D30" s="38"/>
      <c r="E30" s="171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/>
      <c r="B31" s="38"/>
      <c r="C31" s="38"/>
      <c r="D31" s="38"/>
      <c r="E31" s="171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/>
      <c r="B32" s="38"/>
      <c r="C32" s="38"/>
      <c r="D32" s="38"/>
      <c r="E32" s="171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/>
      <c r="B33" s="38"/>
      <c r="C33" s="38"/>
      <c r="D33" s="38"/>
      <c r="E33" s="171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/>
      <c r="B34" s="38"/>
      <c r="C34" s="38"/>
      <c r="D34" s="38"/>
      <c r="E34" s="171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/>
      <c r="B35" s="38"/>
      <c r="C35" s="38"/>
      <c r="D35" s="38"/>
      <c r="E35" s="171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/>
      <c r="B36" s="38"/>
      <c r="C36" s="38"/>
      <c r="D36" s="38"/>
      <c r="E36" s="171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/>
      <c r="B37" s="38"/>
      <c r="C37" s="38"/>
      <c r="D37" s="38"/>
      <c r="E37" s="171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/>
      <c r="B38" s="38"/>
      <c r="C38" s="38"/>
      <c r="D38" s="38"/>
      <c r="E38" s="171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/>
      <c r="B39" s="38"/>
      <c r="C39" s="38"/>
      <c r="D39" s="38"/>
      <c r="E39" s="171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/>
      <c r="B40" s="38"/>
      <c r="C40" s="38"/>
      <c r="D40" s="38"/>
      <c r="E40" s="171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/>
      <c r="B41" s="38"/>
      <c r="C41" s="38"/>
      <c r="D41" s="38"/>
      <c r="E41" s="171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/>
      <c r="B42" s="38"/>
      <c r="C42" s="38"/>
      <c r="D42" s="38"/>
      <c r="E42" s="171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/>
      <c r="B43" s="38"/>
      <c r="C43" s="38"/>
      <c r="D43" s="38"/>
      <c r="E43" s="171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8"/>
      <c r="C44" s="38"/>
      <c r="D44" s="38"/>
      <c r="E44" s="171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38"/>
      <c r="C45" s="38"/>
      <c r="D45" s="38"/>
      <c r="E45" s="171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38"/>
      <c r="C46" s="38"/>
      <c r="D46" s="38"/>
      <c r="E46" s="171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38"/>
      <c r="E47" s="171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38"/>
      <c r="E48" s="171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38"/>
      <c r="E49" s="171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38"/>
      <c r="E50" s="171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38"/>
      <c r="E51" s="171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38"/>
      <c r="E52" s="171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38"/>
      <c r="E53" s="171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8"/>
      <c r="E54" s="171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8"/>
      <c r="E55" s="171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38"/>
      <c r="E56" s="171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38"/>
      <c r="E57" s="171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38"/>
      <c r="E58" s="171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38"/>
      <c r="E59" s="171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38"/>
      <c r="E60" s="171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38"/>
      <c r="E61" s="171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38"/>
      <c r="E62" s="171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38"/>
      <c r="E63" s="171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38"/>
      <c r="E64" s="171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38"/>
      <c r="E65" s="171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38"/>
      <c r="E66" s="171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38"/>
      <c r="E67" s="171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38"/>
      <c r="E68" s="171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38"/>
      <c r="E69" s="171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38"/>
      <c r="E70" s="171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38"/>
      <c r="E71" s="171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38"/>
      <c r="E72" s="171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38"/>
      <c r="E73" s="171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38"/>
      <c r="E74" s="171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38"/>
      <c r="E75" s="171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38"/>
      <c r="E76" s="171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38"/>
      <c r="E77" s="171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38"/>
      <c r="E78" s="171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38"/>
      <c r="E79" s="171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38"/>
      <c r="E80" s="171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38"/>
      <c r="E81" s="171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38"/>
      <c r="E82" s="171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38"/>
      <c r="E83" s="171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8"/>
      <c r="E84" s="171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8"/>
      <c r="E85" s="171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8"/>
      <c r="E86" s="171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8"/>
      <c r="E87" s="17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8"/>
      <c r="E88" s="17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8"/>
      <c r="E89" s="171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8"/>
      <c r="E90" s="171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8"/>
      <c r="E91" s="17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8"/>
      <c r="E92" s="17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8"/>
      <c r="E93" s="17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8"/>
      <c r="E94" s="171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8"/>
      <c r="E95" s="171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8"/>
      <c r="E96" s="171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8"/>
      <c r="E97" s="171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8"/>
      <c r="E98" s="171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8"/>
      <c r="E99" s="171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8"/>
      <c r="E100" s="171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8"/>
      <c r="E101" s="171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8"/>
      <c r="E102" s="171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8"/>
      <c r="E103" s="171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8"/>
      <c r="E104" s="171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8"/>
      <c r="E105" s="171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171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171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171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8"/>
      <c r="E109" s="171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8"/>
      <c r="E110" s="171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8"/>
      <c r="E111" s="171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8"/>
      <c r="E112" s="171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8"/>
      <c r="E113" s="171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8"/>
      <c r="E114" s="171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8"/>
      <c r="E115" s="171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8"/>
      <c r="E116" s="171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8"/>
      <c r="E117" s="171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8"/>
      <c r="E118" s="171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8"/>
      <c r="E119" s="171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8"/>
      <c r="E120" s="171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8"/>
      <c r="E121" s="171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8"/>
      <c r="E122" s="171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8"/>
      <c r="E123" s="171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8"/>
      <c r="E124" s="171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8"/>
      <c r="E125" s="171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8"/>
      <c r="E126" s="171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8"/>
      <c r="E127" s="171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8"/>
      <c r="E128" s="171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8"/>
      <c r="E129" s="171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8"/>
      <c r="E130" s="171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8"/>
      <c r="E131" s="171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8"/>
      <c r="E132" s="171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8"/>
      <c r="E133" s="171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8"/>
      <c r="E134" s="171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8"/>
      <c r="E135" s="171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8"/>
      <c r="E136" s="171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8"/>
      <c r="E137" s="171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8"/>
      <c r="E138" s="171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8"/>
      <c r="E139" s="171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8"/>
      <c r="E140" s="171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8"/>
      <c r="E141" s="171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8"/>
      <c r="E142" s="171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8"/>
      <c r="E143" s="171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8"/>
      <c r="E144" s="171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8"/>
      <c r="E145" s="171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8"/>
      <c r="E146" s="171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8"/>
      <c r="E147" s="171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8"/>
      <c r="E148" s="171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8"/>
      <c r="E149" s="171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171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171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171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171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171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171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171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171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171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171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171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171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171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171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171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171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171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171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171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171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171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171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171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171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171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171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171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171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171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171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171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171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171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171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171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171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171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171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171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171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171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171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171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171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171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171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171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171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171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171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171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171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171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171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171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171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171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171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171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171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171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171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171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171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171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171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171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171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171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171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171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171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171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171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171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171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171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171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171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171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171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171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171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171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171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171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171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171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171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171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171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171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171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171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171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171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171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171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171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171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171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171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171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171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171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171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171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171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171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171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171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171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171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171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171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171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171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171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171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171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171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171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171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171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171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171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171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171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171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17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171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171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171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171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171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171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171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171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171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171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171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171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171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171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171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171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171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171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171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171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171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171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171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171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171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8"/>
      <c r="E305" s="171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8"/>
      <c r="E306" s="171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8"/>
      <c r="E307" s="17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171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171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171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171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171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171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171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171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171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171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171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171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171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171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171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171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171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171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171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171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171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171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171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171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171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171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171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171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171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171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171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171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171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171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171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171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171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171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171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171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171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171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171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171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171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171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171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171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171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171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171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171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171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171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171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171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171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171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171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171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171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171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171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171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171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171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171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171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171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171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171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171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171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171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171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171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171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171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171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171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171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171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171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171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171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171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171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171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171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171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171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171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171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171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171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171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171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171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171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171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171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171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171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171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171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171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171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171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171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171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171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171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171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171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171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171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171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171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171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171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171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171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171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171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171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171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171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171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171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171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171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171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171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171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171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171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171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171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171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171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171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171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171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171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171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171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171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171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171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171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171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171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171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171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171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171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171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171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171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171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171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171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171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171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171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171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171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171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171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171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171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171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171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171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171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171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171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171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171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171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171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171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171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171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171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171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171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171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171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171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171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171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171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171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171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171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171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171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171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171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171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171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171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171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171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171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171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171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171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171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171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171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171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171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171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171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171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171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171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171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171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171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171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171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171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171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171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171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171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171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171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171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171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171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171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171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171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171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171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171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171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171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171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171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171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171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171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171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171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171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171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171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171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171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171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171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171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171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171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171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171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171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171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171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171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171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171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171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171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171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171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171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171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171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171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171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171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171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171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171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171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171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171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171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171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171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171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171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171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171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171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171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171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171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171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171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171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171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171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171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171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171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171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171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171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171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171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171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171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171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171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171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171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171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171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171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171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171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171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171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171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171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171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171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171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171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171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171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171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171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171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171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171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171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171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171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171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171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171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171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171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171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171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171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171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171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171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171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171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171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171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171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171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171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171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171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171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171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171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171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171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171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171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171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171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171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171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171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171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171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171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171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171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171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171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171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171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171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171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171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171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171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171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171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171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171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171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171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171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171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171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171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171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171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171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171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171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171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171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171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171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171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171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171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171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171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171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171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171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171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171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171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171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171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171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171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171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171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171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171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171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171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171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171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171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171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171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171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171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171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171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171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171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171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171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171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171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171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171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171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171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171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171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171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171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171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171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171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171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171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171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171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171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171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171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171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171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171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171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171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171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171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171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171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171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171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171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171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171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171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171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171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171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171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171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171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171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171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171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171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171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171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171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171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171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171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171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171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171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171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171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171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171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171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171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171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171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171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171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171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171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171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171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171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171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171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171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171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171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171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171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171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171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171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171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171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171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171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171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171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171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171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171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171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171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171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171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171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171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171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171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171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171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171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171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171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171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171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171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171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171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171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171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171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171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171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171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171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171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171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171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171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171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171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171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171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171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171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171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171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171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171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171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171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171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171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171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171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171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171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171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171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171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171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171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171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171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171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171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171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171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171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171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171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171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171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171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171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171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171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171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171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171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171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171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171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171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171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171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171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171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171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171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171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171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171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171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171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171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171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171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171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171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171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171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171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171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171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171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171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171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171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171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171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171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171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171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171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171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171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171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171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171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171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171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171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171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171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171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171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171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171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171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171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171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171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171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171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171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171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171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171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171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171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171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171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171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171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171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171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171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171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171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171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171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171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171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171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171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171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171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171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171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171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171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171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171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171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171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171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171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171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171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171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171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171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171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171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171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171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171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171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171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6">
    <mergeCell ref="E5:F5"/>
    <mergeCell ref="B6:B8"/>
    <mergeCell ref="B9:B11"/>
    <mergeCell ref="B12:B13"/>
    <mergeCell ref="B14:B15"/>
    <mergeCell ref="G17:I17"/>
  </mergeCells>
  <printOptions/>
  <pageMargins bottom="0.75" footer="0.0" header="0.0" left="0.7" right="0.7" top="0.75"/>
  <pageSetup orientation="portrait"/>
  <drawing r:id="rId1"/>
</worksheet>
</file>