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ull\Documents\Misc\ML2ndEdition\Second edition Online Files\Salary vs Age Example (Chs 1, 3, 6)\"/>
    </mc:Choice>
  </mc:AlternateContent>
  <bookViews>
    <workbookView xWindow="0" yWindow="0" windowWidth="21570" windowHeight="8805"/>
  </bookViews>
  <sheets>
    <sheet name="Analysis of Training Set (Ch1)" sheetId="1" r:id="rId1"/>
    <sheet name="Fit to Validation Set (Ch1)" sheetId="2" r:id="rId2"/>
    <sheet name="Test Set Errors (Ch1)" sheetId="7" r:id="rId3"/>
    <sheet name="Ridge Regression results (Ch3)" sheetId="3" r:id="rId4"/>
    <sheet name="Lasso regression Results (Ch3)" sheetId="4" r:id="rId5"/>
    <sheet name="Elastic Net results (Ch3)" sheetId="5" r:id="rId6"/>
    <sheet name="Gradient Descent Tables (Ch6)" sheetId="6" r:id="rId7"/>
  </sheets>
  <definedNames>
    <definedName name="solver_adj" localSheetId="5" hidden="1">'Elastic Net results (Ch3)'!$J$3:$O$3</definedName>
    <definedName name="solver_adj" localSheetId="4" hidden="1">'Lasso regression Results (Ch3)'!$J$3:$O$3</definedName>
    <definedName name="solver_adj" localSheetId="3" hidden="1">'Ridge Regression results (Ch3)'!$J$3:$O$3</definedName>
    <definedName name="solver_cvg" localSheetId="5" hidden="1">0.0001</definedName>
    <definedName name="solver_cvg" localSheetId="4" hidden="1">0.0001</definedName>
    <definedName name="solver_cvg" localSheetId="3" hidden="1">0.0001</definedName>
    <definedName name="solver_drv" localSheetId="5" hidden="1">1</definedName>
    <definedName name="solver_drv" localSheetId="4" hidden="1">1</definedName>
    <definedName name="solver_drv" localSheetId="3" hidden="1">1</definedName>
    <definedName name="solver_eng" localSheetId="5" hidden="1">1</definedName>
    <definedName name="solver_eng" localSheetId="4" hidden="1">1</definedName>
    <definedName name="solver_eng" localSheetId="3" hidden="1">1</definedName>
    <definedName name="solver_est" localSheetId="5" hidden="1">1</definedName>
    <definedName name="solver_est" localSheetId="4" hidden="1">1</definedName>
    <definedName name="solver_est" localSheetId="3" hidden="1">1</definedName>
    <definedName name="solver_itr" localSheetId="5" hidden="1">2147483647</definedName>
    <definedName name="solver_itr" localSheetId="4" hidden="1">2147483647</definedName>
    <definedName name="solver_itr" localSheetId="3" hidden="1">2147483647</definedName>
    <definedName name="solver_mip" localSheetId="5" hidden="1">2147483647</definedName>
    <definedName name="solver_mip" localSheetId="4" hidden="1">2147483647</definedName>
    <definedName name="solver_mip" localSheetId="3" hidden="1">2147483647</definedName>
    <definedName name="solver_mni" localSheetId="5" hidden="1">30</definedName>
    <definedName name="solver_mni" localSheetId="4" hidden="1">30</definedName>
    <definedName name="solver_mni" localSheetId="3" hidden="1">30</definedName>
    <definedName name="solver_mrt" localSheetId="5" hidden="1">0.075</definedName>
    <definedName name="solver_mrt" localSheetId="4" hidden="1">0.075</definedName>
    <definedName name="solver_mrt" localSheetId="3" hidden="1">0.075</definedName>
    <definedName name="solver_msl" localSheetId="5" hidden="1">2</definedName>
    <definedName name="solver_msl" localSheetId="4" hidden="1">2</definedName>
    <definedName name="solver_msl" localSheetId="3" hidden="1">2</definedName>
    <definedName name="solver_neg" localSheetId="5" hidden="1">2</definedName>
    <definedName name="solver_neg" localSheetId="4" hidden="1">2</definedName>
    <definedName name="solver_neg" localSheetId="3" hidden="1">2</definedName>
    <definedName name="solver_nod" localSheetId="5" hidden="1">2147483647</definedName>
    <definedName name="solver_nod" localSheetId="4" hidden="1">2147483647</definedName>
    <definedName name="solver_nod" localSheetId="3" hidden="1">2147483647</definedName>
    <definedName name="solver_num" localSheetId="5" hidden="1">0</definedName>
    <definedName name="solver_num" localSheetId="4" hidden="1">0</definedName>
    <definedName name="solver_num" localSheetId="3" hidden="1">0</definedName>
    <definedName name="solver_nwt" localSheetId="5" hidden="1">1</definedName>
    <definedName name="solver_nwt" localSheetId="4" hidden="1">1</definedName>
    <definedName name="solver_nwt" localSheetId="3" hidden="1">1</definedName>
    <definedName name="solver_opt" localSheetId="5" hidden="1">'Elastic Net results (Ch3)'!$S$17</definedName>
    <definedName name="solver_opt" localSheetId="4" hidden="1">'Lasso regression Results (Ch3)'!$S$17</definedName>
    <definedName name="solver_opt" localSheetId="3" hidden="1">'Ridge Regression results (Ch3)'!$S$16</definedName>
    <definedName name="solver_pre" localSheetId="5" hidden="1">0.000001</definedName>
    <definedName name="solver_pre" localSheetId="4" hidden="1">0.000001</definedName>
    <definedName name="solver_pre" localSheetId="3" hidden="1">0.000001</definedName>
    <definedName name="solver_rbv" localSheetId="5" hidden="1">1</definedName>
    <definedName name="solver_rbv" localSheetId="4" hidden="1">1</definedName>
    <definedName name="solver_rbv" localSheetId="3" hidden="1">1</definedName>
    <definedName name="solver_rlx" localSheetId="5" hidden="1">2</definedName>
    <definedName name="solver_rlx" localSheetId="4" hidden="1">2</definedName>
    <definedName name="solver_rlx" localSheetId="3" hidden="1">2</definedName>
    <definedName name="solver_rsd" localSheetId="5" hidden="1">0</definedName>
    <definedName name="solver_rsd" localSheetId="4" hidden="1">0</definedName>
    <definedName name="solver_rsd" localSheetId="3" hidden="1">0</definedName>
    <definedName name="solver_scl" localSheetId="5" hidden="1">1</definedName>
    <definedName name="solver_scl" localSheetId="4" hidden="1">1</definedName>
    <definedName name="solver_scl" localSheetId="3" hidden="1">1</definedName>
    <definedName name="solver_sho" localSheetId="5" hidden="1">2</definedName>
    <definedName name="solver_sho" localSheetId="4" hidden="1">2</definedName>
    <definedName name="solver_sho" localSheetId="3" hidden="1">2</definedName>
    <definedName name="solver_ssz" localSheetId="5" hidden="1">100</definedName>
    <definedName name="solver_ssz" localSheetId="4" hidden="1">100</definedName>
    <definedName name="solver_ssz" localSheetId="3" hidden="1">100</definedName>
    <definedName name="solver_tim" localSheetId="5" hidden="1">2147483647</definedName>
    <definedName name="solver_tim" localSheetId="4" hidden="1">2147483647</definedName>
    <definedName name="solver_tim" localSheetId="3" hidden="1">2147483647</definedName>
    <definedName name="solver_tol" localSheetId="5" hidden="1">0.01</definedName>
    <definedName name="solver_tol" localSheetId="4" hidden="1">0</definedName>
    <definedName name="solver_tol" localSheetId="3" hidden="1">0.01</definedName>
    <definedName name="solver_typ" localSheetId="5" hidden="1">2</definedName>
    <definedName name="solver_typ" localSheetId="4" hidden="1">2</definedName>
    <definedName name="solver_typ" localSheetId="3" hidden="1">2</definedName>
    <definedName name="solver_val" localSheetId="5" hidden="1">0</definedName>
    <definedName name="solver_val" localSheetId="4" hidden="1">0</definedName>
    <definedName name="solver_val" localSheetId="3" hidden="1">0</definedName>
    <definedName name="solver_ver" localSheetId="5" hidden="1">3</definedName>
    <definedName name="solver_ver" localSheetId="4" hidden="1">3</definedName>
    <definedName name="solver_ver" localSheetId="3"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4" l="1"/>
  <c r="J7" i="4"/>
  <c r="J8" i="4"/>
  <c r="J9" i="4"/>
  <c r="J10" i="4"/>
  <c r="J11" i="4"/>
  <c r="J12" i="4"/>
  <c r="J13" i="4"/>
  <c r="J14" i="4"/>
  <c r="J5" i="4"/>
  <c r="J6" i="5"/>
  <c r="J7" i="5"/>
  <c r="J8" i="5"/>
  <c r="J9" i="5"/>
  <c r="J10" i="5"/>
  <c r="J11" i="5"/>
  <c r="J12" i="5"/>
  <c r="J13" i="5"/>
  <c r="J14" i="5"/>
  <c r="J5" i="5"/>
  <c r="F15" i="7" l="1"/>
  <c r="F10" i="7"/>
  <c r="F11" i="7"/>
  <c r="F12" i="7"/>
  <c r="D4" i="7"/>
  <c r="F4" i="7" s="1"/>
  <c r="D5" i="7"/>
  <c r="F5" i="7" s="1"/>
  <c r="D6" i="7"/>
  <c r="F6" i="7" s="1"/>
  <c r="D7" i="7"/>
  <c r="F7" i="7" s="1"/>
  <c r="D8" i="7"/>
  <c r="F8" i="7" s="1"/>
  <c r="D9" i="7"/>
  <c r="F9" i="7" s="1"/>
  <c r="D10" i="7"/>
  <c r="D11" i="7"/>
  <c r="D12" i="7"/>
  <c r="D3" i="7"/>
  <c r="F3" i="7" s="1"/>
  <c r="J5" i="3" l="1"/>
  <c r="J6" i="3"/>
  <c r="J7" i="3"/>
  <c r="J8" i="3"/>
  <c r="J9" i="3"/>
  <c r="J10" i="3"/>
  <c r="J11" i="3"/>
  <c r="J12" i="3"/>
  <c r="J13" i="3"/>
  <c r="J4" i="3"/>
  <c r="H6" i="6" l="1"/>
  <c r="H5" i="6"/>
  <c r="J4" i="6"/>
  <c r="F14" i="6" l="1"/>
  <c r="F4" i="6"/>
  <c r="F5" i="6"/>
  <c r="F6" i="6"/>
  <c r="F7" i="6"/>
  <c r="F8" i="6"/>
  <c r="F9" i="6"/>
  <c r="F10" i="6"/>
  <c r="F11" i="6"/>
  <c r="F12" i="6"/>
  <c r="F3" i="6"/>
  <c r="E4" i="6"/>
  <c r="E5" i="6"/>
  <c r="E6" i="6"/>
  <c r="E7" i="6"/>
  <c r="E8" i="6"/>
  <c r="E9" i="6"/>
  <c r="E10" i="6"/>
  <c r="E11" i="6"/>
  <c r="E12" i="6"/>
  <c r="E3" i="6"/>
  <c r="D4" i="6"/>
  <c r="D5" i="6"/>
  <c r="D6" i="6"/>
  <c r="D7" i="6"/>
  <c r="D8" i="6"/>
  <c r="D9" i="6"/>
  <c r="D10" i="6"/>
  <c r="D11" i="6"/>
  <c r="D12" i="6"/>
  <c r="D3" i="6"/>
  <c r="O11" i="6" l="1"/>
  <c r="O8" i="6"/>
  <c r="O7" i="6"/>
  <c r="O6" i="6"/>
  <c r="O4" i="6"/>
  <c r="E14" i="6"/>
  <c r="D14" i="6"/>
  <c r="O9" i="6" s="1"/>
  <c r="O10" i="6" l="1"/>
  <c r="O12" i="6"/>
  <c r="I4" i="6"/>
  <c r="O5" i="6"/>
  <c r="I5" i="6" l="1"/>
  <c r="J5" i="6" l="1"/>
  <c r="I6" i="6" s="1"/>
  <c r="J6" i="6" s="1"/>
  <c r="H7" i="6" l="1"/>
  <c r="I7" i="6" l="1"/>
  <c r="J7" i="6" s="1"/>
  <c r="H8" i="6" l="1"/>
  <c r="I8" i="6" l="1"/>
  <c r="J8" i="6" s="1"/>
  <c r="H9" i="6" l="1"/>
  <c r="I9" i="6" l="1"/>
  <c r="J9" i="6" s="1"/>
  <c r="H10" i="6" l="1"/>
  <c r="I10" i="6" l="1"/>
  <c r="J10" i="6" s="1"/>
  <c r="H11" i="6" s="1"/>
  <c r="I11" i="6" l="1"/>
  <c r="J11" i="6" s="1"/>
  <c r="H12" i="6" l="1"/>
  <c r="I12" i="6" l="1"/>
  <c r="J12" i="6" s="1"/>
  <c r="H13" i="6" l="1"/>
  <c r="I13" i="6" l="1"/>
  <c r="J13" i="6" s="1"/>
  <c r="G17" i="5"/>
  <c r="G24" i="5" s="1"/>
  <c r="O7" i="5" s="1"/>
  <c r="F17" i="5"/>
  <c r="F29" i="5" s="1"/>
  <c r="N12" i="5" s="1"/>
  <c r="E17" i="5"/>
  <c r="E24" i="5" s="1"/>
  <c r="M7" i="5" s="1"/>
  <c r="D17" i="5"/>
  <c r="D29" i="5" s="1"/>
  <c r="L12" i="5" s="1"/>
  <c r="C17" i="5"/>
  <c r="C24" i="5" s="1"/>
  <c r="K7" i="5" s="1"/>
  <c r="G16" i="5"/>
  <c r="G28" i="5" s="1"/>
  <c r="O11" i="5" s="1"/>
  <c r="F16" i="5"/>
  <c r="E16" i="5"/>
  <c r="D16" i="5"/>
  <c r="D27" i="5" s="1"/>
  <c r="L10" i="5" s="1"/>
  <c r="C16" i="5"/>
  <c r="R14" i="5"/>
  <c r="R13" i="5"/>
  <c r="R12" i="5"/>
  <c r="R11" i="5"/>
  <c r="R10" i="5"/>
  <c r="R9" i="5"/>
  <c r="R8" i="5"/>
  <c r="R7" i="5"/>
  <c r="R6" i="5"/>
  <c r="R5" i="5"/>
  <c r="O4" i="5"/>
  <c r="N4" i="5"/>
  <c r="M4" i="5"/>
  <c r="L4" i="5"/>
  <c r="K4" i="5"/>
  <c r="H14" i="6" l="1"/>
  <c r="F25" i="5"/>
  <c r="N8" i="5" s="1"/>
  <c r="G25" i="5"/>
  <c r="O8" i="5" s="1"/>
  <c r="F27" i="5"/>
  <c r="N10" i="5" s="1"/>
  <c r="G31" i="5"/>
  <c r="O14" i="5" s="1"/>
  <c r="E25" i="5"/>
  <c r="M8" i="5" s="1"/>
  <c r="E22" i="5"/>
  <c r="M5" i="5" s="1"/>
  <c r="E30" i="5"/>
  <c r="M13" i="5" s="1"/>
  <c r="G22" i="5"/>
  <c r="O5" i="5" s="1"/>
  <c r="C27" i="5"/>
  <c r="K10" i="5" s="1"/>
  <c r="D30" i="5"/>
  <c r="L13" i="5" s="1"/>
  <c r="F28" i="5"/>
  <c r="N11" i="5" s="1"/>
  <c r="F22" i="5"/>
  <c r="N5" i="5" s="1"/>
  <c r="G30" i="5"/>
  <c r="O13" i="5" s="1"/>
  <c r="D24" i="5"/>
  <c r="L7" i="5" s="1"/>
  <c r="E27" i="5"/>
  <c r="M10" i="5" s="1"/>
  <c r="C29" i="5"/>
  <c r="K12" i="5" s="1"/>
  <c r="F30" i="5"/>
  <c r="N13" i="5" s="1"/>
  <c r="C26" i="5"/>
  <c r="K9" i="5" s="1"/>
  <c r="C23" i="5"/>
  <c r="K6" i="5" s="1"/>
  <c r="F24" i="5"/>
  <c r="N7" i="5" s="1"/>
  <c r="D26" i="5"/>
  <c r="L9" i="5" s="1"/>
  <c r="G27" i="5"/>
  <c r="O10" i="5" s="1"/>
  <c r="E29" i="5"/>
  <c r="M12" i="5" s="1"/>
  <c r="C31" i="5"/>
  <c r="K14" i="5" s="1"/>
  <c r="D23" i="5"/>
  <c r="L6" i="5" s="1"/>
  <c r="E26" i="5"/>
  <c r="M9" i="5" s="1"/>
  <c r="C28" i="5"/>
  <c r="K11" i="5" s="1"/>
  <c r="D31" i="5"/>
  <c r="L14" i="5" s="1"/>
  <c r="E23" i="5"/>
  <c r="M6" i="5" s="1"/>
  <c r="C25" i="5"/>
  <c r="K8" i="5" s="1"/>
  <c r="F26" i="5"/>
  <c r="N9" i="5" s="1"/>
  <c r="D28" i="5"/>
  <c r="L11" i="5" s="1"/>
  <c r="G29" i="5"/>
  <c r="O12" i="5" s="1"/>
  <c r="E31" i="5"/>
  <c r="M14" i="5" s="1"/>
  <c r="C22" i="5"/>
  <c r="K5" i="5" s="1"/>
  <c r="Q5" i="5" s="1"/>
  <c r="S5" i="5" s="1"/>
  <c r="F23" i="5"/>
  <c r="N6" i="5" s="1"/>
  <c r="D25" i="5"/>
  <c r="L8" i="5" s="1"/>
  <c r="G26" i="5"/>
  <c r="O9" i="5" s="1"/>
  <c r="E28" i="5"/>
  <c r="M11" i="5" s="1"/>
  <c r="C30" i="5"/>
  <c r="K13" i="5" s="1"/>
  <c r="F31" i="5"/>
  <c r="N14" i="5" s="1"/>
  <c r="D22" i="5"/>
  <c r="L5" i="5" s="1"/>
  <c r="G23" i="5"/>
  <c r="O6" i="5" s="1"/>
  <c r="I14" i="6" l="1"/>
  <c r="J14" i="6" s="1"/>
  <c r="Q6" i="5"/>
  <c r="S6" i="5" s="1"/>
  <c r="Q7" i="5"/>
  <c r="S7" i="5" s="1"/>
  <c r="H15" i="6" l="1"/>
  <c r="Q8" i="5"/>
  <c r="S8" i="5" s="1"/>
  <c r="I15" i="6" l="1"/>
  <c r="J15" i="6" s="1"/>
  <c r="Q9" i="5"/>
  <c r="S9" i="5" s="1"/>
  <c r="H16" i="6" l="1"/>
  <c r="Q10" i="5"/>
  <c r="S10" i="5" s="1"/>
  <c r="I16" i="6" l="1"/>
  <c r="J16" i="6" s="1"/>
  <c r="Q11" i="5"/>
  <c r="S11" i="5" s="1"/>
  <c r="H17" i="6" l="1"/>
  <c r="Q12" i="5"/>
  <c r="S12" i="5" s="1"/>
  <c r="I17" i="6" l="1"/>
  <c r="J17" i="6" s="1"/>
  <c r="Q13" i="5"/>
  <c r="S13" i="5" s="1"/>
  <c r="Q14" i="5"/>
  <c r="S14" i="5" s="1"/>
  <c r="L4" i="4"/>
  <c r="M4" i="4"/>
  <c r="N4" i="4"/>
  <c r="O4" i="4"/>
  <c r="K4" i="4"/>
  <c r="E30" i="4"/>
  <c r="M13" i="4" s="1"/>
  <c r="G28" i="4"/>
  <c r="O11" i="4" s="1"/>
  <c r="G17" i="4"/>
  <c r="G29" i="4" s="1"/>
  <c r="O12" i="4" s="1"/>
  <c r="F17" i="4"/>
  <c r="E17" i="4"/>
  <c r="E27" i="4" s="1"/>
  <c r="M10" i="4" s="1"/>
  <c r="D17" i="4"/>
  <c r="C17" i="4"/>
  <c r="C24" i="4" s="1"/>
  <c r="K7" i="4" s="1"/>
  <c r="G16" i="4"/>
  <c r="F16" i="4"/>
  <c r="F28" i="4" s="1"/>
  <c r="N11" i="4" s="1"/>
  <c r="E16" i="4"/>
  <c r="D16" i="4"/>
  <c r="C16" i="4"/>
  <c r="R14" i="4"/>
  <c r="R13" i="4"/>
  <c r="R12" i="4"/>
  <c r="R11" i="4"/>
  <c r="R10" i="4"/>
  <c r="R9" i="4"/>
  <c r="R8" i="4"/>
  <c r="R7" i="4"/>
  <c r="R6" i="4"/>
  <c r="R5" i="4"/>
  <c r="R5" i="3"/>
  <c r="R6" i="3"/>
  <c r="R7" i="3"/>
  <c r="R8" i="3"/>
  <c r="R9" i="3"/>
  <c r="R10" i="3"/>
  <c r="R11" i="3"/>
  <c r="R12" i="3"/>
  <c r="R13" i="3"/>
  <c r="R4" i="3"/>
  <c r="D16" i="3"/>
  <c r="E16" i="3"/>
  <c r="F16" i="3"/>
  <c r="G16" i="3"/>
  <c r="G26" i="3" s="1"/>
  <c r="O9" i="3" s="1"/>
  <c r="C16" i="3"/>
  <c r="D15" i="3"/>
  <c r="E15" i="3"/>
  <c r="F15" i="3"/>
  <c r="F23" i="3" s="1"/>
  <c r="N6" i="3" s="1"/>
  <c r="G15" i="3"/>
  <c r="G28" i="3" s="1"/>
  <c r="O11" i="3" s="1"/>
  <c r="C15" i="3"/>
  <c r="H18" i="6" l="1"/>
  <c r="C27" i="4"/>
  <c r="K10" i="4" s="1"/>
  <c r="F24" i="4"/>
  <c r="N7" i="4" s="1"/>
  <c r="G25" i="3"/>
  <c r="O8" i="3" s="1"/>
  <c r="E27" i="3"/>
  <c r="M10" i="3" s="1"/>
  <c r="D24" i="3"/>
  <c r="L7" i="3" s="1"/>
  <c r="D30" i="4"/>
  <c r="L13" i="4" s="1"/>
  <c r="C24" i="3"/>
  <c r="K7" i="3" s="1"/>
  <c r="E25" i="4"/>
  <c r="M8" i="4" s="1"/>
  <c r="E22" i="4"/>
  <c r="M5" i="4" s="1"/>
  <c r="F25" i="4"/>
  <c r="N8" i="4" s="1"/>
  <c r="F28" i="3"/>
  <c r="N11" i="3" s="1"/>
  <c r="G31" i="4"/>
  <c r="O14" i="4" s="1"/>
  <c r="D27" i="4"/>
  <c r="L10" i="4" s="1"/>
  <c r="S16" i="5"/>
  <c r="S17" i="5" s="1"/>
  <c r="F22" i="4"/>
  <c r="N5" i="4" s="1"/>
  <c r="D24" i="4"/>
  <c r="L7" i="4" s="1"/>
  <c r="G25" i="4"/>
  <c r="O8" i="4" s="1"/>
  <c r="C29" i="4"/>
  <c r="K12" i="4" s="1"/>
  <c r="F30" i="4"/>
  <c r="N13" i="4" s="1"/>
  <c r="G22" i="4"/>
  <c r="O5" i="4" s="1"/>
  <c r="E24" i="4"/>
  <c r="M7" i="4" s="1"/>
  <c r="C26" i="4"/>
  <c r="K9" i="4" s="1"/>
  <c r="F27" i="4"/>
  <c r="N10" i="4" s="1"/>
  <c r="D29" i="4"/>
  <c r="L12" i="4" s="1"/>
  <c r="G30" i="4"/>
  <c r="O13" i="4" s="1"/>
  <c r="C23" i="4"/>
  <c r="K6" i="4" s="1"/>
  <c r="D26" i="4"/>
  <c r="L9" i="4" s="1"/>
  <c r="G27" i="4"/>
  <c r="O10" i="4" s="1"/>
  <c r="E29" i="4"/>
  <c r="M12" i="4" s="1"/>
  <c r="C31" i="4"/>
  <c r="K14" i="4" s="1"/>
  <c r="D23" i="4"/>
  <c r="L6" i="4" s="1"/>
  <c r="G24" i="4"/>
  <c r="O7" i="4" s="1"/>
  <c r="E26" i="4"/>
  <c r="M9" i="4" s="1"/>
  <c r="C28" i="4"/>
  <c r="K11" i="4" s="1"/>
  <c r="F29" i="4"/>
  <c r="N12" i="4" s="1"/>
  <c r="D31" i="4"/>
  <c r="L14" i="4" s="1"/>
  <c r="E23" i="4"/>
  <c r="M6" i="4" s="1"/>
  <c r="C25" i="4"/>
  <c r="K8" i="4" s="1"/>
  <c r="F26" i="4"/>
  <c r="N9" i="4" s="1"/>
  <c r="D28" i="4"/>
  <c r="L11" i="4" s="1"/>
  <c r="E31" i="4"/>
  <c r="M14" i="4" s="1"/>
  <c r="C22" i="4"/>
  <c r="K5" i="4" s="1"/>
  <c r="F23" i="4"/>
  <c r="N6" i="4" s="1"/>
  <c r="D25" i="4"/>
  <c r="L8" i="4" s="1"/>
  <c r="G26" i="4"/>
  <c r="O9" i="4" s="1"/>
  <c r="E28" i="4"/>
  <c r="M11" i="4" s="1"/>
  <c r="C30" i="4"/>
  <c r="K13" i="4" s="1"/>
  <c r="F31" i="4"/>
  <c r="N14" i="4" s="1"/>
  <c r="D22" i="4"/>
  <c r="L5" i="4" s="1"/>
  <c r="G23" i="4"/>
  <c r="O6" i="4" s="1"/>
  <c r="E21" i="3"/>
  <c r="M4" i="3" s="1"/>
  <c r="E28" i="3"/>
  <c r="M11" i="3" s="1"/>
  <c r="F25" i="3"/>
  <c r="N8" i="3" s="1"/>
  <c r="C30" i="3"/>
  <c r="K13" i="3" s="1"/>
  <c r="E25" i="3"/>
  <c r="M8" i="3" s="1"/>
  <c r="F22" i="3"/>
  <c r="N5" i="3" s="1"/>
  <c r="F21" i="3"/>
  <c r="N4" i="3" s="1"/>
  <c r="E22" i="3"/>
  <c r="M5" i="3" s="1"/>
  <c r="C27" i="3"/>
  <c r="K10" i="3" s="1"/>
  <c r="D21" i="3"/>
  <c r="L4" i="3" s="1"/>
  <c r="G29" i="3"/>
  <c r="O12" i="3" s="1"/>
  <c r="D28" i="3"/>
  <c r="L11" i="3" s="1"/>
  <c r="F26" i="3"/>
  <c r="N9" i="3" s="1"/>
  <c r="C25" i="3"/>
  <c r="K8" i="3" s="1"/>
  <c r="E23" i="3"/>
  <c r="M6" i="3" s="1"/>
  <c r="G30" i="3"/>
  <c r="O13" i="3" s="1"/>
  <c r="D27" i="3"/>
  <c r="L10" i="3" s="1"/>
  <c r="D22" i="3"/>
  <c r="L5" i="3" s="1"/>
  <c r="F29" i="3"/>
  <c r="N12" i="3" s="1"/>
  <c r="C28" i="3"/>
  <c r="K11" i="3" s="1"/>
  <c r="E26" i="3"/>
  <c r="M9" i="3" s="1"/>
  <c r="G24" i="3"/>
  <c r="O7" i="3" s="1"/>
  <c r="D23" i="3"/>
  <c r="L6" i="3" s="1"/>
  <c r="F30" i="3"/>
  <c r="N13" i="3" s="1"/>
  <c r="E29" i="3"/>
  <c r="M12" i="3" s="1"/>
  <c r="G27" i="3"/>
  <c r="O10" i="3" s="1"/>
  <c r="D26" i="3"/>
  <c r="L9" i="3" s="1"/>
  <c r="F24" i="3"/>
  <c r="N7" i="3" s="1"/>
  <c r="C23" i="3"/>
  <c r="K6" i="3" s="1"/>
  <c r="E30" i="3"/>
  <c r="G23" i="3"/>
  <c r="O6" i="3" s="1"/>
  <c r="D25" i="3"/>
  <c r="L8" i="3" s="1"/>
  <c r="C22" i="3"/>
  <c r="K5" i="3" s="1"/>
  <c r="C21" i="3"/>
  <c r="D29" i="3"/>
  <c r="L12" i="3" s="1"/>
  <c r="F27" i="3"/>
  <c r="N10" i="3" s="1"/>
  <c r="C26" i="3"/>
  <c r="E24" i="3"/>
  <c r="G22" i="3"/>
  <c r="O5" i="3" s="1"/>
  <c r="D30" i="3"/>
  <c r="L13" i="3" s="1"/>
  <c r="G21" i="3"/>
  <c r="O4" i="3" s="1"/>
  <c r="C29" i="3"/>
  <c r="K12" i="3" s="1"/>
  <c r="Q8" i="3" l="1"/>
  <c r="S8" i="3" s="1"/>
  <c r="I18" i="6"/>
  <c r="J18" i="6" s="1"/>
  <c r="K4" i="3"/>
  <c r="Q4" i="3" s="1"/>
  <c r="S4" i="3" s="1"/>
  <c r="M7" i="3"/>
  <c r="Q7" i="3" s="1"/>
  <c r="S7" i="3" s="1"/>
  <c r="M13" i="3"/>
  <c r="Q13" i="3" s="1"/>
  <c r="S13" i="3" s="1"/>
  <c r="K9" i="3"/>
  <c r="Q9" i="3" s="1"/>
  <c r="S9" i="3" s="1"/>
  <c r="Q5" i="4"/>
  <c r="S5" i="4" s="1"/>
  <c r="Q6" i="4"/>
  <c r="S6" i="4" s="1"/>
  <c r="Q7" i="4"/>
  <c r="S7" i="4" s="1"/>
  <c r="Q6" i="3"/>
  <c r="S6" i="3" s="1"/>
  <c r="Q12" i="3"/>
  <c r="S12" i="3" s="1"/>
  <c r="Q11" i="3"/>
  <c r="S11" i="3" s="1"/>
  <c r="Q10" i="3"/>
  <c r="S10" i="3" s="1"/>
  <c r="Q5" i="3"/>
  <c r="S5" i="3" s="1"/>
  <c r="H19" i="6" l="1"/>
  <c r="Q8" i="4"/>
  <c r="S8" i="4" s="1"/>
  <c r="S15" i="3"/>
  <c r="S16" i="3" s="1"/>
  <c r="I19" i="6" l="1"/>
  <c r="J19" i="6" s="1"/>
  <c r="Q9" i="4"/>
  <c r="S9" i="4" s="1"/>
  <c r="H20" i="6" l="1"/>
  <c r="Q10" i="4"/>
  <c r="S10" i="4" s="1"/>
  <c r="I20" i="6" l="1"/>
  <c r="J20" i="6" s="1"/>
  <c r="Q11" i="4"/>
  <c r="S11" i="4" s="1"/>
  <c r="H21" i="6" l="1"/>
  <c r="Q12" i="4"/>
  <c r="S12" i="4" s="1"/>
  <c r="I21" i="6" l="1"/>
  <c r="J21" i="6" s="1"/>
  <c r="Q13" i="4"/>
  <c r="S13" i="4" s="1"/>
  <c r="Q14" i="4"/>
  <c r="S14" i="4" s="1"/>
  <c r="E12" i="2"/>
  <c r="F12" i="2" s="1"/>
  <c r="G12" i="2" s="1"/>
  <c r="O5" i="2"/>
  <c r="O6" i="2"/>
  <c r="P6" i="2" s="1"/>
  <c r="Q6" i="2" s="1"/>
  <c r="O7" i="2"/>
  <c r="O8" i="2"/>
  <c r="P8" i="2" s="1"/>
  <c r="Q8" i="2" s="1"/>
  <c r="O9" i="2"/>
  <c r="P9" i="2" s="1"/>
  <c r="Q9" i="2" s="1"/>
  <c r="O10" i="2"/>
  <c r="P10" i="2" s="1"/>
  <c r="Q10" i="2" s="1"/>
  <c r="O11" i="2"/>
  <c r="P11" i="2" s="1"/>
  <c r="Q11" i="2" s="1"/>
  <c r="O12" i="2"/>
  <c r="P12" i="2" s="1"/>
  <c r="Q12" i="2" s="1"/>
  <c r="O13" i="2"/>
  <c r="P13" i="2" s="1"/>
  <c r="Q13" i="2" s="1"/>
  <c r="O4" i="2"/>
  <c r="P4" i="2" s="1"/>
  <c r="Q4" i="2" s="1"/>
  <c r="P7" i="2"/>
  <c r="Q7" i="2" s="1"/>
  <c r="P5" i="2"/>
  <c r="Q5" i="2" s="1"/>
  <c r="J5" i="2"/>
  <c r="K5" i="2" s="1"/>
  <c r="L5" i="2" s="1"/>
  <c r="J6" i="2"/>
  <c r="K6" i="2" s="1"/>
  <c r="L6" i="2" s="1"/>
  <c r="J7" i="2"/>
  <c r="K7" i="2" s="1"/>
  <c r="L7" i="2" s="1"/>
  <c r="J8" i="2"/>
  <c r="K8" i="2" s="1"/>
  <c r="L8" i="2" s="1"/>
  <c r="J9" i="2"/>
  <c r="K9" i="2" s="1"/>
  <c r="L9" i="2" s="1"/>
  <c r="J10" i="2"/>
  <c r="K10" i="2" s="1"/>
  <c r="L10" i="2" s="1"/>
  <c r="J11" i="2"/>
  <c r="K11" i="2" s="1"/>
  <c r="L11" i="2" s="1"/>
  <c r="J12" i="2"/>
  <c r="K12" i="2" s="1"/>
  <c r="L12" i="2" s="1"/>
  <c r="J13" i="2"/>
  <c r="K13" i="2" s="1"/>
  <c r="L13" i="2" s="1"/>
  <c r="J4" i="2"/>
  <c r="K4" i="2" s="1"/>
  <c r="L4" i="2" s="1"/>
  <c r="E5" i="2"/>
  <c r="F5" i="2" s="1"/>
  <c r="G5" i="2" s="1"/>
  <c r="E6" i="2"/>
  <c r="F6" i="2" s="1"/>
  <c r="G6" i="2" s="1"/>
  <c r="E7" i="2"/>
  <c r="F7" i="2" s="1"/>
  <c r="G7" i="2" s="1"/>
  <c r="E8" i="2"/>
  <c r="F8" i="2" s="1"/>
  <c r="G8" i="2" s="1"/>
  <c r="E9" i="2"/>
  <c r="F9" i="2" s="1"/>
  <c r="G9" i="2" s="1"/>
  <c r="E10" i="2"/>
  <c r="F10" i="2" s="1"/>
  <c r="G10" i="2" s="1"/>
  <c r="E11" i="2"/>
  <c r="F11" i="2" s="1"/>
  <c r="G11" i="2" s="1"/>
  <c r="E13" i="2"/>
  <c r="F13" i="2" s="1"/>
  <c r="G13" i="2" s="1"/>
  <c r="E4" i="2"/>
  <c r="F4" i="2" s="1"/>
  <c r="G4" i="2" s="1"/>
  <c r="P20" i="1"/>
  <c r="Q20" i="1" s="1"/>
  <c r="R20" i="1" s="1"/>
  <c r="P21" i="1"/>
  <c r="P22" i="1"/>
  <c r="Q22" i="1" s="1"/>
  <c r="R22" i="1" s="1"/>
  <c r="P23" i="1"/>
  <c r="Q23" i="1" s="1"/>
  <c r="R23" i="1" s="1"/>
  <c r="P24" i="1"/>
  <c r="P25" i="1"/>
  <c r="Q25" i="1" s="1"/>
  <c r="R25" i="1" s="1"/>
  <c r="P26" i="1"/>
  <c r="Q26" i="1" s="1"/>
  <c r="R26" i="1" s="1"/>
  <c r="P27" i="1"/>
  <c r="Q27" i="1" s="1"/>
  <c r="R27" i="1" s="1"/>
  <c r="P28" i="1"/>
  <c r="Q28" i="1" s="1"/>
  <c r="R28" i="1" s="1"/>
  <c r="P19" i="1"/>
  <c r="Q19" i="1" s="1"/>
  <c r="Q24" i="1"/>
  <c r="R24" i="1" s="1"/>
  <c r="Q21" i="1"/>
  <c r="R21" i="1" s="1"/>
  <c r="J20" i="1"/>
  <c r="J21" i="1"/>
  <c r="K21" i="1" s="1"/>
  <c r="L21" i="1" s="1"/>
  <c r="J22" i="1"/>
  <c r="K22" i="1" s="1"/>
  <c r="L22" i="1" s="1"/>
  <c r="J23" i="1"/>
  <c r="K23" i="1" s="1"/>
  <c r="L23" i="1" s="1"/>
  <c r="J24" i="1"/>
  <c r="K24" i="1" s="1"/>
  <c r="L24" i="1" s="1"/>
  <c r="J25" i="1"/>
  <c r="J26" i="1"/>
  <c r="K26" i="1" s="1"/>
  <c r="L26" i="1" s="1"/>
  <c r="J27" i="1"/>
  <c r="K27" i="1" s="1"/>
  <c r="L27" i="1" s="1"/>
  <c r="J28" i="1"/>
  <c r="K28" i="1" s="1"/>
  <c r="L28" i="1" s="1"/>
  <c r="J19" i="1"/>
  <c r="K19" i="1" s="1"/>
  <c r="K25" i="1"/>
  <c r="L25" i="1" s="1"/>
  <c r="K20" i="1"/>
  <c r="L20" i="1" s="1"/>
  <c r="E23" i="1"/>
  <c r="F23" i="1" s="1"/>
  <c r="E26" i="1"/>
  <c r="F26" i="1" s="1"/>
  <c r="E27" i="1"/>
  <c r="F27" i="1" s="1"/>
  <c r="D20" i="1"/>
  <c r="E20" i="1" s="1"/>
  <c r="F20" i="1" s="1"/>
  <c r="D21" i="1"/>
  <c r="E21" i="1" s="1"/>
  <c r="F21" i="1" s="1"/>
  <c r="D22" i="1"/>
  <c r="E22" i="1" s="1"/>
  <c r="F22" i="1" s="1"/>
  <c r="D23" i="1"/>
  <c r="D24" i="1"/>
  <c r="E24" i="1" s="1"/>
  <c r="F24" i="1" s="1"/>
  <c r="D25" i="1"/>
  <c r="E25" i="1" s="1"/>
  <c r="F25" i="1" s="1"/>
  <c r="D26" i="1"/>
  <c r="D27" i="1"/>
  <c r="D28" i="1"/>
  <c r="E28" i="1" s="1"/>
  <c r="F28" i="1" s="1"/>
  <c r="D19" i="1"/>
  <c r="E19" i="1" s="1"/>
  <c r="P5" i="1"/>
  <c r="Q5" i="1"/>
  <c r="R5" i="1"/>
  <c r="S5" i="1"/>
  <c r="P6" i="1"/>
  <c r="Q6" i="1"/>
  <c r="R6" i="1"/>
  <c r="S6" i="1"/>
  <c r="P7" i="1"/>
  <c r="Q7" i="1"/>
  <c r="R7" i="1"/>
  <c r="S7" i="1"/>
  <c r="P8" i="1"/>
  <c r="Q8" i="1"/>
  <c r="R8" i="1"/>
  <c r="S8" i="1"/>
  <c r="P9" i="1"/>
  <c r="Q9" i="1"/>
  <c r="R9" i="1"/>
  <c r="S9" i="1"/>
  <c r="P10" i="1"/>
  <c r="Q10" i="1"/>
  <c r="R10" i="1"/>
  <c r="S10" i="1"/>
  <c r="P11" i="1"/>
  <c r="Q11" i="1"/>
  <c r="R11" i="1"/>
  <c r="S11" i="1"/>
  <c r="P12" i="1"/>
  <c r="Q12" i="1"/>
  <c r="R12" i="1"/>
  <c r="S12" i="1"/>
  <c r="P13" i="1"/>
  <c r="Q13" i="1"/>
  <c r="R13" i="1"/>
  <c r="S13" i="1"/>
  <c r="S4" i="1"/>
  <c r="R4" i="1"/>
  <c r="Q4" i="1"/>
  <c r="P4" i="1"/>
  <c r="H22" i="6" l="1"/>
  <c r="I22" i="6" s="1"/>
  <c r="J22" i="6" s="1"/>
  <c r="E32" i="1"/>
  <c r="E30" i="1"/>
  <c r="F19" i="1"/>
  <c r="E31" i="1" s="1"/>
  <c r="S16" i="4"/>
  <c r="S17" i="4" s="1"/>
  <c r="P16" i="2"/>
  <c r="P17" i="2"/>
  <c r="P15" i="2"/>
  <c r="K16" i="2"/>
  <c r="K17" i="2"/>
  <c r="K15" i="2"/>
  <c r="F16" i="2"/>
  <c r="Q32" i="1"/>
  <c r="R19" i="1"/>
  <c r="Q31" i="1" s="1"/>
  <c r="Q30" i="1"/>
  <c r="K32" i="1"/>
  <c r="K30" i="1"/>
  <c r="L19" i="1"/>
  <c r="K31" i="1" s="1"/>
  <c r="F17" i="2" l="1"/>
  <c r="F15" i="2"/>
</calcChain>
</file>

<file path=xl/sharedStrings.xml><?xml version="1.0" encoding="utf-8"?>
<sst xmlns="http://schemas.openxmlformats.org/spreadsheetml/2006/main" count="261" uniqueCount="92">
  <si>
    <t>Age</t>
  </si>
  <si>
    <t>Salary</t>
  </si>
  <si>
    <t>Age^2</t>
  </si>
  <si>
    <t>Age^3</t>
  </si>
  <si>
    <t>Age^4</t>
  </si>
  <si>
    <t>Age^5</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</si>
  <si>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</si>
  <si>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</si>
  <si>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</si>
  <si>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</si>
  <si>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</si>
  <si>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</si>
  <si>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</si>
  <si>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</si>
  <si>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</si>
  <si>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</si>
  <si>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</si>
  <si>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</si>
  <si>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</si>
  <si>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</si>
  <si>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</si>
  <si>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</si>
  <si>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</si>
  <si>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</si>
  <si>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</si>
  <si>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</si>
  <si>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</si>
  <si>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</si>
  <si>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</si>
  <si>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</si>
  <si>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</si>
  <si>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X Variable 3</t>
  </si>
  <si>
    <t>X Variable 4</t>
  </si>
  <si>
    <t>X Variable 5</t>
  </si>
  <si>
    <t>Estimate</t>
  </si>
  <si>
    <t>Error</t>
  </si>
  <si>
    <t>average error</t>
  </si>
  <si>
    <t>average absolute error</t>
  </si>
  <si>
    <t>Abs error</t>
  </si>
  <si>
    <t>Standard deviation of error</t>
  </si>
  <si>
    <t>Fit to Polynomial of order 5</t>
  </si>
  <si>
    <t>Regression Output for fit of polynomial of order 5</t>
  </si>
  <si>
    <t>Fit to quadratic (polynomial of order 2)</t>
  </si>
  <si>
    <t>Regression Output for quadratic fit  (polynomial of order 2)</t>
  </si>
  <si>
    <t xml:space="preserve">Linear fit </t>
  </si>
  <si>
    <t>5-order poly</t>
  </si>
  <si>
    <t>Quadratic</t>
  </si>
  <si>
    <t>Linear</t>
  </si>
  <si>
    <t>Summary of estimates (sorted)</t>
  </si>
  <si>
    <t>Forecast</t>
  </si>
  <si>
    <t>Polynomial of order 5</t>
  </si>
  <si>
    <t>Abs Error</t>
  </si>
  <si>
    <t>CHARTS DISPLAYING THE THREE MODELS</t>
  </si>
  <si>
    <t xml:space="preserve">Data for fitting poynomials </t>
  </si>
  <si>
    <t>Regression output for linear model</t>
  </si>
  <si>
    <t>Mean</t>
  </si>
  <si>
    <t>SD</t>
  </si>
  <si>
    <t>Normalized Age Data</t>
  </si>
  <si>
    <t>a</t>
  </si>
  <si>
    <t>b1</t>
  </si>
  <si>
    <t>b2</t>
  </si>
  <si>
    <t>b3</t>
  </si>
  <si>
    <t>b4</t>
  </si>
  <si>
    <t>b5</t>
  </si>
  <si>
    <t>Salary ('000)</t>
  </si>
  <si>
    <t>Prediction</t>
  </si>
  <si>
    <t>Actual</t>
  </si>
  <si>
    <t>mse</t>
  </si>
  <si>
    <t>lambda:</t>
  </si>
  <si>
    <t>Ridge objective</t>
  </si>
  <si>
    <t>Bias and wts:</t>
  </si>
  <si>
    <t>Absolute Value</t>
  </si>
  <si>
    <t>Lasso objective</t>
  </si>
  <si>
    <t>lambda1:</t>
  </si>
  <si>
    <t>lambda2:</t>
  </si>
  <si>
    <t>Elastic Net objective</t>
  </si>
  <si>
    <t>Salary ('000s)</t>
  </si>
  <si>
    <t>age*salary</t>
  </si>
  <si>
    <t>age^2</t>
  </si>
  <si>
    <t>b</t>
  </si>
  <si>
    <t>Learning Rate:</t>
  </si>
  <si>
    <t xml:space="preserve"> b</t>
  </si>
  <si>
    <t>gradient</t>
  </si>
  <si>
    <t>change</t>
  </si>
  <si>
    <t>salary^2</t>
  </si>
  <si>
    <t>Analysis  in Chapter 3</t>
  </si>
  <si>
    <t>Analysis in Chapter 3</t>
  </si>
  <si>
    <t>Training Set (Table 1.1)</t>
  </si>
  <si>
    <t>(from Excel's regression tool in Data Analysis)</t>
  </si>
  <si>
    <t>Validation set data (Table 1.2)</t>
  </si>
  <si>
    <t xml:space="preserve">Quadratic  Model </t>
  </si>
  <si>
    <t>SD of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</si>
</sst>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8">
    <xf numFmtId="0" fontId="0" fillId="0" borderId="0" xfId="0"/>
    <xf numFmtId="3" fontId="0" fillId="0" borderId="0" xfId="0" applyNumberFormat="1"/>
    <xf numFmtId="0" fontId="0" fillId="0" borderId="0" xfId="0" applyAlignment="1">
      <alignment horizontal="center"/>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1" fontId="0" fillId="0" borderId="0" xfId="0" applyNumberFormat="1"/>
    <xf numFmtId="0" fontId="0" fillId="0" borderId="0" xfId="0" applyAlignment="1">
      <alignment horizontal="right"/>
    </xf>
    <xf numFmtId="0" fontId="1" fillId="0" borderId="0" xfId="0" applyFont="1"/>
    <xf numFmtId="0" fontId="0" fillId="0" borderId="0" xfId="0" applyAlignment="1">
      <alignment horizontal="center"/>
    </xf>
    <xf numFmtId="0" fontId="0" fillId="0" borderId="0" xfId="0" applyAlignment="1">
      <alignment horizontal="center"/>
    </xf>
    <xf numFmtId="0" fontId="1" fillId="0" borderId="0" xfId="0" applyFont="1" applyFill="1" applyBorder="1" applyAlignment="1">
      <alignment horizontal="center"/>
    </xf>
    <xf numFmtId="0" fontId="1" fillId="0" borderId="1" xfId="0" applyFont="1" applyFill="1" applyBorder="1" applyAlignment="1">
      <alignment horizontal="center"/>
    </xf>
    <xf numFmtId="0" fontId="0" fillId="0" borderId="0" xfId="0" applyFont="1"/>
    <xf numFmtId="0" fontId="0" fillId="0" borderId="0" xfId="0" applyFont="1" applyFill="1" applyBorder="1" applyAlignment="1">
      <alignment horizontal="center"/>
    </xf>
    <xf numFmtId="164" fontId="0" fillId="0" borderId="0" xfId="0" applyNumberFormat="1"/>
    <xf numFmtId="165" fontId="0" fillId="0" borderId="0" xfId="0" applyNumberFormat="1"/>
    <xf numFmtId="2" fontId="0" fillId="0" borderId="0" xfId="0" applyNumberFormat="1"/>
    <xf numFmtId="0" fontId="1" fillId="0" borderId="0" xfId="0" applyFont="1" applyAlignment="1">
      <alignment horizontal="center"/>
    </xf>
    <xf numFmtId="0" fontId="0" fillId="0" borderId="0" xfId="0" applyAlignment="1">
      <alignment horizontal="center"/>
    </xf>
    <xf numFmtId="3" fontId="0" fillId="0" borderId="0" xfId="0" applyNumberFormat="1" applyAlignment="1">
      <alignment horizontal="center"/>
    </xf>
    <xf numFmtId="2" fontId="1" fillId="0" borderId="0" xfId="0"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right"/>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 Plot of training set: Figure 1.1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'Analysis of Training Set (Ch1)'!$B$4:$B$13</c:f>
              <c:numCache>
                <c:formatCode>#,##0</c:formatCode>
                <c:ptCount val="10"/>
                <c:pt idx="0">
                  <c:v>25</c:v>
                </c:pt>
                <c:pt idx="1">
                  <c:v>55</c:v>
                </c:pt>
                <c:pt idx="2">
                  <c:v>27</c:v>
                </c:pt>
                <c:pt idx="3">
                  <c:v>35</c:v>
                </c:pt>
                <c:pt idx="4">
                  <c:v>60</c:v>
                </c:pt>
                <c:pt idx="5">
                  <c:v>65</c:v>
                </c:pt>
                <c:pt idx="6">
                  <c:v>45</c:v>
                </c:pt>
                <c:pt idx="7">
                  <c:v>40</c:v>
                </c:pt>
                <c:pt idx="8">
                  <c:v>50</c:v>
                </c:pt>
                <c:pt idx="9">
                  <c:v>30</c:v>
                </c:pt>
              </c:numCache>
            </c:numRef>
          </c:xVal>
          <c:yVal>
            <c:numRef>
              <c:f>'Analysis of Training Set (Ch1)'!$C$4:$C$13</c:f>
              <c:numCache>
                <c:formatCode>General</c:formatCode>
                <c:ptCount val="10"/>
                <c:pt idx="0">
                  <c:v>135000</c:v>
                </c:pt>
                <c:pt idx="1">
                  <c:v>260000</c:v>
                </c:pt>
                <c:pt idx="2">
                  <c:v>105000</c:v>
                </c:pt>
                <c:pt idx="3">
                  <c:v>220000</c:v>
                </c:pt>
                <c:pt idx="4">
                  <c:v>240000</c:v>
                </c:pt>
                <c:pt idx="5">
                  <c:v>265000</c:v>
                </c:pt>
                <c:pt idx="6">
                  <c:v>270000</c:v>
                </c:pt>
                <c:pt idx="7">
                  <c:v>300000</c:v>
                </c:pt>
                <c:pt idx="8">
                  <c:v>265000</c:v>
                </c:pt>
                <c:pt idx="9">
                  <c:v>105000</c:v>
                </c:pt>
              </c:numCache>
            </c:numRef>
          </c:yVal>
          <c:smooth val="0"/>
          <c:extLst>
            <c:ext xmlns:c16="http://schemas.microsoft.com/office/drawing/2014/chart" uri="{C3380CC4-5D6E-409C-BE32-E72D297353CC}">
              <c16:uniqueId val="{00000000-905F-4395-BEF4-EA9F2E4575C9}"/>
            </c:ext>
          </c:extLst>
        </c:ser>
        <c:dLbls>
          <c:showLegendKey val="0"/>
          <c:showVal val="0"/>
          <c:showCatName val="0"/>
          <c:showSerName val="0"/>
          <c:showPercent val="0"/>
          <c:showBubbleSize val="0"/>
        </c:dLbls>
        <c:axId val="145437824"/>
        <c:axId val="145439744"/>
      </c:scatterChart>
      <c:valAx>
        <c:axId val="1454378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39744"/>
        <c:crosses val="autoZero"/>
        <c:crossBetween val="midCat"/>
      </c:valAx>
      <c:valAx>
        <c:axId val="14543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37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Best fit: polynomial</a:t>
            </a:r>
            <a:r>
              <a:rPr lang="en-CA" baseline="0"/>
              <a:t> of order 5</a:t>
            </a:r>
            <a:endParaRPr lang="en-CA"/>
          </a:p>
        </c:rich>
      </c:tx>
      <c:layout>
        <c:manualLayout>
          <c:xMode val="edge"/>
          <c:yMode val="edge"/>
          <c:x val="0.23068521257177879"/>
          <c:y val="4.01002506265664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'Analysis of Training Set (Ch1)'!$T$19:$T$28</c:f>
              <c:numCache>
                <c:formatCode>#,##0</c:formatCode>
                <c:ptCount val="10"/>
                <c:pt idx="0">
                  <c:v>25</c:v>
                </c:pt>
                <c:pt idx="1">
                  <c:v>27</c:v>
                </c:pt>
                <c:pt idx="2">
                  <c:v>30</c:v>
                </c:pt>
                <c:pt idx="3">
                  <c:v>35</c:v>
                </c:pt>
                <c:pt idx="4">
                  <c:v>40</c:v>
                </c:pt>
                <c:pt idx="5">
                  <c:v>45</c:v>
                </c:pt>
                <c:pt idx="6">
                  <c:v>50</c:v>
                </c:pt>
                <c:pt idx="7">
                  <c:v>55</c:v>
                </c:pt>
                <c:pt idx="8">
                  <c:v>60</c:v>
                </c:pt>
                <c:pt idx="9">
                  <c:v>65</c:v>
                </c:pt>
              </c:numCache>
            </c:numRef>
          </c:xVal>
          <c:yVal>
            <c:numRef>
              <c:f>'Analysis of Training Set (Ch1)'!$U$19:$U$28</c:f>
              <c:numCache>
                <c:formatCode>0</c:formatCode>
                <c:ptCount val="10"/>
                <c:pt idx="0">
                  <c:v>134965.39159870637</c:v>
                </c:pt>
                <c:pt idx="1">
                  <c:v>99724.960601959378</c:v>
                </c:pt>
                <c:pt idx="2">
                  <c:v>117292.62419102108</c:v>
                </c:pt>
                <c:pt idx="3">
                  <c:v>213895.8031577291</c:v>
                </c:pt>
                <c:pt idx="4">
                  <c:v>284897.91393138841</c:v>
                </c:pt>
                <c:pt idx="5">
                  <c:v>293253.8055154644</c:v>
                </c:pt>
                <c:pt idx="6">
                  <c:v>263742.0437201038</c:v>
                </c:pt>
                <c:pt idx="7">
                  <c:v>241956.76439757645</c:v>
                </c:pt>
                <c:pt idx="8">
                  <c:v>253299.52667863667</c:v>
                </c:pt>
                <c:pt idx="9">
                  <c:v>261971.16620762646</c:v>
                </c:pt>
              </c:numCache>
            </c:numRef>
          </c:yVal>
          <c:smooth val="1"/>
          <c:extLst>
            <c:ext xmlns:c16="http://schemas.microsoft.com/office/drawing/2014/chart" uri="{C3380CC4-5D6E-409C-BE32-E72D297353CC}">
              <c16:uniqueId val="{00000000-38CE-4E9D-9BFA-F102918D796B}"/>
            </c:ext>
          </c:extLst>
        </c:ser>
        <c:dLbls>
          <c:showLegendKey val="0"/>
          <c:showVal val="0"/>
          <c:showCatName val="0"/>
          <c:showSerName val="0"/>
          <c:showPercent val="0"/>
          <c:showBubbleSize val="0"/>
        </c:dLbls>
        <c:axId val="146836480"/>
        <c:axId val="146850560"/>
      </c:scatterChart>
      <c:valAx>
        <c:axId val="146836480"/>
        <c:scaling>
          <c:orientation val="minMax"/>
          <c:min val="2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0560"/>
        <c:crosses val="autoZero"/>
        <c:crossBetween val="midCat"/>
      </c:valAx>
      <c:valAx>
        <c:axId val="146850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36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strRef>
              <c:f>'Analysis of Training Set (Ch1)'!$V$18</c:f>
              <c:strCache>
                <c:ptCount val="1"/>
                <c:pt idx="0">
                  <c:v>Quadratic</c:v>
                </c:pt>
              </c:strCache>
            </c:strRef>
          </c:tx>
          <c:spPr>
            <a:ln w="19050" cap="rnd">
              <a:solidFill>
                <a:schemeClr val="accent2"/>
              </a:solidFill>
              <a:round/>
            </a:ln>
            <a:effectLst/>
          </c:spPr>
          <c:marker>
            <c:symbol val="none"/>
          </c:marker>
          <c:xVal>
            <c:numRef>
              <c:f>'Analysis of Training Set (Ch1)'!$T$19:$T$28</c:f>
              <c:numCache>
                <c:formatCode>#,##0</c:formatCode>
                <c:ptCount val="10"/>
                <c:pt idx="0">
                  <c:v>25</c:v>
                </c:pt>
                <c:pt idx="1">
                  <c:v>27</c:v>
                </c:pt>
                <c:pt idx="2">
                  <c:v>30</c:v>
                </c:pt>
                <c:pt idx="3">
                  <c:v>35</c:v>
                </c:pt>
                <c:pt idx="4">
                  <c:v>40</c:v>
                </c:pt>
                <c:pt idx="5">
                  <c:v>45</c:v>
                </c:pt>
                <c:pt idx="6">
                  <c:v>50</c:v>
                </c:pt>
                <c:pt idx="7">
                  <c:v>55</c:v>
                </c:pt>
                <c:pt idx="8">
                  <c:v>60</c:v>
                </c:pt>
                <c:pt idx="9">
                  <c:v>65</c:v>
                </c:pt>
              </c:numCache>
            </c:numRef>
          </c:xVal>
          <c:yVal>
            <c:numRef>
              <c:f>'Analysis of Training Set (Ch1)'!$V$19:$V$28</c:f>
              <c:numCache>
                <c:formatCode>General</c:formatCode>
                <c:ptCount val="10"/>
                <c:pt idx="0">
                  <c:v>100202.68326299268</c:v>
                </c:pt>
                <c:pt idx="1">
                  <c:v>125655.00292624446</c:v>
                </c:pt>
                <c:pt idx="2">
                  <c:v>160184.15355407848</c:v>
                </c:pt>
                <c:pt idx="3">
                  <c:v>208001.19428835163</c:v>
                </c:pt>
                <c:pt idx="4">
                  <c:v>243653.80546581204</c:v>
                </c:pt>
                <c:pt idx="5">
                  <c:v>267141.98708645976</c:v>
                </c:pt>
                <c:pt idx="6">
                  <c:v>278465.73915029468</c:v>
                </c:pt>
                <c:pt idx="7">
                  <c:v>277625.06165731675</c:v>
                </c:pt>
                <c:pt idx="8">
                  <c:v>264619.95460752631</c:v>
                </c:pt>
                <c:pt idx="9">
                  <c:v>239450.41800092312</c:v>
                </c:pt>
              </c:numCache>
            </c:numRef>
          </c:yVal>
          <c:smooth val="1"/>
          <c:extLst>
            <c:ext xmlns:c16="http://schemas.microsoft.com/office/drawing/2014/chart" uri="{C3380CC4-5D6E-409C-BE32-E72D297353CC}">
              <c16:uniqueId val="{00000001-7F6F-4CAF-87AA-A448929529AF}"/>
            </c:ext>
          </c:extLst>
        </c:ser>
        <c:dLbls>
          <c:showLegendKey val="0"/>
          <c:showVal val="0"/>
          <c:showCatName val="0"/>
          <c:showSerName val="0"/>
          <c:showPercent val="0"/>
          <c:showBubbleSize val="0"/>
        </c:dLbls>
        <c:axId val="147866368"/>
        <c:axId val="147867904"/>
      </c:scatterChart>
      <c:valAx>
        <c:axId val="147866368"/>
        <c:scaling>
          <c:orientation val="minMax"/>
          <c:min val="2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67904"/>
        <c:crosses val="autoZero"/>
        <c:crossBetween val="midCat"/>
      </c:valAx>
      <c:valAx>
        <c:axId val="14786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66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2"/>
          <c:order val="0"/>
          <c:spPr>
            <a:ln w="19050" cap="rnd">
              <a:solidFill>
                <a:schemeClr val="accent3"/>
              </a:solidFill>
              <a:round/>
            </a:ln>
            <a:effectLst/>
          </c:spPr>
          <c:marker>
            <c:symbol val="none"/>
          </c:marker>
          <c:xVal>
            <c:numRef>
              <c:f>'Analysis of Training Set (Ch1)'!$T$19:$T$28</c:f>
              <c:numCache>
                <c:formatCode>#,##0</c:formatCode>
                <c:ptCount val="10"/>
                <c:pt idx="0">
                  <c:v>25</c:v>
                </c:pt>
                <c:pt idx="1">
                  <c:v>27</c:v>
                </c:pt>
                <c:pt idx="2">
                  <c:v>30</c:v>
                </c:pt>
                <c:pt idx="3">
                  <c:v>35</c:v>
                </c:pt>
                <c:pt idx="4">
                  <c:v>40</c:v>
                </c:pt>
                <c:pt idx="5">
                  <c:v>45</c:v>
                </c:pt>
                <c:pt idx="6">
                  <c:v>50</c:v>
                </c:pt>
                <c:pt idx="7">
                  <c:v>55</c:v>
                </c:pt>
                <c:pt idx="8">
                  <c:v>60</c:v>
                </c:pt>
                <c:pt idx="9">
                  <c:v>65</c:v>
                </c:pt>
              </c:numCache>
            </c:numRef>
          </c:xVal>
          <c:yVal>
            <c:numRef>
              <c:f>'Analysis of Training Set (Ch1)'!$W$19:$W$28</c:f>
              <c:numCache>
                <c:formatCode>0</c:formatCode>
                <c:ptCount val="10"/>
                <c:pt idx="0">
                  <c:v>146843.04532261664</c:v>
                </c:pt>
                <c:pt idx="1">
                  <c:v>154497.65572672468</c:v>
                </c:pt>
                <c:pt idx="2">
                  <c:v>165979.57133288679</c:v>
                </c:pt>
                <c:pt idx="3">
                  <c:v>185116.09734315693</c:v>
                </c:pt>
                <c:pt idx="4">
                  <c:v>204252.62335342707</c:v>
                </c:pt>
                <c:pt idx="5">
                  <c:v>223389.14936369724</c:v>
                </c:pt>
                <c:pt idx="6">
                  <c:v>242525.67537396739</c:v>
                </c:pt>
                <c:pt idx="7">
                  <c:v>261662.20138423753</c:v>
                </c:pt>
                <c:pt idx="8">
                  <c:v>280798.72739450773</c:v>
                </c:pt>
                <c:pt idx="9">
                  <c:v>299935.25340477785</c:v>
                </c:pt>
              </c:numCache>
            </c:numRef>
          </c:yVal>
          <c:smooth val="1"/>
          <c:extLst>
            <c:ext xmlns:c16="http://schemas.microsoft.com/office/drawing/2014/chart" uri="{C3380CC4-5D6E-409C-BE32-E72D297353CC}">
              <c16:uniqueId val="{00000002-1F26-44E2-80C2-95FF7075043F}"/>
            </c:ext>
          </c:extLst>
        </c:ser>
        <c:dLbls>
          <c:showLegendKey val="0"/>
          <c:showVal val="0"/>
          <c:showCatName val="0"/>
          <c:showSerName val="0"/>
          <c:showPercent val="0"/>
          <c:showBubbleSize val="0"/>
        </c:dLbls>
        <c:axId val="147884288"/>
        <c:axId val="147918848"/>
      </c:scatterChart>
      <c:valAx>
        <c:axId val="147884288"/>
        <c:scaling>
          <c:orientation val="minMax"/>
          <c:min val="2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18848"/>
        <c:crosses val="autoZero"/>
        <c:crossBetween val="midCat"/>
      </c:valAx>
      <c:valAx>
        <c:axId val="147918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8428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'Fit to Validation Set (Ch1)'!$B$4:$B$13</c:f>
              <c:numCache>
                <c:formatCode>General</c:formatCode>
                <c:ptCount val="10"/>
                <c:pt idx="0">
                  <c:v>30</c:v>
                </c:pt>
                <c:pt idx="1">
                  <c:v>26</c:v>
                </c:pt>
                <c:pt idx="2">
                  <c:v>58</c:v>
                </c:pt>
                <c:pt idx="3">
                  <c:v>29</c:v>
                </c:pt>
                <c:pt idx="4">
                  <c:v>40</c:v>
                </c:pt>
                <c:pt idx="5">
                  <c:v>27</c:v>
                </c:pt>
                <c:pt idx="6">
                  <c:v>33</c:v>
                </c:pt>
                <c:pt idx="7">
                  <c:v>61</c:v>
                </c:pt>
                <c:pt idx="8">
                  <c:v>27</c:v>
                </c:pt>
                <c:pt idx="9">
                  <c:v>48</c:v>
                </c:pt>
              </c:numCache>
            </c:numRef>
          </c:xVal>
          <c:yVal>
            <c:numRef>
              <c:f>'Fit to Validation Set (Ch1)'!$C$4:$C$13</c:f>
              <c:numCache>
                <c:formatCode>General</c:formatCode>
                <c:ptCount val="10"/>
                <c:pt idx="0">
                  <c:v>166000</c:v>
                </c:pt>
                <c:pt idx="1">
                  <c:v>78000</c:v>
                </c:pt>
                <c:pt idx="2">
                  <c:v>310000</c:v>
                </c:pt>
                <c:pt idx="3">
                  <c:v>100000</c:v>
                </c:pt>
                <c:pt idx="4">
                  <c:v>260000</c:v>
                </c:pt>
                <c:pt idx="5">
                  <c:v>150000</c:v>
                </c:pt>
                <c:pt idx="6">
                  <c:v>140000</c:v>
                </c:pt>
                <c:pt idx="7">
                  <c:v>220000</c:v>
                </c:pt>
                <c:pt idx="8">
                  <c:v>86000</c:v>
                </c:pt>
                <c:pt idx="9">
                  <c:v>276000</c:v>
                </c:pt>
              </c:numCache>
            </c:numRef>
          </c:yVal>
          <c:smooth val="0"/>
          <c:extLst>
            <c:ext xmlns:c16="http://schemas.microsoft.com/office/drawing/2014/chart" uri="{C3380CC4-5D6E-409C-BE32-E72D297353CC}">
              <c16:uniqueId val="{00000000-E68E-424C-A4C5-63E480A4824C}"/>
            </c:ext>
          </c:extLst>
        </c:ser>
        <c:dLbls>
          <c:showLegendKey val="0"/>
          <c:showVal val="0"/>
          <c:showCatName val="0"/>
          <c:showSerName val="0"/>
          <c:showPercent val="0"/>
          <c:showBubbleSize val="0"/>
        </c:dLbls>
        <c:axId val="146992512"/>
        <c:axId val="147023744"/>
      </c:scatterChart>
      <c:valAx>
        <c:axId val="146992512"/>
        <c:scaling>
          <c:orientation val="minMax"/>
          <c:min val="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23744"/>
        <c:crosses val="autoZero"/>
        <c:crossBetween val="midCat"/>
      </c:valAx>
      <c:valAx>
        <c:axId val="147023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2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3210411198600175"/>
          <c:y val="0.1111111111111111"/>
        </c:manualLayout>
      </c:layout>
      <c:overlay val="0"/>
    </c:title>
    <c:autoTitleDeleted val="0"/>
    <c:plotArea>
      <c:layout/>
      <c:scatterChart>
        <c:scatterStyle val="smoothMarker"/>
        <c:varyColors val="0"/>
        <c:ser>
          <c:idx val="0"/>
          <c:order val="0"/>
          <c:tx>
            <c:strRef>
              <c:f>'Gradient Descent Tables (Ch6)'!$O$3</c:f>
              <c:strCache>
                <c:ptCount val="1"/>
                <c:pt idx="0">
                  <c:v>mse</c:v>
                </c:pt>
              </c:strCache>
            </c:strRef>
          </c:tx>
          <c:marker>
            <c:symbol val="none"/>
          </c:marker>
          <c:xVal>
            <c:numRef>
              <c:f>'Gradient Descent Tables (Ch6)'!$N$4:$N$12</c:f>
              <c:numCache>
                <c:formatCode>General</c:formatCode>
                <c:ptCount val="9"/>
                <c:pt idx="0">
                  <c:v>1</c:v>
                </c:pt>
                <c:pt idx="1">
                  <c:v>2</c:v>
                </c:pt>
                <c:pt idx="2">
                  <c:v>3</c:v>
                </c:pt>
                <c:pt idx="3">
                  <c:v>4</c:v>
                </c:pt>
                <c:pt idx="4">
                  <c:v>5</c:v>
                </c:pt>
                <c:pt idx="5">
                  <c:v>6</c:v>
                </c:pt>
                <c:pt idx="6">
                  <c:v>7</c:v>
                </c:pt>
                <c:pt idx="7">
                  <c:v>8</c:v>
                </c:pt>
                <c:pt idx="8">
                  <c:v>9</c:v>
                </c:pt>
              </c:numCache>
            </c:numRef>
          </c:xVal>
          <c:yVal>
            <c:numRef>
              <c:f>'Gradient Descent Tables (Ch6)'!$O$4:$O$12</c:f>
              <c:numCache>
                <c:formatCode>General</c:formatCode>
                <c:ptCount val="9"/>
                <c:pt idx="0">
                  <c:v>33690.9</c:v>
                </c:pt>
                <c:pt idx="1">
                  <c:v>19750.099999999999</c:v>
                </c:pt>
                <c:pt idx="2">
                  <c:v>9900.1</c:v>
                </c:pt>
                <c:pt idx="3">
                  <c:v>4140.8999999999996</c:v>
                </c:pt>
                <c:pt idx="4">
                  <c:v>2472.5</c:v>
                </c:pt>
                <c:pt idx="5">
                  <c:v>4894.8999999999996</c:v>
                </c:pt>
                <c:pt idx="6">
                  <c:v>11408.1</c:v>
                </c:pt>
                <c:pt idx="7">
                  <c:v>22012.1</c:v>
                </c:pt>
                <c:pt idx="8">
                  <c:v>36706.9</c:v>
                </c:pt>
              </c:numCache>
            </c:numRef>
          </c:yVal>
          <c:smooth val="1"/>
          <c:extLst>
            <c:ext xmlns:c16="http://schemas.microsoft.com/office/drawing/2014/chart" uri="{C3380CC4-5D6E-409C-BE32-E72D297353CC}">
              <c16:uniqueId val="{00000000-4A49-49FD-9BBE-4A71BC3A7219}"/>
            </c:ext>
          </c:extLst>
        </c:ser>
        <c:dLbls>
          <c:showLegendKey val="0"/>
          <c:showVal val="0"/>
          <c:showCatName val="0"/>
          <c:showSerName val="0"/>
          <c:showPercent val="0"/>
          <c:showBubbleSize val="0"/>
        </c:dLbls>
        <c:axId val="102881536"/>
        <c:axId val="101812096"/>
      </c:scatterChart>
      <c:valAx>
        <c:axId val="102881536"/>
        <c:scaling>
          <c:orientation val="minMax"/>
        </c:scaling>
        <c:delete val="0"/>
        <c:axPos val="b"/>
        <c:title>
          <c:tx>
            <c:rich>
              <a:bodyPr/>
              <a:lstStyle/>
              <a:p>
                <a:pPr>
                  <a:defRPr/>
                </a:pPr>
                <a:r>
                  <a:rPr lang="en-US" sz="1400" b="0" i="1"/>
                  <a:t>b</a:t>
                </a:r>
              </a:p>
            </c:rich>
          </c:tx>
          <c:layout>
            <c:manualLayout>
              <c:xMode val="edge"/>
              <c:yMode val="edge"/>
              <c:x val="0.88313298337707791"/>
              <c:y val="0.63847222222222222"/>
            </c:manualLayout>
          </c:layout>
          <c:overlay val="0"/>
        </c:title>
        <c:numFmt formatCode="General" sourceLinked="1"/>
        <c:majorTickMark val="out"/>
        <c:minorTickMark val="none"/>
        <c:tickLblPos val="nextTo"/>
        <c:crossAx val="101812096"/>
        <c:crosses val="autoZero"/>
        <c:crossBetween val="midCat"/>
      </c:valAx>
      <c:valAx>
        <c:axId val="101812096"/>
        <c:scaling>
          <c:orientation val="minMax"/>
        </c:scaling>
        <c:delete val="0"/>
        <c:axPos val="l"/>
        <c:numFmt formatCode="General" sourceLinked="1"/>
        <c:majorTickMark val="out"/>
        <c:minorTickMark val="none"/>
        <c:tickLblPos val="nextTo"/>
        <c:crossAx val="102881536"/>
        <c:crosses val="autoZero"/>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590550</xdr:colOff>
      <xdr:row>0</xdr:row>
      <xdr:rowOff>95250</xdr:rowOff>
    </xdr:from>
    <xdr:to>
      <xdr:col>11</xdr:col>
      <xdr:colOff>104775</xdr:colOff>
      <xdr:row>12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133350</xdr:colOff>
      <xdr:row>39</xdr:row>
      <xdr:rowOff>28575</xdr:rowOff>
    </xdr:from>
    <xdr:to>
      <xdr:col>6</xdr:col>
      <xdr:colOff>180975</xdr:colOff>
      <xdr:row>52</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xdr:colOff>
      <xdr:row>39</xdr:row>
      <xdr:rowOff>28575</xdr:rowOff>
    </xdr:from>
    <xdr:to>
      <xdr:col>12</xdr:col>
      <xdr:colOff>171450</xdr:colOff>
      <xdr:row>52</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33337</xdr:colOff>
      <xdr:row>39</xdr:row>
      <xdr:rowOff>38100</xdr:rowOff>
    </xdr:from>
    <xdr:to>
      <xdr:col>18</xdr:col>
      <xdr:colOff>838200</xdr:colOff>
      <xdr:row>53</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214312</xdr:colOff>
      <xdr:row>24</xdr:row>
      <xdr:rowOff>19050</xdr:rowOff>
    </xdr:from>
    <xdr:to>
      <xdr:col>13</xdr:col>
      <xdr:colOff>138112</xdr:colOff>
      <xdr:row>38</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161924</xdr:colOff>
      <xdr:row>18</xdr:row>
      <xdr:rowOff>142875</xdr:rowOff>
    </xdr:from>
    <xdr:to>
      <xdr:col>14</xdr:col>
      <xdr:colOff>76199</xdr:colOff>
      <xdr:row>29</xdr:row>
      <xdr:rowOff>19050</xdr:rowOff>
    </xdr:to>
    <xdr:sp macro="" textlink="">
      <xdr:nvSpPr>
        <xdr:cNvPr id="2" name="TextBox 1"/>
        <xdr:cNvSpPr txBox="1"/>
      </xdr:nvSpPr>
      <xdr:spPr>
        <a:xfrm>
          <a:off x="5819774" y="3581400"/>
          <a:ext cx="2352675" cy="1971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We use Solver</a:t>
          </a:r>
          <a:r>
            <a:rPr lang="en-CA" sz="1100" baseline="0"/>
            <a:t> to find the parameters in j3:o3 that minimize s16. By changing cell k1 we can carry out calculations for other values the the ridge parameter lambda.</a:t>
          </a:r>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161924</xdr:colOff>
      <xdr:row>19</xdr:row>
      <xdr:rowOff>142875</xdr:rowOff>
    </xdr:from>
    <xdr:to>
      <xdr:col>14</xdr:col>
      <xdr:colOff>76199</xdr:colOff>
      <xdr:row>30</xdr:row>
      <xdr:rowOff>19050</xdr:rowOff>
    </xdr:to>
    <xdr:sp macro="" textlink="">
      <xdr:nvSpPr>
        <xdr:cNvPr id="2" name="TextBox 1"/>
        <xdr:cNvSpPr txBox="1"/>
      </xdr:nvSpPr>
      <xdr:spPr>
        <a:xfrm>
          <a:off x="6848474" y="3581400"/>
          <a:ext cx="2352675" cy="1971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We use Solver</a:t>
          </a:r>
          <a:r>
            <a:rPr lang="en-CA" sz="1100" baseline="0"/>
            <a:t> to find the parameters in j3:o3 that minimize s17. By changing cell k1 we can carry out calculations for other values the the lasso parameter lambda. (You may have to use Solver more than once and try different starting conditions to  get the global minimum.)</a:t>
          </a:r>
          <a:endParaRPr lang="en-CA"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161924</xdr:colOff>
      <xdr:row>19</xdr:row>
      <xdr:rowOff>142875</xdr:rowOff>
    </xdr:from>
    <xdr:to>
      <xdr:col>14</xdr:col>
      <xdr:colOff>76199</xdr:colOff>
      <xdr:row>30</xdr:row>
      <xdr:rowOff>19050</xdr:rowOff>
    </xdr:to>
    <xdr:sp macro="" textlink="">
      <xdr:nvSpPr>
        <xdr:cNvPr id="2" name="TextBox 1"/>
        <xdr:cNvSpPr txBox="1"/>
      </xdr:nvSpPr>
      <xdr:spPr>
        <a:xfrm>
          <a:off x="6848474" y="3762375"/>
          <a:ext cx="2352675" cy="1971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We use Solver</a:t>
          </a:r>
          <a:r>
            <a:rPr lang="en-CA" sz="1100" baseline="0"/>
            <a:t> to find the parameters in j3:o3 that minimize s17. By changing cell k1 we can carry out calculations for other values the elastic net parameters. (You may have to use Solver more than once and try different starting conditions to  get the global minimum.)</a:t>
          </a:r>
          <a:endParaRPr lang="en-CA"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11</xdr:col>
      <xdr:colOff>133350</xdr:colOff>
      <xdr:row>11</xdr:row>
      <xdr:rowOff>109537</xdr:rowOff>
    </xdr:from>
    <xdr:ext cx="65" cy="172227"/>
    <xdr:sp macro="" textlink="">
      <xdr:nvSpPr>
        <xdr:cNvPr id="3" name="TextBox 2"/>
        <xdr:cNvSpPr txBox="1"/>
      </xdr:nvSpPr>
      <xdr:spPr>
        <a:xfrm>
          <a:off x="6286500" y="2205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twoCellAnchor>
    <xdr:from>
      <xdr:col>16</xdr:col>
      <xdr:colOff>590550</xdr:colOff>
      <xdr:row>1</xdr:row>
      <xdr:rowOff>100012</xdr:rowOff>
    </xdr:from>
    <xdr:to>
      <xdr:col>24</xdr:col>
      <xdr:colOff>285750</xdr:colOff>
      <xdr:row>15</xdr:row>
      <xdr:rowOff>176212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A36"/>
  <sheetViews>
    <sheetView tabSelected="1" workbookViewId="0">
      <selection activeCell="M9" sqref="M9"/>
    </sheetView>
  </sheetViews>
  <sheetFormatPr defaultRowHeight="15" x14ac:dyDescent="0.25"/>
  <cols>
    <col min="2" max="2" width="12.7109375" customWidth="1"/>
    <col min="3" max="3" width="11.85546875" customWidth="1"/>
    <col min="4" max="4" width="12.7109375" bestFit="1" customWidth="1"/>
    <col min="10" max="10" width="14.42578125" customWidth="1"/>
    <col min="11" max="11" width="12.28515625" customWidth="1"/>
    <col min="14" max="14" width="9" customWidth="1"/>
    <col min="18" max="18" width="12" customWidth="1"/>
    <col min="19" max="21" width="13.140625" customWidth="1"/>
    <col min="25" max="25" width="22.42578125" customWidth="1"/>
    <col min="35" max="35" width="19.28515625" customWidth="1"/>
    <col min="45" max="45" width="20.5703125" customWidth="1"/>
  </cols>
  <sheetData>
    <row r="1" spans="2:53" x14ac:dyDescent="0.25">
      <c r="B1" s="25" t="s">
        <v>87</v>
      </c>
      <c r="C1" s="25"/>
      <c r="N1" s="9" t="s">
        <v>53</v>
      </c>
      <c r="Y1" s="9" t="s">
        <v>41</v>
      </c>
      <c r="AI1" s="9" t="s">
        <v>43</v>
      </c>
      <c r="AS1" s="9" t="s">
        <v>54</v>
      </c>
    </row>
    <row r="2" spans="2:53" ht="15.75" thickBot="1" x14ac:dyDescent="0.3">
      <c r="Y2" s="9" t="s">
        <v>88</v>
      </c>
      <c r="AI2" s="9" t="s">
        <v>88</v>
      </c>
      <c r="AS2" s="9" t="s">
        <v>88</v>
      </c>
    </row>
    <row r="3" spans="2:53" x14ac:dyDescent="0.25">
      <c r="B3" t="s">
        <v>0</v>
      </c>
      <c r="C3" t="s">
        <v>1</v>
      </c>
      <c r="N3" t="s">
        <v>1</v>
      </c>
      <c r="O3" t="s">
        <v>0</v>
      </c>
      <c r="P3" t="s">
        <v>2</v>
      </c>
      <c r="Q3" t="s">
        <v>3</v>
      </c>
      <c r="R3" t="s">
        <v>4</v>
      </c>
      <c r="S3" t="s">
        <v>5</v>
      </c>
      <c r="Y3" s="6" t="s">
        <v>6</v>
      </c>
      <c r="Z3" s="6"/>
      <c r="AI3" s="6" t="s">
        <v>6</v>
      </c>
      <c r="AJ3" s="6"/>
      <c r="AS3" s="6" t="s">
        <v>6</v>
      </c>
      <c r="AT3" s="6"/>
    </row>
    <row r="4" spans="2:53" x14ac:dyDescent="0.25">
      <c r="B4" s="1">
        <v>25</v>
      </c>
      <c r="C4">
        <v>135000</v>
      </c>
      <c r="N4">
        <v>135000</v>
      </c>
      <c r="O4" s="1">
        <v>25</v>
      </c>
      <c r="P4" s="1">
        <f>O4^2</f>
        <v>625</v>
      </c>
      <c r="Q4" s="1">
        <f>O4^3</f>
        <v>15625</v>
      </c>
      <c r="R4" s="1">
        <f>O4^4</f>
        <v>390625</v>
      </c>
      <c r="S4" s="1">
        <f>O4^5</f>
        <v>9765625</v>
      </c>
      <c r="T4" s="1"/>
      <c r="U4" s="1"/>
      <c r="Y4" s="3" t="s">
        <v>7</v>
      </c>
      <c r="Z4" s="3">
        <v>0.98443427296083597</v>
      </c>
      <c r="AI4" s="3" t="s">
        <v>7</v>
      </c>
      <c r="AJ4" s="3">
        <v>0.89373310036197817</v>
      </c>
      <c r="AS4" s="3" t="s">
        <v>7</v>
      </c>
      <c r="AT4" s="3">
        <v>0.73558279111539437</v>
      </c>
    </row>
    <row r="5" spans="2:53" x14ac:dyDescent="0.25">
      <c r="B5" s="1">
        <v>55</v>
      </c>
      <c r="C5">
        <v>260000</v>
      </c>
      <c r="N5">
        <v>260000</v>
      </c>
      <c r="O5" s="1">
        <v>55</v>
      </c>
      <c r="P5" s="1">
        <f t="shared" ref="P5:P13" si="0">O5^2</f>
        <v>3025</v>
      </c>
      <c r="Q5" s="1">
        <f t="shared" ref="Q5:Q13" si="1">O5^3</f>
        <v>166375</v>
      </c>
      <c r="R5" s="1">
        <f t="shared" ref="R5:R13" si="2">O5^4</f>
        <v>9150625</v>
      </c>
      <c r="S5" s="1">
        <f t="shared" ref="S5:S13" si="3">O5^5</f>
        <v>503284375</v>
      </c>
      <c r="T5" s="1"/>
      <c r="U5" s="1"/>
      <c r="Y5" s="3" t="s">
        <v>8</v>
      </c>
      <c r="Z5" s="3">
        <v>0.96911083777992979</v>
      </c>
      <c r="AI5" s="3" t="s">
        <v>8</v>
      </c>
      <c r="AJ5" s="3">
        <v>0.79875885468263375</v>
      </c>
      <c r="AS5" s="3" t="s">
        <v>8</v>
      </c>
      <c r="AT5" s="3">
        <v>0.54108204258511383</v>
      </c>
    </row>
    <row r="6" spans="2:53" x14ac:dyDescent="0.25">
      <c r="B6" s="1">
        <v>27</v>
      </c>
      <c r="C6">
        <v>105000</v>
      </c>
      <c r="N6">
        <v>105000</v>
      </c>
      <c r="O6" s="1">
        <v>27</v>
      </c>
      <c r="P6" s="1">
        <f t="shared" si="0"/>
        <v>729</v>
      </c>
      <c r="Q6" s="1">
        <f t="shared" si="1"/>
        <v>19683</v>
      </c>
      <c r="R6" s="1">
        <f t="shared" si="2"/>
        <v>531441</v>
      </c>
      <c r="S6" s="1">
        <f t="shared" si="3"/>
        <v>14348907</v>
      </c>
      <c r="T6" s="1"/>
      <c r="U6" s="1"/>
      <c r="Y6" s="3" t="s">
        <v>9</v>
      </c>
      <c r="Z6" s="3">
        <v>0.93049938500484197</v>
      </c>
      <c r="AI6" s="3" t="s">
        <v>9</v>
      </c>
      <c r="AJ6" s="3">
        <v>0.74126138459195767</v>
      </c>
      <c r="AS6" s="3" t="s">
        <v>9</v>
      </c>
      <c r="AT6" s="3">
        <v>0.48371729790825302</v>
      </c>
    </row>
    <row r="7" spans="2:53" x14ac:dyDescent="0.25">
      <c r="B7" s="1">
        <v>35</v>
      </c>
      <c r="C7">
        <v>220000</v>
      </c>
      <c r="N7">
        <v>220000</v>
      </c>
      <c r="O7" s="1">
        <v>35</v>
      </c>
      <c r="P7" s="1">
        <f t="shared" si="0"/>
        <v>1225</v>
      </c>
      <c r="Q7" s="1">
        <f t="shared" si="1"/>
        <v>42875</v>
      </c>
      <c r="R7" s="1">
        <f t="shared" si="2"/>
        <v>1500625</v>
      </c>
      <c r="S7" s="1">
        <f t="shared" si="3"/>
        <v>52521875</v>
      </c>
      <c r="T7" s="1"/>
      <c r="U7" s="1"/>
      <c r="Y7" s="3" t="s">
        <v>10</v>
      </c>
      <c r="Z7" s="3">
        <v>19353.304566526607</v>
      </c>
      <c r="AI7" s="3" t="s">
        <v>10</v>
      </c>
      <c r="AJ7" s="3">
        <v>37341.471871586786</v>
      </c>
      <c r="AS7" s="3" t="s">
        <v>10</v>
      </c>
      <c r="AT7" s="3">
        <v>52747.829611173955</v>
      </c>
    </row>
    <row r="8" spans="2:53" ht="15.75" thickBot="1" x14ac:dyDescent="0.3">
      <c r="B8" s="1">
        <v>60</v>
      </c>
      <c r="C8">
        <v>240000</v>
      </c>
      <c r="N8">
        <v>240000</v>
      </c>
      <c r="O8" s="1">
        <v>60</v>
      </c>
      <c r="P8" s="1">
        <f t="shared" si="0"/>
        <v>3600</v>
      </c>
      <c r="Q8" s="1">
        <f t="shared" si="1"/>
        <v>216000</v>
      </c>
      <c r="R8" s="1">
        <f t="shared" si="2"/>
        <v>12960000</v>
      </c>
      <c r="S8" s="1">
        <f t="shared" si="3"/>
        <v>777600000</v>
      </c>
      <c r="T8" s="1"/>
      <c r="U8" s="1"/>
      <c r="Y8" s="4" t="s">
        <v>11</v>
      </c>
      <c r="Z8" s="4">
        <v>10</v>
      </c>
      <c r="AI8" s="4" t="s">
        <v>11</v>
      </c>
      <c r="AJ8" s="4">
        <v>10</v>
      </c>
      <c r="AS8" s="4" t="s">
        <v>11</v>
      </c>
      <c r="AT8" s="4">
        <v>10</v>
      </c>
    </row>
    <row r="9" spans="2:53" x14ac:dyDescent="0.25">
      <c r="B9" s="1">
        <v>65</v>
      </c>
      <c r="C9">
        <v>265000</v>
      </c>
      <c r="N9">
        <v>265000</v>
      </c>
      <c r="O9" s="1">
        <v>65</v>
      </c>
      <c r="P9" s="1">
        <f t="shared" si="0"/>
        <v>4225</v>
      </c>
      <c r="Q9" s="1">
        <f t="shared" si="1"/>
        <v>274625</v>
      </c>
      <c r="R9" s="1">
        <f t="shared" si="2"/>
        <v>17850625</v>
      </c>
      <c r="S9" s="1">
        <f t="shared" si="3"/>
        <v>1160290625</v>
      </c>
      <c r="T9" s="1"/>
      <c r="U9" s="1"/>
    </row>
    <row r="10" spans="2:53" ht="15.75" thickBot="1" x14ac:dyDescent="0.3">
      <c r="B10" s="1">
        <v>45</v>
      </c>
      <c r="C10">
        <v>270000</v>
      </c>
      <c r="N10">
        <v>270000</v>
      </c>
      <c r="O10" s="1">
        <v>45</v>
      </c>
      <c r="P10" s="1">
        <f t="shared" si="0"/>
        <v>2025</v>
      </c>
      <c r="Q10" s="1">
        <f t="shared" si="1"/>
        <v>91125</v>
      </c>
      <c r="R10" s="1">
        <f t="shared" si="2"/>
        <v>4100625</v>
      </c>
      <c r="S10" s="1">
        <f t="shared" si="3"/>
        <v>184528125</v>
      </c>
      <c r="T10" s="1"/>
      <c r="U10" s="1"/>
      <c r="Y10" t="s">
        <v>12</v>
      </c>
      <c r="AI10" t="s">
        <v>12</v>
      </c>
      <c r="AS10" t="s">
        <v>12</v>
      </c>
    </row>
    <row r="11" spans="2:53" x14ac:dyDescent="0.25">
      <c r="B11" s="1">
        <v>40</v>
      </c>
      <c r="C11">
        <v>300000</v>
      </c>
      <c r="N11">
        <v>300000</v>
      </c>
      <c r="O11" s="1">
        <v>40</v>
      </c>
      <c r="P11" s="1">
        <f t="shared" si="0"/>
        <v>1600</v>
      </c>
      <c r="Q11" s="1">
        <f t="shared" si="1"/>
        <v>64000</v>
      </c>
      <c r="R11" s="1">
        <f t="shared" si="2"/>
        <v>2560000</v>
      </c>
      <c r="S11" s="1">
        <f t="shared" si="3"/>
        <v>102400000</v>
      </c>
      <c r="T11" s="1"/>
      <c r="U11" s="1"/>
      <c r="Y11" s="5"/>
      <c r="Z11" s="5" t="s">
        <v>17</v>
      </c>
      <c r="AA11" s="5" t="s">
        <v>18</v>
      </c>
      <c r="AB11" s="5" t="s">
        <v>19</v>
      </c>
      <c r="AC11" s="5" t="s">
        <v>20</v>
      </c>
      <c r="AD11" s="5" t="s">
        <v>21</v>
      </c>
      <c r="AI11" s="5"/>
      <c r="AJ11" s="5" t="s">
        <v>17</v>
      </c>
      <c r="AK11" s="5" t="s">
        <v>18</v>
      </c>
      <c r="AL11" s="5" t="s">
        <v>19</v>
      </c>
      <c r="AM11" s="5" t="s">
        <v>20</v>
      </c>
      <c r="AN11" s="5" t="s">
        <v>21</v>
      </c>
      <c r="AS11" s="5"/>
      <c r="AT11" s="5" t="s">
        <v>17</v>
      </c>
      <c r="AU11" s="5" t="s">
        <v>18</v>
      </c>
      <c r="AV11" s="5" t="s">
        <v>19</v>
      </c>
      <c r="AW11" s="5" t="s">
        <v>20</v>
      </c>
      <c r="AX11" s="5" t="s">
        <v>21</v>
      </c>
    </row>
    <row r="12" spans="2:53" x14ac:dyDescent="0.25">
      <c r="B12" s="1">
        <v>50</v>
      </c>
      <c r="C12">
        <v>265000</v>
      </c>
      <c r="N12">
        <v>265000</v>
      </c>
      <c r="O12" s="1">
        <v>50</v>
      </c>
      <c r="P12" s="1">
        <f t="shared" si="0"/>
        <v>2500</v>
      </c>
      <c r="Q12" s="1">
        <f t="shared" si="1"/>
        <v>125000</v>
      </c>
      <c r="R12" s="1">
        <f t="shared" si="2"/>
        <v>6250000</v>
      </c>
      <c r="S12" s="1">
        <f t="shared" si="3"/>
        <v>312500000</v>
      </c>
      <c r="T12" s="1"/>
      <c r="U12" s="1"/>
      <c r="Y12" s="3" t="s">
        <v>13</v>
      </c>
      <c r="Z12" s="3">
        <v>5</v>
      </c>
      <c r="AA12" s="3">
        <v>47004298409.421043</v>
      </c>
      <c r="AB12" s="3">
        <v>9400859681.8842087</v>
      </c>
      <c r="AC12" s="3">
        <v>25.099051398687621</v>
      </c>
      <c r="AD12" s="3">
        <v>4.0461712974214159E-3</v>
      </c>
      <c r="AI12" s="3" t="s">
        <v>13</v>
      </c>
      <c r="AJ12" s="3">
        <v>2</v>
      </c>
      <c r="AK12" s="3">
        <v>38741801349.244446</v>
      </c>
      <c r="AL12" s="3">
        <v>19370900674.622223</v>
      </c>
      <c r="AM12" s="3">
        <v>13.892069571460381</v>
      </c>
      <c r="AN12" s="3">
        <v>3.6560214173847788E-3</v>
      </c>
      <c r="AS12" s="3" t="s">
        <v>13</v>
      </c>
      <c r="AT12" s="3">
        <v>1</v>
      </c>
      <c r="AU12" s="3">
        <v>26243831770.484482</v>
      </c>
      <c r="AV12" s="3">
        <v>26243831770.484482</v>
      </c>
      <c r="AW12" s="3">
        <v>9.4323097859680729</v>
      </c>
      <c r="AX12" s="3">
        <v>1.5319844278284693E-2</v>
      </c>
    </row>
    <row r="13" spans="2:53" x14ac:dyDescent="0.25">
      <c r="B13" s="1">
        <v>30</v>
      </c>
      <c r="C13">
        <v>105000</v>
      </c>
      <c r="N13">
        <v>105000</v>
      </c>
      <c r="O13" s="1">
        <v>30</v>
      </c>
      <c r="P13" s="1">
        <f t="shared" si="0"/>
        <v>900</v>
      </c>
      <c r="Q13" s="1">
        <f t="shared" si="1"/>
        <v>27000</v>
      </c>
      <c r="R13" s="1">
        <f t="shared" si="2"/>
        <v>810000</v>
      </c>
      <c r="S13" s="1">
        <f t="shared" si="3"/>
        <v>24300000</v>
      </c>
      <c r="T13" s="1"/>
      <c r="U13" s="1"/>
      <c r="Y13" s="3" t="s">
        <v>14</v>
      </c>
      <c r="Z13" s="3">
        <v>4</v>
      </c>
      <c r="AA13" s="3">
        <v>1498201590.5789587</v>
      </c>
      <c r="AB13" s="3">
        <v>374550397.64473969</v>
      </c>
      <c r="AC13" s="3"/>
      <c r="AD13" s="3"/>
      <c r="AI13" s="3" t="s">
        <v>14</v>
      </c>
      <c r="AJ13" s="3">
        <v>7</v>
      </c>
      <c r="AK13" s="3">
        <v>9760698650.7555504</v>
      </c>
      <c r="AL13" s="3">
        <v>1394385521.5365071</v>
      </c>
      <c r="AM13" s="3"/>
      <c r="AN13" s="3"/>
      <c r="AS13" s="3" t="s">
        <v>14</v>
      </c>
      <c r="AT13" s="3">
        <v>8</v>
      </c>
      <c r="AU13" s="3">
        <v>22258668229.515518</v>
      </c>
      <c r="AV13" s="3">
        <v>2782333528.6894398</v>
      </c>
      <c r="AW13" s="3"/>
      <c r="AX13" s="3"/>
    </row>
    <row r="14" spans="2:53" ht="15.75" thickBot="1" x14ac:dyDescent="0.3">
      <c r="Y14" s="4" t="s">
        <v>15</v>
      </c>
      <c r="Z14" s="4">
        <v>9</v>
      </c>
      <c r="AA14" s="4">
        <v>48502500000</v>
      </c>
      <c r="AB14" s="4"/>
      <c r="AC14" s="4"/>
      <c r="AD14" s="4"/>
      <c r="AI14" s="4" t="s">
        <v>15</v>
      </c>
      <c r="AJ14" s="4">
        <v>9</v>
      </c>
      <c r="AK14" s="4">
        <v>48502500000</v>
      </c>
      <c r="AL14" s="4"/>
      <c r="AM14" s="4"/>
      <c r="AN14" s="4"/>
      <c r="AS14" s="4" t="s">
        <v>15</v>
      </c>
      <c r="AT14" s="4">
        <v>9</v>
      </c>
      <c r="AU14" s="4">
        <v>48502500000</v>
      </c>
      <c r="AV14" s="4"/>
      <c r="AW14" s="4"/>
      <c r="AX14" s="4"/>
    </row>
    <row r="15" spans="2:53" ht="15.75" thickBot="1" x14ac:dyDescent="0.3"/>
    <row r="16" spans="2:53" x14ac:dyDescent="0.25">
      <c r="B16" t="s">
        <v>40</v>
      </c>
      <c r="H16" t="s">
        <v>42</v>
      </c>
      <c r="N16" t="s">
        <v>44</v>
      </c>
      <c r="T16" t="s">
        <v>48</v>
      </c>
      <c r="Y16" s="5"/>
      <c r="Z16" s="5" t="s">
        <v>22</v>
      </c>
      <c r="AA16" s="5" t="s">
        <v>10</v>
      </c>
      <c r="AB16" s="5" t="s">
        <v>23</v>
      </c>
      <c r="AC16" s="5" t="s">
        <v>24</v>
      </c>
      <c r="AD16" s="5" t="s">
        <v>25</v>
      </c>
      <c r="AE16" s="5" t="s">
        <v>26</v>
      </c>
      <c r="AF16" s="5" t="s">
        <v>27</v>
      </c>
      <c r="AG16" s="5" t="s">
        <v>28</v>
      </c>
      <c r="AI16" s="5"/>
      <c r="AJ16" s="5" t="s">
        <v>22</v>
      </c>
      <c r="AK16" s="5" t="s">
        <v>10</v>
      </c>
      <c r="AL16" s="5" t="s">
        <v>23</v>
      </c>
      <c r="AM16" s="5" t="s">
        <v>24</v>
      </c>
      <c r="AN16" s="5" t="s">
        <v>25</v>
      </c>
      <c r="AO16" s="5" t="s">
        <v>26</v>
      </c>
      <c r="AP16" s="5" t="s">
        <v>27</v>
      </c>
      <c r="AQ16" s="5" t="s">
        <v>28</v>
      </c>
      <c r="AS16" s="5"/>
      <c r="AT16" s="5" t="s">
        <v>22</v>
      </c>
      <c r="AU16" s="5" t="s">
        <v>10</v>
      </c>
      <c r="AV16" s="5" t="s">
        <v>23</v>
      </c>
      <c r="AW16" s="5" t="s">
        <v>24</v>
      </c>
      <c r="AX16" s="5" t="s">
        <v>25</v>
      </c>
      <c r="AY16" s="5" t="s">
        <v>26</v>
      </c>
      <c r="AZ16" s="5" t="s">
        <v>27</v>
      </c>
      <c r="BA16" s="5" t="s">
        <v>28</v>
      </c>
    </row>
    <row r="17" spans="2:53" x14ac:dyDescent="0.25">
      <c r="Y17" s="3" t="s">
        <v>16</v>
      </c>
      <c r="Z17" s="3">
        <v>19198420.876367368</v>
      </c>
      <c r="AA17" s="3">
        <v>5723898.8879042147</v>
      </c>
      <c r="AB17" s="3">
        <v>3.3540810647332733</v>
      </c>
      <c r="AC17" s="3">
        <v>2.8460755610774959E-2</v>
      </c>
      <c r="AD17" s="3">
        <v>3306329.8263986185</v>
      </c>
      <c r="AE17" s="3">
        <v>35090511.926336117</v>
      </c>
      <c r="AF17" s="3">
        <v>3306329.8263986185</v>
      </c>
      <c r="AG17" s="3">
        <v>35090511.926336117</v>
      </c>
      <c r="AI17" s="3" t="s">
        <v>16</v>
      </c>
      <c r="AJ17" s="3">
        <v>-382171.11154462752</v>
      </c>
      <c r="AK17" s="3">
        <v>150139.64563711939</v>
      </c>
      <c r="AL17" s="3">
        <v>-2.5454376818519839</v>
      </c>
      <c r="AM17" s="3">
        <v>3.8358233407346343E-2</v>
      </c>
      <c r="AN17" s="3">
        <v>-737194.95874370681</v>
      </c>
      <c r="AO17" s="3">
        <v>-27147.264345548174</v>
      </c>
      <c r="AP17" s="3">
        <v>-737194.95874370681</v>
      </c>
      <c r="AQ17" s="3">
        <v>-27147.264345548174</v>
      </c>
      <c r="AS17" s="3" t="s">
        <v>16</v>
      </c>
      <c r="AT17" s="3">
        <v>51160.415271265869</v>
      </c>
      <c r="AU17" s="3">
        <v>56360.286686393854</v>
      </c>
      <c r="AV17" s="3">
        <v>0.90773873376369274</v>
      </c>
      <c r="AW17" s="3">
        <v>0.3905401900686839</v>
      </c>
      <c r="AX17" s="3">
        <v>-78806.638888850721</v>
      </c>
      <c r="AY17" s="3">
        <v>181127.46943138246</v>
      </c>
      <c r="AZ17" s="3">
        <v>-78806.638888850721</v>
      </c>
      <c r="BA17" s="3">
        <v>181127.46943138246</v>
      </c>
    </row>
    <row r="18" spans="2:53" ht="15.75" thickBot="1" x14ac:dyDescent="0.3">
      <c r="B18" t="s">
        <v>0</v>
      </c>
      <c r="C18" t="s">
        <v>1</v>
      </c>
      <c r="D18" t="s">
        <v>34</v>
      </c>
      <c r="E18" t="s">
        <v>35</v>
      </c>
      <c r="F18" t="s">
        <v>38</v>
      </c>
      <c r="H18" t="s">
        <v>0</v>
      </c>
      <c r="I18" t="s">
        <v>1</v>
      </c>
      <c r="J18" t="s">
        <v>34</v>
      </c>
      <c r="K18" t="s">
        <v>35</v>
      </c>
      <c r="L18" t="s">
        <v>38</v>
      </c>
      <c r="N18" t="s">
        <v>0</v>
      </c>
      <c r="O18" t="s">
        <v>1</v>
      </c>
      <c r="P18" t="s">
        <v>34</v>
      </c>
      <c r="Q18" t="s">
        <v>35</v>
      </c>
      <c r="R18" t="s">
        <v>38</v>
      </c>
      <c r="T18" t="s">
        <v>0</v>
      </c>
      <c r="U18" t="s">
        <v>45</v>
      </c>
      <c r="V18" t="s">
        <v>46</v>
      </c>
      <c r="W18" t="s">
        <v>47</v>
      </c>
      <c r="Y18" s="3" t="s">
        <v>29</v>
      </c>
      <c r="Z18" s="3">
        <v>-2312165.5788718225</v>
      </c>
      <c r="AA18" s="3">
        <v>705471.79106082546</v>
      </c>
      <c r="AB18" s="3">
        <v>-3.2774741785139194</v>
      </c>
      <c r="AC18" s="3">
        <v>3.0573291133637066E-2</v>
      </c>
      <c r="AD18" s="3">
        <v>-4270869.2800177718</v>
      </c>
      <c r="AE18" s="3">
        <v>-353461.87772587314</v>
      </c>
      <c r="AF18" s="3">
        <v>-4270869.2800177718</v>
      </c>
      <c r="AG18" s="3">
        <v>-353461.87772587314</v>
      </c>
      <c r="AI18" s="3" t="s">
        <v>29</v>
      </c>
      <c r="AJ18" s="3">
        <v>25377.166570711172</v>
      </c>
      <c r="AK18" s="3">
        <v>7251.9328428816871</v>
      </c>
      <c r="AL18" s="3">
        <v>3.4993659098237173</v>
      </c>
      <c r="AM18" s="3">
        <v>1.000158174236134E-2</v>
      </c>
      <c r="AN18" s="3">
        <v>8229.0702995109241</v>
      </c>
      <c r="AO18" s="3">
        <v>42525.262841911419</v>
      </c>
      <c r="AP18" s="3">
        <v>8229.0702995109241</v>
      </c>
      <c r="AQ18" s="3">
        <v>42525.262841911419</v>
      </c>
      <c r="AS18" s="4" t="s">
        <v>29</v>
      </c>
      <c r="AT18" s="4">
        <v>3827.3052020540304</v>
      </c>
      <c r="AU18" s="4">
        <v>1246.1894427408854</v>
      </c>
      <c r="AV18" s="4">
        <v>3.0712065684300818</v>
      </c>
      <c r="AW18" s="4">
        <v>1.531984427828466E-2</v>
      </c>
      <c r="AX18" s="4">
        <v>953.58719384577216</v>
      </c>
      <c r="AY18" s="4">
        <v>6701.0232102622886</v>
      </c>
      <c r="AZ18" s="4">
        <v>953.58719384577216</v>
      </c>
      <c r="BA18" s="4">
        <v>6701.0232102622886</v>
      </c>
    </row>
    <row r="19" spans="2:53" ht="15.75" thickBot="1" x14ac:dyDescent="0.3">
      <c r="B19" s="1">
        <v>25</v>
      </c>
      <c r="C19">
        <v>135000</v>
      </c>
      <c r="D19" s="7">
        <f>$Z$17+$Z$18*B19+$Z$19*B19^2+$Z$20*B19^3+$Z$21*B19^4+$Z$22*B19^5</f>
        <v>134965.39159870637</v>
      </c>
      <c r="E19" s="7">
        <f>C19-D19</f>
        <v>34.608401293633506</v>
      </c>
      <c r="F19" s="7">
        <f>ABS(E19)</f>
        <v>34.608401293633506</v>
      </c>
      <c r="H19" s="1">
        <v>25</v>
      </c>
      <c r="I19">
        <v>135000</v>
      </c>
      <c r="J19" s="7">
        <f>$AJ$17+$AJ$18*H19+$AJ$19*H19^2</f>
        <v>100202.68326299268</v>
      </c>
      <c r="K19" s="7">
        <f>I19-J19</f>
        <v>34797.316737007321</v>
      </c>
      <c r="L19" s="7">
        <f>ABS(K19)</f>
        <v>34797.316737007321</v>
      </c>
      <c r="N19" s="1">
        <v>25</v>
      </c>
      <c r="O19">
        <v>135000</v>
      </c>
      <c r="P19" s="7">
        <f>$AT$17+$AT$18*N19</f>
        <v>146843.04532261664</v>
      </c>
      <c r="Q19" s="7">
        <f>O19-P19</f>
        <v>-11843.045322616643</v>
      </c>
      <c r="R19" s="7">
        <f>ABS(Q19)</f>
        <v>11843.045322616643</v>
      </c>
      <c r="T19" s="1">
        <v>25</v>
      </c>
      <c r="U19" s="7">
        <v>134965.39159870637</v>
      </c>
      <c r="V19">
        <v>100202.68326299268</v>
      </c>
      <c r="W19" s="7">
        <v>146843.04532261664</v>
      </c>
      <c r="Y19" s="3" t="s">
        <v>30</v>
      </c>
      <c r="Z19" s="3">
        <v>107539.45293309762</v>
      </c>
      <c r="AA19" s="3">
        <v>33840.510260875875</v>
      </c>
      <c r="AB19" s="3">
        <v>3.1778318974530215</v>
      </c>
      <c r="AC19" s="3">
        <v>3.3604839066740076E-2</v>
      </c>
      <c r="AD19" s="3">
        <v>13583.133861893089</v>
      </c>
      <c r="AE19" s="3">
        <v>201495.77200430215</v>
      </c>
      <c r="AF19" s="3">
        <v>13583.133861893089</v>
      </c>
      <c r="AG19" s="3">
        <v>201495.77200430215</v>
      </c>
      <c r="AI19" s="4" t="s">
        <v>30</v>
      </c>
      <c r="AJ19" s="4">
        <v>-243.28859113625458</v>
      </c>
      <c r="AK19" s="4">
        <v>81.26311095207663</v>
      </c>
      <c r="AL19" s="4">
        <v>-2.9938380193164078</v>
      </c>
      <c r="AM19" s="4">
        <v>2.0116757576528158E-2</v>
      </c>
      <c r="AN19" s="4">
        <v>-435.44531405341024</v>
      </c>
      <c r="AO19" s="4">
        <v>-51.131868219098948</v>
      </c>
      <c r="AP19" s="4">
        <v>-435.44531405341024</v>
      </c>
      <c r="AQ19" s="4">
        <v>-51.131868219098948</v>
      </c>
    </row>
    <row r="20" spans="2:53" x14ac:dyDescent="0.25">
      <c r="B20" s="1">
        <v>55</v>
      </c>
      <c r="C20">
        <v>260000</v>
      </c>
      <c r="D20" s="7">
        <f t="shared" ref="D20:D28" si="4">$Z$17+$Z$18*B20+$Z$19*B20^2+$Z$20*B20^3+$Z$21*B20^4+$Z$22*B20^5</f>
        <v>241956.76439757645</v>
      </c>
      <c r="E20" s="7">
        <f t="shared" ref="E20:E28" si="5">C20-D20</f>
        <v>18043.235602423549</v>
      </c>
      <c r="F20" s="7">
        <f t="shared" ref="F20:F28" si="6">ABS(E20)</f>
        <v>18043.235602423549</v>
      </c>
      <c r="H20" s="1">
        <v>55</v>
      </c>
      <c r="I20">
        <v>260000</v>
      </c>
      <c r="J20" s="7">
        <f t="shared" ref="J20:J28" si="7">$AJ$17+$AJ$18*H20+$AJ$19*H20^2</f>
        <v>277625.06165731675</v>
      </c>
      <c r="K20" s="7">
        <f t="shared" ref="K20:K28" si="8">I20-J20</f>
        <v>-17625.06165731675</v>
      </c>
      <c r="L20" s="7">
        <f t="shared" ref="L20:L28" si="9">ABS(K20)</f>
        <v>17625.06165731675</v>
      </c>
      <c r="N20" s="1">
        <v>55</v>
      </c>
      <c r="O20">
        <v>260000</v>
      </c>
      <c r="P20" s="7">
        <f t="shared" ref="P20:P28" si="10">$AT$17+$AT$18*N20</f>
        <v>261662.20138423753</v>
      </c>
      <c r="Q20" s="7">
        <f t="shared" ref="Q20:Q28" si="11">O20-P20</f>
        <v>-1662.2013842375309</v>
      </c>
      <c r="R20" s="7">
        <f t="shared" ref="R20:R28" si="12">ABS(Q20)</f>
        <v>1662.2013842375309</v>
      </c>
      <c r="T20" s="1">
        <v>27</v>
      </c>
      <c r="U20" s="7">
        <v>99724.960601959378</v>
      </c>
      <c r="V20">
        <v>125655.00292624446</v>
      </c>
      <c r="W20" s="7">
        <v>154497.65572672468</v>
      </c>
      <c r="Y20" s="3" t="s">
        <v>31</v>
      </c>
      <c r="Z20" s="3">
        <v>-2403.6422490814712</v>
      </c>
      <c r="AA20" s="3">
        <v>790.50551690379166</v>
      </c>
      <c r="AB20" s="3">
        <v>-3.0406394360104207</v>
      </c>
      <c r="AC20" s="3">
        <v>3.8378188797520259E-2</v>
      </c>
      <c r="AD20" s="3">
        <v>-4598.4374221208545</v>
      </c>
      <c r="AE20" s="3">
        <v>-208.84707604208734</v>
      </c>
      <c r="AF20" s="3">
        <v>-4598.4374221208545</v>
      </c>
      <c r="AG20" s="3">
        <v>-208.84707604208734</v>
      </c>
    </row>
    <row r="21" spans="2:53" x14ac:dyDescent="0.25">
      <c r="B21" s="1">
        <v>27</v>
      </c>
      <c r="C21">
        <v>105000</v>
      </c>
      <c r="D21" s="7">
        <f t="shared" si="4"/>
        <v>99724.960601959378</v>
      </c>
      <c r="E21" s="7">
        <f t="shared" si="5"/>
        <v>5275.0393980406225</v>
      </c>
      <c r="F21" s="7">
        <f t="shared" si="6"/>
        <v>5275.0393980406225</v>
      </c>
      <c r="H21" s="1">
        <v>27</v>
      </c>
      <c r="I21">
        <v>105000</v>
      </c>
      <c r="J21" s="7">
        <f t="shared" si="7"/>
        <v>125655.00292624446</v>
      </c>
      <c r="K21" s="7">
        <f t="shared" si="8"/>
        <v>-20655.002926244459</v>
      </c>
      <c r="L21" s="7">
        <f t="shared" si="9"/>
        <v>20655.002926244459</v>
      </c>
      <c r="N21" s="1">
        <v>27</v>
      </c>
      <c r="O21">
        <v>105000</v>
      </c>
      <c r="P21" s="7">
        <f t="shared" si="10"/>
        <v>154497.65572672468</v>
      </c>
      <c r="Q21" s="7">
        <f t="shared" si="11"/>
        <v>-49497.655726724683</v>
      </c>
      <c r="R21" s="7">
        <f t="shared" si="12"/>
        <v>49497.655726724683</v>
      </c>
      <c r="T21" s="1">
        <v>30</v>
      </c>
      <c r="U21" s="7">
        <v>117292.62419102108</v>
      </c>
      <c r="V21">
        <v>160184.15355407848</v>
      </c>
      <c r="W21" s="7">
        <v>165979.57133288679</v>
      </c>
      <c r="Y21" s="3" t="s">
        <v>32</v>
      </c>
      <c r="Z21" s="3">
        <v>25.992592728041604</v>
      </c>
      <c r="AA21" s="3">
        <v>9.0048208686461422</v>
      </c>
      <c r="AB21" s="3">
        <v>2.8865196884199142</v>
      </c>
      <c r="AC21" s="3">
        <v>4.4718996431889514E-2</v>
      </c>
      <c r="AD21" s="3">
        <v>0.99120190410608089</v>
      </c>
      <c r="AE21" s="3">
        <v>50.993983551977124</v>
      </c>
      <c r="AF21" s="3">
        <v>0.99120190410608089</v>
      </c>
      <c r="AG21" s="3">
        <v>50.993983551977124</v>
      </c>
    </row>
    <row r="22" spans="2:53" ht="15.75" thickBot="1" x14ac:dyDescent="0.3">
      <c r="B22" s="1">
        <v>35</v>
      </c>
      <c r="C22">
        <v>220000</v>
      </c>
      <c r="D22" s="7">
        <f t="shared" si="4"/>
        <v>213895.8031577291</v>
      </c>
      <c r="E22" s="7">
        <f t="shared" si="5"/>
        <v>6104.1968422709033</v>
      </c>
      <c r="F22" s="7">
        <f t="shared" si="6"/>
        <v>6104.1968422709033</v>
      </c>
      <c r="H22" s="1">
        <v>35</v>
      </c>
      <c r="I22">
        <v>220000</v>
      </c>
      <c r="J22" s="7">
        <f t="shared" si="7"/>
        <v>208001.19428835163</v>
      </c>
      <c r="K22" s="7">
        <f t="shared" si="8"/>
        <v>11998.805711648369</v>
      </c>
      <c r="L22" s="7">
        <f t="shared" si="9"/>
        <v>11998.805711648369</v>
      </c>
      <c r="N22" s="1">
        <v>35</v>
      </c>
      <c r="O22">
        <v>220000</v>
      </c>
      <c r="P22" s="7">
        <f t="shared" si="10"/>
        <v>185116.09734315693</v>
      </c>
      <c r="Q22" s="7">
        <f t="shared" si="11"/>
        <v>34883.902656843071</v>
      </c>
      <c r="R22" s="7">
        <f t="shared" si="12"/>
        <v>34883.902656843071</v>
      </c>
      <c r="T22" s="1">
        <v>35</v>
      </c>
      <c r="U22" s="7">
        <v>213895.8031577291</v>
      </c>
      <c r="V22">
        <v>208001.19428835163</v>
      </c>
      <c r="W22" s="7">
        <v>185116.09734315693</v>
      </c>
      <c r="Y22" s="4" t="s">
        <v>33</v>
      </c>
      <c r="Z22" s="4">
        <v>-0.10935505803800438</v>
      </c>
      <c r="AA22" s="4">
        <v>4.0078683306096374E-2</v>
      </c>
      <c r="AB22" s="4">
        <v>-2.7285092477419379</v>
      </c>
      <c r="AC22" s="4">
        <v>5.2523640644281208E-2</v>
      </c>
      <c r="AD22" s="4">
        <v>-0.22063132212598818</v>
      </c>
      <c r="AE22" s="4">
        <v>1.9212060499794181E-3</v>
      </c>
      <c r="AF22" s="4">
        <v>-0.22063132212598818</v>
      </c>
      <c r="AG22" s="4">
        <v>1.9212060499794181E-3</v>
      </c>
    </row>
    <row r="23" spans="2:53" x14ac:dyDescent="0.25">
      <c r="B23" s="1">
        <v>60</v>
      </c>
      <c r="C23">
        <v>240000</v>
      </c>
      <c r="D23" s="7">
        <f t="shared" si="4"/>
        <v>253299.52667863667</v>
      </c>
      <c r="E23" s="7">
        <f t="shared" si="5"/>
        <v>-13299.52667863667</v>
      </c>
      <c r="F23" s="7">
        <f t="shared" si="6"/>
        <v>13299.52667863667</v>
      </c>
      <c r="H23" s="1">
        <v>60</v>
      </c>
      <c r="I23">
        <v>240000</v>
      </c>
      <c r="J23" s="7">
        <f t="shared" si="7"/>
        <v>264619.95460752631</v>
      </c>
      <c r="K23" s="7">
        <f t="shared" si="8"/>
        <v>-24619.954607526306</v>
      </c>
      <c r="L23" s="7">
        <f t="shared" si="9"/>
        <v>24619.954607526306</v>
      </c>
      <c r="N23" s="1">
        <v>60</v>
      </c>
      <c r="O23">
        <v>240000</v>
      </c>
      <c r="P23" s="7">
        <f t="shared" si="10"/>
        <v>280798.72739450773</v>
      </c>
      <c r="Q23" s="7">
        <f t="shared" si="11"/>
        <v>-40798.727394507732</v>
      </c>
      <c r="R23" s="7">
        <f t="shared" si="12"/>
        <v>40798.727394507732</v>
      </c>
      <c r="T23" s="1">
        <v>40</v>
      </c>
      <c r="U23" s="7">
        <v>284897.91393138841</v>
      </c>
      <c r="V23">
        <v>243653.80546581204</v>
      </c>
      <c r="W23" s="7">
        <v>204252.62335342707</v>
      </c>
    </row>
    <row r="24" spans="2:53" x14ac:dyDescent="0.25">
      <c r="B24" s="1">
        <v>65</v>
      </c>
      <c r="C24">
        <v>265000</v>
      </c>
      <c r="D24" s="7">
        <f t="shared" si="4"/>
        <v>261971.16620762646</v>
      </c>
      <c r="E24" s="7">
        <f t="shared" si="5"/>
        <v>3028.833792373538</v>
      </c>
      <c r="F24" s="7">
        <f t="shared" si="6"/>
        <v>3028.833792373538</v>
      </c>
      <c r="H24" s="1">
        <v>65</v>
      </c>
      <c r="I24">
        <v>265000</v>
      </c>
      <c r="J24" s="7">
        <f t="shared" si="7"/>
        <v>239450.41800092312</v>
      </c>
      <c r="K24" s="7">
        <f t="shared" si="8"/>
        <v>25549.58199907688</v>
      </c>
      <c r="L24" s="7">
        <f t="shared" si="9"/>
        <v>25549.58199907688</v>
      </c>
      <c r="N24" s="1">
        <v>65</v>
      </c>
      <c r="O24">
        <v>265000</v>
      </c>
      <c r="P24" s="7">
        <f t="shared" si="10"/>
        <v>299935.25340477785</v>
      </c>
      <c r="Q24" s="7">
        <f t="shared" si="11"/>
        <v>-34935.253404777846</v>
      </c>
      <c r="R24" s="7">
        <f t="shared" si="12"/>
        <v>34935.253404777846</v>
      </c>
      <c r="T24" s="1">
        <v>45</v>
      </c>
      <c r="U24" s="7">
        <v>293253.8055154644</v>
      </c>
      <c r="V24">
        <v>267141.98708645976</v>
      </c>
      <c r="W24" s="7">
        <v>223389.14936369724</v>
      </c>
    </row>
    <row r="25" spans="2:53" x14ac:dyDescent="0.25">
      <c r="B25" s="1">
        <v>45</v>
      </c>
      <c r="C25">
        <v>270000</v>
      </c>
      <c r="D25" s="7">
        <f t="shared" si="4"/>
        <v>293253.8055154644</v>
      </c>
      <c r="E25" s="7">
        <f t="shared" si="5"/>
        <v>-23253.805515464395</v>
      </c>
      <c r="F25" s="7">
        <f t="shared" si="6"/>
        <v>23253.805515464395</v>
      </c>
      <c r="H25" s="1">
        <v>45</v>
      </c>
      <c r="I25">
        <v>270000</v>
      </c>
      <c r="J25" s="7">
        <f t="shared" si="7"/>
        <v>267141.98708645976</v>
      </c>
      <c r="K25" s="7">
        <f t="shared" si="8"/>
        <v>2858.0129135402385</v>
      </c>
      <c r="L25" s="7">
        <f t="shared" si="9"/>
        <v>2858.0129135402385</v>
      </c>
      <c r="N25" s="1">
        <v>45</v>
      </c>
      <c r="O25">
        <v>270000</v>
      </c>
      <c r="P25" s="7">
        <f t="shared" si="10"/>
        <v>223389.14936369724</v>
      </c>
      <c r="Q25" s="7">
        <f t="shared" si="11"/>
        <v>46610.850636302755</v>
      </c>
      <c r="R25" s="7">
        <f t="shared" si="12"/>
        <v>46610.850636302755</v>
      </c>
      <c r="T25" s="1">
        <v>50</v>
      </c>
      <c r="U25" s="7">
        <v>263742.0437201038</v>
      </c>
      <c r="V25">
        <v>278465.73915029468</v>
      </c>
      <c r="W25" s="7">
        <v>242525.67537396739</v>
      </c>
    </row>
    <row r="26" spans="2:53" x14ac:dyDescent="0.25">
      <c r="B26" s="1">
        <v>40</v>
      </c>
      <c r="C26">
        <v>300000</v>
      </c>
      <c r="D26" s="7">
        <f t="shared" si="4"/>
        <v>284897.91393138841</v>
      </c>
      <c r="E26" s="7">
        <f t="shared" si="5"/>
        <v>15102.086068611592</v>
      </c>
      <c r="F26" s="7">
        <f t="shared" si="6"/>
        <v>15102.086068611592</v>
      </c>
      <c r="H26" s="1">
        <v>40</v>
      </c>
      <c r="I26">
        <v>300000</v>
      </c>
      <c r="J26" s="7">
        <f t="shared" si="7"/>
        <v>243653.80546581204</v>
      </c>
      <c r="K26" s="7">
        <f t="shared" si="8"/>
        <v>56346.194534187962</v>
      </c>
      <c r="L26" s="7">
        <f t="shared" si="9"/>
        <v>56346.194534187962</v>
      </c>
      <c r="N26" s="1">
        <v>40</v>
      </c>
      <c r="O26">
        <v>300000</v>
      </c>
      <c r="P26" s="7">
        <f t="shared" si="10"/>
        <v>204252.62335342707</v>
      </c>
      <c r="Q26" s="7">
        <f t="shared" si="11"/>
        <v>95747.376646572928</v>
      </c>
      <c r="R26" s="7">
        <f t="shared" si="12"/>
        <v>95747.376646572928</v>
      </c>
      <c r="T26" s="1">
        <v>55</v>
      </c>
      <c r="U26" s="7">
        <v>241956.76439757645</v>
      </c>
      <c r="V26">
        <v>277625.06165731675</v>
      </c>
      <c r="W26" s="7">
        <v>261662.20138423753</v>
      </c>
    </row>
    <row r="27" spans="2:53" x14ac:dyDescent="0.25">
      <c r="B27" s="1">
        <v>50</v>
      </c>
      <c r="C27">
        <v>265000</v>
      </c>
      <c r="D27" s="7">
        <f t="shared" si="4"/>
        <v>263742.0437201038</v>
      </c>
      <c r="E27" s="7">
        <f t="shared" si="5"/>
        <v>1257.9562798961997</v>
      </c>
      <c r="F27" s="7">
        <f t="shared" si="6"/>
        <v>1257.9562798961997</v>
      </c>
      <c r="H27" s="1">
        <v>50</v>
      </c>
      <c r="I27">
        <v>265000</v>
      </c>
      <c r="J27" s="7">
        <f t="shared" si="7"/>
        <v>278465.73915029468</v>
      </c>
      <c r="K27" s="7">
        <f t="shared" si="8"/>
        <v>-13465.739150294685</v>
      </c>
      <c r="L27" s="7">
        <f t="shared" si="9"/>
        <v>13465.739150294685</v>
      </c>
      <c r="N27" s="1">
        <v>50</v>
      </c>
      <c r="O27">
        <v>265000</v>
      </c>
      <c r="P27" s="7">
        <f t="shared" si="10"/>
        <v>242525.67537396739</v>
      </c>
      <c r="Q27" s="7">
        <f t="shared" si="11"/>
        <v>22474.324626032612</v>
      </c>
      <c r="R27" s="7">
        <f t="shared" si="12"/>
        <v>22474.324626032612</v>
      </c>
      <c r="T27" s="1">
        <v>60</v>
      </c>
      <c r="U27" s="7">
        <v>253299.52667863667</v>
      </c>
      <c r="V27">
        <v>264619.95460752631</v>
      </c>
      <c r="W27" s="7">
        <v>280798.72739450773</v>
      </c>
    </row>
    <row r="28" spans="2:53" x14ac:dyDescent="0.25">
      <c r="B28" s="1">
        <v>30</v>
      </c>
      <c r="C28">
        <v>105000</v>
      </c>
      <c r="D28" s="7">
        <f t="shared" si="4"/>
        <v>117292.62419102108</v>
      </c>
      <c r="E28" s="7">
        <f t="shared" si="5"/>
        <v>-12292.624191021081</v>
      </c>
      <c r="F28" s="7">
        <f t="shared" si="6"/>
        <v>12292.624191021081</v>
      </c>
      <c r="H28" s="1">
        <v>30</v>
      </c>
      <c r="I28">
        <v>105000</v>
      </c>
      <c r="J28" s="7">
        <f t="shared" si="7"/>
        <v>160184.15355407848</v>
      </c>
      <c r="K28" s="7">
        <f t="shared" si="8"/>
        <v>-55184.153554078483</v>
      </c>
      <c r="L28" s="7">
        <f t="shared" si="9"/>
        <v>55184.153554078483</v>
      </c>
      <c r="N28" s="1">
        <v>30</v>
      </c>
      <c r="O28">
        <v>105000</v>
      </c>
      <c r="P28" s="7">
        <f t="shared" si="10"/>
        <v>165979.57133288679</v>
      </c>
      <c r="Q28" s="7">
        <f t="shared" si="11"/>
        <v>-60979.571332886786</v>
      </c>
      <c r="R28" s="7">
        <f t="shared" si="12"/>
        <v>60979.571332886786</v>
      </c>
      <c r="T28" s="1">
        <v>65</v>
      </c>
      <c r="U28" s="7">
        <v>261971.16620762646</v>
      </c>
      <c r="V28">
        <v>239450.41800092312</v>
      </c>
      <c r="W28" s="7">
        <v>299935.25340477785</v>
      </c>
    </row>
    <row r="30" spans="2:53" x14ac:dyDescent="0.25">
      <c r="C30" s="26" t="s">
        <v>36</v>
      </c>
      <c r="D30" s="26"/>
      <c r="E30" s="7">
        <f>AVERAGE(E19:E28)</f>
        <v>-2.1210871636867522E-8</v>
      </c>
      <c r="J30" s="8" t="s">
        <v>36</v>
      </c>
      <c r="K30" s="7">
        <f>AVERAGE(K19:K28)</f>
        <v>8.7311491370201108E-12</v>
      </c>
      <c r="P30" s="8" t="s">
        <v>36</v>
      </c>
      <c r="Q30" s="7">
        <f>AVERAGE(Q19:Q28)</f>
        <v>1.4551915228366852E-11</v>
      </c>
    </row>
    <row r="31" spans="2:53" x14ac:dyDescent="0.25">
      <c r="C31" s="26" t="s">
        <v>37</v>
      </c>
      <c r="D31" s="26"/>
      <c r="E31" s="7">
        <f>AVERAGE(F19:F28)</f>
        <v>9769.1912770032177</v>
      </c>
      <c r="J31" s="8" t="s">
        <v>37</v>
      </c>
      <c r="K31" s="7">
        <f>AVERAGE(L19:L28)</f>
        <v>26309.982379092147</v>
      </c>
      <c r="P31" s="8" t="s">
        <v>37</v>
      </c>
      <c r="Q31" s="7">
        <f>AVERAGE(R19:R28)</f>
        <v>39943.29091315026</v>
      </c>
    </row>
    <row r="32" spans="2:53" x14ac:dyDescent="0.25">
      <c r="C32" t="s">
        <v>39</v>
      </c>
      <c r="D32" s="8"/>
      <c r="E32">
        <f>STDEV(E19:E28)</f>
        <v>12902.203044365329</v>
      </c>
      <c r="J32" s="8" t="s">
        <v>39</v>
      </c>
      <c r="K32">
        <f>STDEV(K19:K28)</f>
        <v>32932.082720443999</v>
      </c>
      <c r="P32" s="8" t="s">
        <v>39</v>
      </c>
      <c r="Q32">
        <f>STDEV(Q19:Q28)</f>
        <v>49731.130681244904</v>
      </c>
    </row>
    <row r="36" spans="2:2" x14ac:dyDescent="0.25">
      <c r="B36" s="9" t="s">
        <v>52</v>
      </c>
    </row>
  </sheetData>
  <sortState ref="T19:W28">
    <sortCondition ref="T19:T28"/>
  </sortState>
  <mergeCells count="3">
    <mergeCell ref="B1:C1"/>
    <mergeCell ref="C30:D30"/>
    <mergeCell ref="C31:D31"/>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7"/>
  <sheetViews>
    <sheetView topLeftCell="A5" workbookViewId="0">
      <selection activeCell="O22" sqref="O22"/>
    </sheetView>
  </sheetViews>
  <sheetFormatPr defaultRowHeight="15" x14ac:dyDescent="0.25"/>
  <cols>
    <col min="5" max="5" width="17.42578125" customWidth="1"/>
    <col min="10" max="10" width="14.85546875" bestFit="1" customWidth="1"/>
    <col min="15" max="15" width="13.42578125" customWidth="1"/>
  </cols>
  <sheetData>
    <row r="1" spans="2:17" x14ac:dyDescent="0.25">
      <c r="B1" t="s">
        <v>89</v>
      </c>
    </row>
    <row r="2" spans="2:17" x14ac:dyDescent="0.25">
      <c r="E2" s="27" t="s">
        <v>50</v>
      </c>
      <c r="F2" s="27"/>
      <c r="G2" s="27"/>
      <c r="H2" s="2"/>
      <c r="J2" s="27" t="s">
        <v>46</v>
      </c>
      <c r="K2" s="27"/>
      <c r="L2" s="27"/>
      <c r="O2" s="27" t="s">
        <v>47</v>
      </c>
      <c r="P2" s="27"/>
      <c r="Q2" s="27"/>
    </row>
    <row r="3" spans="2:17" x14ac:dyDescent="0.25">
      <c r="B3" t="s">
        <v>0</v>
      </c>
      <c r="C3" t="s">
        <v>1</v>
      </c>
      <c r="E3" t="s">
        <v>49</v>
      </c>
      <c r="F3" t="s">
        <v>35</v>
      </c>
      <c r="G3" t="s">
        <v>51</v>
      </c>
      <c r="J3" t="s">
        <v>49</v>
      </c>
      <c r="K3" t="s">
        <v>35</v>
      </c>
      <c r="L3" t="s">
        <v>51</v>
      </c>
      <c r="O3" t="s">
        <v>49</v>
      </c>
      <c r="P3" t="s">
        <v>35</v>
      </c>
      <c r="Q3" t="s">
        <v>51</v>
      </c>
    </row>
    <row r="4" spans="2:17" x14ac:dyDescent="0.25">
      <c r="B4">
        <v>30</v>
      </c>
      <c r="C4">
        <v>166000</v>
      </c>
      <c r="E4" s="7">
        <f>'Analysis of Training Set (Ch1)'!$Z$17+'Analysis of Training Set (Ch1)'!$Z$18*$B4+'Analysis of Training Set (Ch1)'!$Z$19*$B4^2+'Analysis of Training Set (Ch1)'!$Z$20*$B4^3+'Analysis of Training Set (Ch1)'!$Z$21*$B4^4+'Analysis of Training Set (Ch1)'!$Z$22*$B4^5</f>
        <v>117292.62419102108</v>
      </c>
      <c r="F4" s="7">
        <f>$C4-E4</f>
        <v>48707.375808978919</v>
      </c>
      <c r="G4">
        <f>ABS(F4)</f>
        <v>48707.375808978919</v>
      </c>
      <c r="J4" s="7">
        <f>'Analysis of Training Set (Ch1)'!$AJ$17+'Analysis of Training Set (Ch1)'!$AJ$18*$B4+'Analysis of Training Set (Ch1)'!$AJ$19*$B4^2</f>
        <v>160184.15355407848</v>
      </c>
      <c r="K4" s="7">
        <f>$C4-J4</f>
        <v>5815.8464459215174</v>
      </c>
      <c r="L4">
        <f>ABS(K4)</f>
        <v>5815.8464459215174</v>
      </c>
      <c r="O4" s="7">
        <f>'Analysis of Training Set (Ch1)'!$AT$17+'Analysis of Training Set (Ch1)'!$AT$18*$B4</f>
        <v>165979.57133288679</v>
      </c>
      <c r="P4" s="7">
        <f>$C4-O4</f>
        <v>20.428667113214033</v>
      </c>
      <c r="Q4">
        <f>ABS(P4)</f>
        <v>20.428667113214033</v>
      </c>
    </row>
    <row r="5" spans="2:17" x14ac:dyDescent="0.25">
      <c r="B5">
        <v>26</v>
      </c>
      <c r="C5">
        <v>78000</v>
      </c>
      <c r="E5" s="7">
        <f>'Analysis of Training Set (Ch1)'!$Z$17+'Analysis of Training Set (Ch1)'!$Z$18*$B5+'Analysis of Training Set (Ch1)'!$Z$19*$B5^2+'Analysis of Training Set (Ch1)'!$Z$20*$B5^3+'Analysis of Training Set (Ch1)'!$Z$21*$B5^4+'Analysis of Training Set (Ch1)'!$Z$22*$B5^5</f>
        <v>111072.33105622767</v>
      </c>
      <c r="F5" s="7">
        <f t="shared" ref="F5:F13" si="0">$C5-E5</f>
        <v>-33072.331056227675</v>
      </c>
      <c r="G5">
        <f t="shared" ref="G5:G13" si="1">ABS(F5)</f>
        <v>33072.331056227675</v>
      </c>
      <c r="J5" s="7">
        <f>'Analysis of Training Set (Ch1)'!$AJ$17+'Analysis of Training Set (Ch1)'!$AJ$18*$B5+'Analysis of Training Set (Ch1)'!$AJ$19*$B5^2</f>
        <v>113172.1316857549</v>
      </c>
      <c r="K5" s="7">
        <f t="shared" ref="K5:K13" si="2">$C5-J5</f>
        <v>-35172.131685754895</v>
      </c>
      <c r="L5">
        <f t="shared" ref="L5:L13" si="3">ABS(K5)</f>
        <v>35172.131685754895</v>
      </c>
      <c r="O5" s="7">
        <f>'Analysis of Training Set (Ch1)'!$AT$17+'Analysis of Training Set (Ch1)'!$AT$18*$B5</f>
        <v>150670.35052467068</v>
      </c>
      <c r="P5" s="7">
        <f t="shared" ref="P5:P13" si="4">$C5-O5</f>
        <v>-72670.350524670677</v>
      </c>
      <c r="Q5">
        <f t="shared" ref="Q5:Q13" si="5">ABS(P5)</f>
        <v>72670.350524670677</v>
      </c>
    </row>
    <row r="6" spans="2:17" x14ac:dyDescent="0.25">
      <c r="B6">
        <v>58</v>
      </c>
      <c r="C6">
        <v>310000</v>
      </c>
      <c r="E6" s="7">
        <f>'Analysis of Training Set (Ch1)'!$Z$17+'Analysis of Training Set (Ch1)'!$Z$18*$B6+'Analysis of Training Set (Ch1)'!$Z$19*$B6^2+'Analysis of Training Set (Ch1)'!$Z$20*$B6^3+'Analysis of Training Set (Ch1)'!$Z$21*$B6^4+'Analysis of Training Set (Ch1)'!$Z$22*$B6^5</f>
        <v>245229.64419297874</v>
      </c>
      <c r="F6" s="7">
        <f t="shared" si="0"/>
        <v>64770.35580702126</v>
      </c>
      <c r="G6">
        <f t="shared" si="1"/>
        <v>64770.35580702126</v>
      </c>
      <c r="J6" s="7">
        <f>'Analysis of Training Set (Ch1)'!$AJ$17+'Analysis of Training Set (Ch1)'!$AJ$18*$B6+'Analysis of Training Set (Ch1)'!$AJ$19*$B6^2</f>
        <v>271281.72897426004</v>
      </c>
      <c r="K6" s="7">
        <f t="shared" si="2"/>
        <v>38718.271025739959</v>
      </c>
      <c r="L6">
        <f t="shared" si="3"/>
        <v>38718.271025739959</v>
      </c>
      <c r="O6" s="7">
        <f>'Analysis of Training Set (Ch1)'!$AT$17+'Analysis of Training Set (Ch1)'!$AT$18*$B6</f>
        <v>273144.11699039966</v>
      </c>
      <c r="P6" s="7">
        <f t="shared" si="4"/>
        <v>36855.883009600337</v>
      </c>
      <c r="Q6">
        <f t="shared" si="5"/>
        <v>36855.883009600337</v>
      </c>
    </row>
    <row r="7" spans="2:17" x14ac:dyDescent="0.25">
      <c r="B7">
        <v>29</v>
      </c>
      <c r="C7">
        <v>100000</v>
      </c>
      <c r="E7" s="7">
        <f>'Analysis of Training Set (Ch1)'!$Z$17+'Analysis of Training Set (Ch1)'!$Z$18*$B7+'Analysis of Training Set (Ch1)'!$Z$19*$B7^2+'Analysis of Training Set (Ch1)'!$Z$20*$B7^3+'Analysis of Training Set (Ch1)'!$Z$21*$B7^4+'Analysis of Training Set (Ch1)'!$Z$22*$B7^5</f>
        <v>104937.28093244927</v>
      </c>
      <c r="F7" s="7">
        <f t="shared" si="0"/>
        <v>-4937.28093244927</v>
      </c>
      <c r="G7">
        <f t="shared" si="1"/>
        <v>4937.28093244927</v>
      </c>
      <c r="J7" s="7">
        <f>'Analysis of Training Set (Ch1)'!$AJ$17+'Analysis of Training Set (Ch1)'!$AJ$18*$B7+'Analysis of Training Set (Ch1)'!$AJ$19*$B7^2</f>
        <v>149161.01386040632</v>
      </c>
      <c r="K7" s="7">
        <f t="shared" si="2"/>
        <v>-49161.013860406325</v>
      </c>
      <c r="L7">
        <f t="shared" si="3"/>
        <v>49161.013860406325</v>
      </c>
      <c r="O7" s="7">
        <f>'Analysis of Training Set (Ch1)'!$AT$17+'Analysis of Training Set (Ch1)'!$AT$18*$B7</f>
        <v>162152.26613083275</v>
      </c>
      <c r="P7" s="7">
        <f t="shared" si="4"/>
        <v>-62152.266130832752</v>
      </c>
      <c r="Q7">
        <f t="shared" si="5"/>
        <v>62152.266130832752</v>
      </c>
    </row>
    <row r="8" spans="2:17" x14ac:dyDescent="0.25">
      <c r="B8">
        <v>40</v>
      </c>
      <c r="C8">
        <v>260000</v>
      </c>
      <c r="E8" s="7">
        <f>'Analysis of Training Set (Ch1)'!$Z$17+'Analysis of Training Set (Ch1)'!$Z$18*$B8+'Analysis of Training Set (Ch1)'!$Z$19*$B8^2+'Analysis of Training Set (Ch1)'!$Z$20*$B8^3+'Analysis of Training Set (Ch1)'!$Z$21*$B8^4+'Analysis of Training Set (Ch1)'!$Z$22*$B8^5</f>
        <v>284897.91393138841</v>
      </c>
      <c r="F8" s="7">
        <f t="shared" si="0"/>
        <v>-24897.913931388408</v>
      </c>
      <c r="G8">
        <f t="shared" si="1"/>
        <v>24897.913931388408</v>
      </c>
      <c r="J8" s="7">
        <f>'Analysis of Training Set (Ch1)'!$AJ$17+'Analysis of Training Set (Ch1)'!$AJ$18*$B8+'Analysis of Training Set (Ch1)'!$AJ$19*$B8^2</f>
        <v>243653.80546581204</v>
      </c>
      <c r="K8" s="7">
        <f t="shared" si="2"/>
        <v>16346.194534187962</v>
      </c>
      <c r="L8">
        <f t="shared" si="3"/>
        <v>16346.194534187962</v>
      </c>
      <c r="O8" s="7">
        <f>'Analysis of Training Set (Ch1)'!$AT$17+'Analysis of Training Set (Ch1)'!$AT$18*$B8</f>
        <v>204252.62335342707</v>
      </c>
      <c r="P8" s="7">
        <f t="shared" si="4"/>
        <v>55747.376646572928</v>
      </c>
      <c r="Q8">
        <f t="shared" si="5"/>
        <v>55747.376646572928</v>
      </c>
    </row>
    <row r="9" spans="2:17" x14ac:dyDescent="0.25">
      <c r="B9">
        <v>27</v>
      </c>
      <c r="C9">
        <v>150000</v>
      </c>
      <c r="E9" s="7">
        <f>'Analysis of Training Set (Ch1)'!$Z$17+'Analysis of Training Set (Ch1)'!$Z$18*$B9+'Analysis of Training Set (Ch1)'!$Z$19*$B9^2+'Analysis of Training Set (Ch1)'!$Z$20*$B9^3+'Analysis of Training Set (Ch1)'!$Z$21*$B9^4+'Analysis of Training Set (Ch1)'!$Z$22*$B9^5</f>
        <v>99724.960601959378</v>
      </c>
      <c r="F9" s="7">
        <f t="shared" si="0"/>
        <v>50275.039398040622</v>
      </c>
      <c r="G9">
        <f t="shared" si="1"/>
        <v>50275.039398040622</v>
      </c>
      <c r="J9" s="7">
        <f>'Analysis of Training Set (Ch1)'!$AJ$17+'Analysis of Training Set (Ch1)'!$AJ$18*$B9+'Analysis of Training Set (Ch1)'!$AJ$19*$B9^2</f>
        <v>125655.00292624446</v>
      </c>
      <c r="K9" s="7">
        <f t="shared" si="2"/>
        <v>24344.997073755541</v>
      </c>
      <c r="L9">
        <f t="shared" si="3"/>
        <v>24344.997073755541</v>
      </c>
      <c r="O9" s="7">
        <f>'Analysis of Training Set (Ch1)'!$AT$17+'Analysis of Training Set (Ch1)'!$AT$18*$B9</f>
        <v>154497.65572672468</v>
      </c>
      <c r="P9" s="7">
        <f t="shared" si="4"/>
        <v>-4497.6557267246826</v>
      </c>
      <c r="Q9">
        <f t="shared" si="5"/>
        <v>4497.6557267246826</v>
      </c>
    </row>
    <row r="10" spans="2:17" x14ac:dyDescent="0.25">
      <c r="B10">
        <v>33</v>
      </c>
      <c r="C10">
        <v>140000</v>
      </c>
      <c r="E10" s="7">
        <f>'Analysis of Training Set (Ch1)'!$Z$17+'Analysis of Training Set (Ch1)'!$Z$18*$B10+'Analysis of Training Set (Ch1)'!$Z$19*$B10^2+'Analysis of Training Set (Ch1)'!$Z$20*$B10^3+'Analysis of Training Set (Ch1)'!$Z$21*$B10^4+'Analysis of Training Set (Ch1)'!$Z$22*$B10^5</f>
        <v>173237.90027642809</v>
      </c>
      <c r="F10" s="7">
        <f t="shared" si="0"/>
        <v>-33237.900276428089</v>
      </c>
      <c r="G10">
        <f t="shared" si="1"/>
        <v>33237.900276428089</v>
      </c>
      <c r="J10" s="7">
        <f>'Analysis of Training Set (Ch1)'!$AJ$17+'Analysis of Training Set (Ch1)'!$AJ$18*$B10+'Analysis of Training Set (Ch1)'!$AJ$19*$B10^2</f>
        <v>190334.10954145988</v>
      </c>
      <c r="K10" s="7">
        <f t="shared" si="2"/>
        <v>-50334.109541459882</v>
      </c>
      <c r="L10">
        <f t="shared" si="3"/>
        <v>50334.109541459882</v>
      </c>
      <c r="O10" s="7">
        <f>'Analysis of Training Set (Ch1)'!$AT$17+'Analysis of Training Set (Ch1)'!$AT$18*$B10</f>
        <v>177461.48693904886</v>
      </c>
      <c r="P10" s="7">
        <f t="shared" si="4"/>
        <v>-37461.48693904886</v>
      </c>
      <c r="Q10">
        <f t="shared" si="5"/>
        <v>37461.48693904886</v>
      </c>
    </row>
    <row r="11" spans="2:17" x14ac:dyDescent="0.25">
      <c r="B11">
        <v>61</v>
      </c>
      <c r="C11">
        <v>220000</v>
      </c>
      <c r="E11" s="7">
        <f>'Analysis of Training Set (Ch1)'!$Z$17+'Analysis of Training Set (Ch1)'!$Z$18*$B11+'Analysis of Training Set (Ch1)'!$Z$19*$B11^2+'Analysis of Training Set (Ch1)'!$Z$20*$B11^3+'Analysis of Training Set (Ch1)'!$Z$21*$B11^4+'Analysis of Training Set (Ch1)'!$Z$22*$B11^5</f>
        <v>257932.16616243124</v>
      </c>
      <c r="F11" s="7">
        <f t="shared" si="0"/>
        <v>-37932.16616243124</v>
      </c>
      <c r="G11">
        <f t="shared" si="1"/>
        <v>37932.16616243124</v>
      </c>
      <c r="J11" s="7">
        <f>'Analysis of Training Set (Ch1)'!$AJ$17+'Analysis of Training Set (Ch1)'!$AJ$18*$B11+'Analysis of Training Set (Ch1)'!$AJ$19*$B11^2</f>
        <v>260559.20165075071</v>
      </c>
      <c r="K11" s="7">
        <f t="shared" si="2"/>
        <v>-40559.201650750707</v>
      </c>
      <c r="L11">
        <f t="shared" si="3"/>
        <v>40559.201650750707</v>
      </c>
      <c r="O11" s="7">
        <f>'Analysis of Training Set (Ch1)'!$AT$17+'Analysis of Training Set (Ch1)'!$AT$18*$B11</f>
        <v>284626.03259656171</v>
      </c>
      <c r="P11" s="7">
        <f t="shared" si="4"/>
        <v>-64626.032596561708</v>
      </c>
      <c r="Q11">
        <f t="shared" si="5"/>
        <v>64626.032596561708</v>
      </c>
    </row>
    <row r="12" spans="2:17" x14ac:dyDescent="0.25">
      <c r="B12">
        <v>27</v>
      </c>
      <c r="C12">
        <v>86000</v>
      </c>
      <c r="E12" s="7">
        <f>'Analysis of Training Set (Ch1)'!$Z$17+'Analysis of Training Set (Ch1)'!$Z$18*$B12+'Analysis of Training Set (Ch1)'!$Z$19*$B12^2+'Analysis of Training Set (Ch1)'!$Z$20*$B12^3+'Analysis of Training Set (Ch1)'!$Z$21*$B12^4+'Analysis of Training Set (Ch1)'!$Z$22*$B12^5</f>
        <v>99724.960601959378</v>
      </c>
      <c r="F12" s="7">
        <f t="shared" si="0"/>
        <v>-13724.960601959378</v>
      </c>
      <c r="G12">
        <f t="shared" si="1"/>
        <v>13724.960601959378</v>
      </c>
      <c r="J12" s="7">
        <f>'Analysis of Training Set (Ch1)'!$AJ$17+'Analysis of Training Set (Ch1)'!$AJ$18*$B12+'Analysis of Training Set (Ch1)'!$AJ$19*$B12^2</f>
        <v>125655.00292624446</v>
      </c>
      <c r="K12" s="7">
        <f t="shared" si="2"/>
        <v>-39655.002926244459</v>
      </c>
      <c r="L12">
        <f t="shared" si="3"/>
        <v>39655.002926244459</v>
      </c>
      <c r="O12" s="7">
        <f>'Analysis of Training Set (Ch1)'!$AT$17+'Analysis of Training Set (Ch1)'!$AT$18*$B12</f>
        <v>154497.65572672468</v>
      </c>
      <c r="P12" s="7">
        <f t="shared" si="4"/>
        <v>-68497.655726724683</v>
      </c>
      <c r="Q12">
        <f t="shared" si="5"/>
        <v>68497.655726724683</v>
      </c>
    </row>
    <row r="13" spans="2:17" x14ac:dyDescent="0.25">
      <c r="B13">
        <v>48</v>
      </c>
      <c r="C13">
        <v>276000</v>
      </c>
      <c r="E13" s="7">
        <f>'Analysis of Training Set (Ch1)'!$Z$17+'Analysis of Training Set (Ch1)'!$Z$18*$B13+'Analysis of Training Set (Ch1)'!$Z$19*$B13^2+'Analysis of Training Set (Ch1)'!$Z$20*$B13^3+'Analysis of Training Set (Ch1)'!$Z$21*$B13^4+'Analysis of Training Set (Ch1)'!$Z$22*$B13^5</f>
        <v>277161.44802461565</v>
      </c>
      <c r="F13" s="7">
        <f t="shared" si="0"/>
        <v>-1161.4480246156454</v>
      </c>
      <c r="G13">
        <f t="shared" si="1"/>
        <v>1161.4480246156454</v>
      </c>
      <c r="J13" s="7">
        <f>'Analysis of Training Set (Ch1)'!$AJ$17+'Analysis of Training Set (Ch1)'!$AJ$18*$B13+'Analysis of Training Set (Ch1)'!$AJ$19*$B13^2</f>
        <v>275395.96987157827</v>
      </c>
      <c r="K13" s="7">
        <f t="shared" si="2"/>
        <v>604.03012842172757</v>
      </c>
      <c r="L13">
        <f t="shared" si="3"/>
        <v>604.03012842172757</v>
      </c>
      <c r="O13" s="7">
        <f>'Analysis of Training Set (Ch1)'!$AT$17+'Analysis of Training Set (Ch1)'!$AT$18*$B13</f>
        <v>234871.06496985932</v>
      </c>
      <c r="P13" s="7">
        <f t="shared" si="4"/>
        <v>41128.935030140681</v>
      </c>
      <c r="Q13">
        <f t="shared" si="5"/>
        <v>41128.935030140681</v>
      </c>
    </row>
    <row r="15" spans="2:17" x14ac:dyDescent="0.25">
      <c r="D15" s="26" t="s">
        <v>36</v>
      </c>
      <c r="E15" s="26"/>
      <c r="F15" s="7">
        <f>AVERAGE(F4:F13)</f>
        <v>1478.8770028541098</v>
      </c>
      <c r="I15" s="26" t="s">
        <v>36</v>
      </c>
      <c r="J15" s="26"/>
      <c r="K15" s="7">
        <f>AVERAGE(K4:K13)</f>
        <v>-12905.212045658956</v>
      </c>
      <c r="N15" s="26" t="s">
        <v>36</v>
      </c>
      <c r="O15" s="26"/>
      <c r="P15" s="7">
        <f>AVERAGE(P4:P13)</f>
        <v>-17615.28242911362</v>
      </c>
    </row>
    <row r="16" spans="2:17" x14ac:dyDescent="0.25">
      <c r="D16" s="26" t="s">
        <v>37</v>
      </c>
      <c r="E16" s="26"/>
      <c r="F16" s="7">
        <f>AVERAGE(G4:G13)</f>
        <v>31271.677199954051</v>
      </c>
      <c r="I16" s="26" t="s">
        <v>37</v>
      </c>
      <c r="J16" s="26"/>
      <c r="K16" s="7">
        <f>AVERAGE(L4:L13)</f>
        <v>30071.079887264299</v>
      </c>
      <c r="N16" s="26" t="s">
        <v>37</v>
      </c>
      <c r="O16" s="26"/>
      <c r="P16" s="7">
        <f>AVERAGE(Q4:Q13)</f>
        <v>44365.807099799058</v>
      </c>
    </row>
    <row r="17" spans="4:16" x14ac:dyDescent="0.25">
      <c r="D17" t="s">
        <v>39</v>
      </c>
      <c r="E17" s="8"/>
      <c r="F17">
        <f>STDEV(F4:F13)</f>
        <v>38793.912690261706</v>
      </c>
      <c r="I17" t="s">
        <v>39</v>
      </c>
      <c r="J17" s="8"/>
      <c r="K17">
        <f>STDEV(K4:K13)</f>
        <v>33553.771476043992</v>
      </c>
      <c r="N17" t="s">
        <v>39</v>
      </c>
      <c r="O17" s="8"/>
      <c r="P17">
        <f>STDEV(P4:P13)</f>
        <v>49989.624422793509</v>
      </c>
    </row>
  </sheetData>
  <mergeCells count="9">
    <mergeCell ref="O2:Q2"/>
    <mergeCell ref="N15:O15"/>
    <mergeCell ref="N16:O16"/>
    <mergeCell ref="E2:G2"/>
    <mergeCell ref="D15:E15"/>
    <mergeCell ref="D16:E16"/>
    <mergeCell ref="J2:L2"/>
    <mergeCell ref="I15:J15"/>
    <mergeCell ref="I16:J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topLeftCell="A2" workbookViewId="0">
      <selection activeCell="H17" sqref="H17"/>
    </sheetView>
  </sheetViews>
  <sheetFormatPr defaultRowHeight="15" x14ac:dyDescent="0.25"/>
  <cols>
    <col min="4" max="4" width="17" style="18" customWidth="1"/>
    <col min="5" max="5" width="14.28515625" customWidth="1"/>
    <col min="6" max="6" width="9.140625" style="18"/>
  </cols>
  <sheetData>
    <row r="1" spans="2:6" x14ac:dyDescent="0.25">
      <c r="B1" s="9"/>
      <c r="C1" s="19"/>
      <c r="D1" s="22" t="s">
        <v>90</v>
      </c>
      <c r="E1" s="19"/>
      <c r="F1" s="22"/>
    </row>
    <row r="2" spans="2:6" x14ac:dyDescent="0.25">
      <c r="B2" s="9" t="s">
        <v>0</v>
      </c>
      <c r="C2" s="19" t="s">
        <v>1</v>
      </c>
      <c r="D2" s="22" t="s">
        <v>65</v>
      </c>
      <c r="E2" s="19"/>
      <c r="F2" s="22" t="s">
        <v>35</v>
      </c>
    </row>
    <row r="3" spans="2:6" x14ac:dyDescent="0.25">
      <c r="B3">
        <v>26</v>
      </c>
      <c r="C3" s="21">
        <v>110000</v>
      </c>
      <c r="D3" s="23">
        <f>'Analysis of Training Set (Ch1)'!$AJ$17+'Analysis of Training Set (Ch1)'!$AJ$18*B3+'Analysis of Training Set (Ch1)'!$AJ$19*B3*B3</f>
        <v>113172.1316857549</v>
      </c>
      <c r="E3" s="20"/>
      <c r="F3" s="23">
        <f>C3-D3</f>
        <v>-3172.1316857548954</v>
      </c>
    </row>
    <row r="4" spans="2:6" x14ac:dyDescent="0.25">
      <c r="B4">
        <v>52</v>
      </c>
      <c r="C4" s="20">
        <v>278000</v>
      </c>
      <c r="D4" s="23">
        <f>'Analysis of Training Set (Ch1)'!$AJ$17+'Analysis of Training Set (Ch1)'!$AJ$18*B4+'Analysis of Training Set (Ch1)'!$AJ$19*B4*B4</f>
        <v>279589.19969992118</v>
      </c>
      <c r="E4" s="20"/>
      <c r="F4" s="23">
        <f t="shared" ref="F4:F12" si="0">C4-D4</f>
        <v>-1589.1996999211842</v>
      </c>
    </row>
    <row r="5" spans="2:6" x14ac:dyDescent="0.25">
      <c r="B5">
        <v>38</v>
      </c>
      <c r="C5" s="20">
        <v>314000</v>
      </c>
      <c r="D5" s="23">
        <f>'Analysis of Training Set (Ch1)'!$AJ$17+'Analysis of Training Set (Ch1)'!$AJ$18*B5+'Analysis of Training Set (Ch1)'!$AJ$19*B5*B5</f>
        <v>230852.49254164536</v>
      </c>
      <c r="E5" s="20"/>
      <c r="F5" s="23">
        <f t="shared" si="0"/>
        <v>83147.507458354637</v>
      </c>
    </row>
    <row r="6" spans="2:6" x14ac:dyDescent="0.25">
      <c r="B6">
        <v>60</v>
      </c>
      <c r="C6" s="20">
        <v>302000</v>
      </c>
      <c r="D6" s="23">
        <f>'Analysis of Training Set (Ch1)'!$AJ$17+'Analysis of Training Set (Ch1)'!$AJ$18*B6+'Analysis of Training Set (Ch1)'!$AJ$19*B6*B6</f>
        <v>264619.95460752631</v>
      </c>
      <c r="E6" s="20"/>
      <c r="F6" s="23">
        <f t="shared" si="0"/>
        <v>37380.045392473694</v>
      </c>
    </row>
    <row r="7" spans="2:6" x14ac:dyDescent="0.25">
      <c r="B7">
        <v>64</v>
      </c>
      <c r="C7" s="20">
        <v>261000</v>
      </c>
      <c r="D7" s="23">
        <f>'Analysis of Training Set (Ch1)'!$AJ$17+'Analysis of Training Set (Ch1)'!$AJ$18*B7+'Analysis of Training Set (Ch1)'!$AJ$19*B7*B7</f>
        <v>245457.47968678875</v>
      </c>
      <c r="E7" s="20"/>
      <c r="F7" s="23">
        <f t="shared" si="0"/>
        <v>15542.520313211251</v>
      </c>
    </row>
    <row r="8" spans="2:6" x14ac:dyDescent="0.25">
      <c r="B8">
        <v>41</v>
      </c>
      <c r="C8" s="20">
        <v>227000</v>
      </c>
      <c r="D8" s="23">
        <f>'Analysis of Training Set (Ch1)'!$AJ$17+'Analysis of Training Set (Ch1)'!$AJ$18*B8+'Analysis of Training Set (Ch1)'!$AJ$19*B8*B8</f>
        <v>249324.59615448664</v>
      </c>
      <c r="E8" s="20"/>
      <c r="F8" s="23">
        <f t="shared" si="0"/>
        <v>-22324.596154486644</v>
      </c>
    </row>
    <row r="9" spans="2:6" x14ac:dyDescent="0.25">
      <c r="B9">
        <v>34</v>
      </c>
      <c r="C9" s="20">
        <v>200000</v>
      </c>
      <c r="D9" s="23">
        <f>'Analysis of Training Set (Ch1)'!$AJ$17+'Analysis of Training Set (Ch1)'!$AJ$18*B9+'Analysis of Training Set (Ch1)'!$AJ$19*B9*B9</f>
        <v>199410.94050604204</v>
      </c>
      <c r="E9" s="20"/>
      <c r="F9" s="23">
        <f t="shared" si="0"/>
        <v>589.05949395796051</v>
      </c>
    </row>
    <row r="10" spans="2:6" x14ac:dyDescent="0.25">
      <c r="B10">
        <v>46</v>
      </c>
      <c r="C10" s="20">
        <v>233000</v>
      </c>
      <c r="D10" s="23">
        <f>'Analysis of Training Set (Ch1)'!$AJ$17+'Analysis of Training Set (Ch1)'!$AJ$18*B10+'Analysis of Training Set (Ch1)'!$AJ$19*B10*B10</f>
        <v>270379.89186377177</v>
      </c>
      <c r="E10" s="20"/>
      <c r="F10" s="23">
        <f t="shared" si="0"/>
        <v>-37379.891863771772</v>
      </c>
    </row>
    <row r="11" spans="2:6" x14ac:dyDescent="0.25">
      <c r="B11">
        <v>57</v>
      </c>
      <c r="C11" s="20">
        <v>311000</v>
      </c>
      <c r="D11" s="23">
        <f>'Analysis of Training Set (Ch1)'!$AJ$17+'Analysis of Training Set (Ch1)'!$AJ$18*B11+'Analysis of Training Set (Ch1)'!$AJ$19*B11*B11</f>
        <v>273882.75038421818</v>
      </c>
      <c r="E11" s="20"/>
      <c r="F11" s="23">
        <f t="shared" si="0"/>
        <v>37117.249615781824</v>
      </c>
    </row>
    <row r="12" spans="2:6" x14ac:dyDescent="0.25">
      <c r="B12">
        <v>55</v>
      </c>
      <c r="C12" s="20">
        <v>298000</v>
      </c>
      <c r="D12" s="23">
        <f>'Analysis of Training Set (Ch1)'!$AJ$17+'Analysis of Training Set (Ch1)'!$AJ$18*B12+'Analysis of Training Set (Ch1)'!$AJ$19*B12*B12</f>
        <v>277625.06165731675</v>
      </c>
      <c r="E12" s="20"/>
      <c r="F12" s="23">
        <f t="shared" si="0"/>
        <v>20374.93834268325</v>
      </c>
    </row>
    <row r="15" spans="2:6" x14ac:dyDescent="0.25">
      <c r="E15" t="s">
        <v>91</v>
      </c>
      <c r="F15" s="18">
        <f>STDEV(F3:F12)</f>
        <v>34273.280834127378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workbookViewId="0">
      <selection activeCell="Q22" sqref="Q22"/>
    </sheetView>
  </sheetViews>
  <sheetFormatPr defaultRowHeight="15" x14ac:dyDescent="0.25"/>
  <cols>
    <col min="2" max="2" width="11.7109375" style="10" customWidth="1"/>
    <col min="9" max="9" width="15.42578125" customWidth="1"/>
    <col min="17" max="17" width="12.140625" customWidth="1"/>
  </cols>
  <sheetData>
    <row r="1" spans="2:19" x14ac:dyDescent="0.25">
      <c r="C1" s="9" t="s">
        <v>86</v>
      </c>
      <c r="J1" s="9" t="s">
        <v>68</v>
      </c>
      <c r="K1" s="9">
        <v>0.1</v>
      </c>
    </row>
    <row r="2" spans="2:19" x14ac:dyDescent="0.25">
      <c r="J2" s="10" t="s">
        <v>58</v>
      </c>
      <c r="K2" s="10" t="s">
        <v>59</v>
      </c>
      <c r="L2" s="10" t="s">
        <v>60</v>
      </c>
      <c r="M2" s="10" t="s">
        <v>61</v>
      </c>
      <c r="N2" s="10" t="s">
        <v>62</v>
      </c>
      <c r="O2" s="10" t="s">
        <v>63</v>
      </c>
      <c r="Q2" t="s">
        <v>65</v>
      </c>
      <c r="R2" t="s">
        <v>66</v>
      </c>
      <c r="S2" t="s">
        <v>35</v>
      </c>
    </row>
    <row r="3" spans="2:19" ht="15.75" thickBot="1" x14ac:dyDescent="0.3">
      <c r="B3" s="10" t="s">
        <v>64</v>
      </c>
      <c r="C3" t="s">
        <v>0</v>
      </c>
      <c r="D3" t="s">
        <v>2</v>
      </c>
      <c r="E3" t="s">
        <v>3</v>
      </c>
      <c r="F3" t="s">
        <v>4</v>
      </c>
      <c r="G3" t="s">
        <v>5</v>
      </c>
      <c r="I3" s="9" t="s">
        <v>70</v>
      </c>
      <c r="J3" s="12">
        <v>216.49996797203821</v>
      </c>
      <c r="K3" s="12">
        <v>56.493216125429726</v>
      </c>
      <c r="L3" s="12">
        <v>28.071891421789434</v>
      </c>
      <c r="M3" s="12">
        <v>3.7171125169054888</v>
      </c>
      <c r="N3" s="12">
        <v>-15.090644728009394</v>
      </c>
      <c r="O3" s="13">
        <v>-28.357946096781014</v>
      </c>
    </row>
    <row r="4" spans="2:19" x14ac:dyDescent="0.25">
      <c r="B4" s="10">
        <v>135</v>
      </c>
      <c r="C4">
        <v>25</v>
      </c>
      <c r="D4">
        <v>625</v>
      </c>
      <c r="E4">
        <v>15625</v>
      </c>
      <c r="F4">
        <v>390625</v>
      </c>
      <c r="G4">
        <v>9765625</v>
      </c>
      <c r="J4" s="12">
        <f>$J$3</f>
        <v>216.49996797203821</v>
      </c>
      <c r="K4" s="10">
        <f t="shared" ref="K4" si="0">K$3*C21</f>
        <v>-72.873296441496734</v>
      </c>
      <c r="L4" s="10">
        <f t="shared" ref="L4" si="1">L$3*D21</f>
        <v>-31.668153213560171</v>
      </c>
      <c r="M4" s="10">
        <f t="shared" ref="M4" si="2">M$3*E21</f>
        <v>-3.673705029272516</v>
      </c>
      <c r="N4" s="10">
        <f t="shared" ref="N4" si="3">N$3*F21</f>
        <v>13.182614988709794</v>
      </c>
      <c r="O4" s="10">
        <f t="shared" ref="O4" si="4">O$3*G21</f>
        <v>22.179546206614013</v>
      </c>
      <c r="Q4">
        <f>SUM(J4:O4)</f>
        <v>143.64697448303261</v>
      </c>
      <c r="R4">
        <f t="shared" ref="R4:R13" si="5">B4</f>
        <v>135</v>
      </c>
      <c r="S4">
        <f>Q4-R4</f>
        <v>8.6469744830326078</v>
      </c>
    </row>
    <row r="5" spans="2:19" x14ac:dyDescent="0.25">
      <c r="B5" s="10">
        <v>260</v>
      </c>
      <c r="C5">
        <v>55</v>
      </c>
      <c r="D5">
        <v>3025</v>
      </c>
      <c r="E5">
        <v>166375</v>
      </c>
      <c r="F5">
        <v>9150625</v>
      </c>
      <c r="G5">
        <v>503284375</v>
      </c>
      <c r="J5" s="12">
        <f t="shared" ref="J5:J13" si="6">$J$3</f>
        <v>216.49996797203821</v>
      </c>
      <c r="K5" s="10">
        <f t="shared" ref="K5:K12" si="7">K$3*C22</f>
        <v>47.247521868662702</v>
      </c>
      <c r="L5" s="10">
        <f t="shared" ref="L5" si="8">L$3*D22</f>
        <v>21.840413185020797</v>
      </c>
      <c r="M5" s="10">
        <f t="shared" ref="M5" si="9">M$3*E22</f>
        <v>2.5765746720882503</v>
      </c>
      <c r="N5" s="10">
        <f t="shared" ref="N5" si="10">N$3*F22</f>
        <v>-8.9406480110195083</v>
      </c>
      <c r="O5" s="10">
        <f t="shared" ref="O5" si="11">O$3*G22</f>
        <v>-13.781168792494778</v>
      </c>
      <c r="Q5">
        <f t="shared" ref="Q5:Q13" si="12">SUM(J5:O5)</f>
        <v>265.44266089429567</v>
      </c>
      <c r="R5">
        <f t="shared" si="5"/>
        <v>260</v>
      </c>
      <c r="S5">
        <f t="shared" ref="S5:S13" si="13">Q5-R5</f>
        <v>5.4426608942956705</v>
      </c>
    </row>
    <row r="6" spans="2:19" x14ac:dyDescent="0.25">
      <c r="B6" s="10">
        <v>105</v>
      </c>
      <c r="C6">
        <v>27</v>
      </c>
      <c r="D6">
        <v>729</v>
      </c>
      <c r="E6">
        <v>19683</v>
      </c>
      <c r="F6">
        <v>531441</v>
      </c>
      <c r="G6">
        <v>14348907</v>
      </c>
      <c r="J6" s="12">
        <f t="shared" si="6"/>
        <v>216.49996797203821</v>
      </c>
      <c r="K6" s="10">
        <f t="shared" si="7"/>
        <v>-64.865241887486107</v>
      </c>
      <c r="L6" s="10">
        <f t="shared" ref="L6:L12" si="14">L$3*D23</f>
        <v>-29.349448669621658</v>
      </c>
      <c r="M6" s="10">
        <f t="shared" ref="M6:M12" si="15">M$3*E23</f>
        <v>-3.5054553773446755</v>
      </c>
      <c r="N6" s="10">
        <f t="shared" ref="N6:N12" si="16">N$3*F23</f>
        <v>12.82698606147579</v>
      </c>
      <c r="O6" s="10">
        <f t="shared" ref="O6:O12" si="17">O$3*G23</f>
        <v>21.845580986928752</v>
      </c>
      <c r="Q6">
        <f t="shared" si="12"/>
        <v>153.45238908599029</v>
      </c>
      <c r="R6">
        <f t="shared" si="5"/>
        <v>105</v>
      </c>
      <c r="S6">
        <f t="shared" si="13"/>
        <v>48.452389085990291</v>
      </c>
    </row>
    <row r="7" spans="2:19" x14ac:dyDescent="0.25">
      <c r="B7" s="10">
        <v>220</v>
      </c>
      <c r="C7">
        <v>35</v>
      </c>
      <c r="D7">
        <v>1225</v>
      </c>
      <c r="E7">
        <v>42875</v>
      </c>
      <c r="F7">
        <v>1500625</v>
      </c>
      <c r="G7">
        <v>52521875</v>
      </c>
      <c r="J7" s="12">
        <f t="shared" si="6"/>
        <v>216.49996797203821</v>
      </c>
      <c r="K7" s="10">
        <f t="shared" si="7"/>
        <v>-32.833023671443591</v>
      </c>
      <c r="L7" s="10">
        <f t="shared" si="14"/>
        <v>-18.291011613914929</v>
      </c>
      <c r="M7" s="10">
        <f t="shared" si="15"/>
        <v>-2.5438866421277009</v>
      </c>
      <c r="N7" s="10">
        <f t="shared" si="16"/>
        <v>10.37932481408656</v>
      </c>
      <c r="O7" s="10">
        <f t="shared" si="17"/>
        <v>19.064071220748438</v>
      </c>
      <c r="Q7">
        <f t="shared" si="12"/>
        <v>192.27544207938703</v>
      </c>
      <c r="R7">
        <f t="shared" si="5"/>
        <v>220</v>
      </c>
      <c r="S7">
        <f t="shared" si="13"/>
        <v>-27.724557920612966</v>
      </c>
    </row>
    <row r="8" spans="2:19" x14ac:dyDescent="0.25">
      <c r="B8" s="10">
        <v>240</v>
      </c>
      <c r="C8">
        <v>60</v>
      </c>
      <c r="D8">
        <v>3600</v>
      </c>
      <c r="E8">
        <v>216000</v>
      </c>
      <c r="F8">
        <v>12960000</v>
      </c>
      <c r="G8">
        <v>777600000</v>
      </c>
      <c r="J8" s="12">
        <f t="shared" si="6"/>
        <v>216.49996797203821</v>
      </c>
      <c r="K8" s="10">
        <f t="shared" si="7"/>
        <v>67.267658253689262</v>
      </c>
      <c r="L8" s="10">
        <f t="shared" si="14"/>
        <v>34.660173884680816</v>
      </c>
      <c r="M8" s="10">
        <f t="shared" si="15"/>
        <v>4.6340879734483034</v>
      </c>
      <c r="N8" s="10">
        <f t="shared" si="16"/>
        <v>-18.561173694763095</v>
      </c>
      <c r="O8" s="10">
        <f t="shared" si="17"/>
        <v>-33.769438762840181</v>
      </c>
      <c r="Q8">
        <f t="shared" si="12"/>
        <v>270.73127562625325</v>
      </c>
      <c r="R8">
        <f t="shared" si="5"/>
        <v>240</v>
      </c>
      <c r="S8">
        <f t="shared" si="13"/>
        <v>30.73127562625325</v>
      </c>
    </row>
    <row r="9" spans="2:19" x14ac:dyDescent="0.25">
      <c r="B9" s="10">
        <v>265</v>
      </c>
      <c r="C9">
        <v>65</v>
      </c>
      <c r="D9">
        <v>4225</v>
      </c>
      <c r="E9">
        <v>274625</v>
      </c>
      <c r="F9">
        <v>17850625</v>
      </c>
      <c r="G9">
        <v>1160290625</v>
      </c>
      <c r="J9" s="12">
        <f t="shared" si="6"/>
        <v>216.49996797203821</v>
      </c>
      <c r="K9" s="10">
        <f t="shared" si="7"/>
        <v>87.287794638715837</v>
      </c>
      <c r="L9" s="10">
        <f t="shared" si="14"/>
        <v>48.594696384311277</v>
      </c>
      <c r="M9" s="10">
        <f t="shared" si="15"/>
        <v>7.0647523017552691</v>
      </c>
      <c r="N9" s="10">
        <f t="shared" si="16"/>
        <v>-30.912381812120529</v>
      </c>
      <c r="O9" s="10">
        <f t="shared" si="17"/>
        <v>-61.654556599712272</v>
      </c>
      <c r="Q9">
        <f t="shared" si="12"/>
        <v>266.88027288498779</v>
      </c>
      <c r="R9">
        <f t="shared" si="5"/>
        <v>265</v>
      </c>
      <c r="S9">
        <f t="shared" si="13"/>
        <v>1.8802728849877894</v>
      </c>
    </row>
    <row r="10" spans="2:19" x14ac:dyDescent="0.25">
      <c r="B10" s="10">
        <v>270</v>
      </c>
      <c r="C10">
        <v>45</v>
      </c>
      <c r="D10">
        <v>2025</v>
      </c>
      <c r="E10">
        <v>91125</v>
      </c>
      <c r="F10">
        <v>4100625</v>
      </c>
      <c r="G10">
        <v>184528125</v>
      </c>
      <c r="J10" s="12">
        <f t="shared" si="6"/>
        <v>216.49996797203821</v>
      </c>
      <c r="K10" s="10">
        <f t="shared" si="7"/>
        <v>7.2072490986095552</v>
      </c>
      <c r="L10" s="10">
        <f t="shared" si="14"/>
        <v>-0.4548228143879402</v>
      </c>
      <c r="M10" s="10">
        <f t="shared" si="15"/>
        <v>-0.54338252544009258</v>
      </c>
      <c r="N10" s="10">
        <f t="shared" si="16"/>
        <v>3.8130595401943017</v>
      </c>
      <c r="O10" s="10">
        <f t="shared" si="17"/>
        <v>9.4453097565667736</v>
      </c>
      <c r="Q10">
        <f t="shared" si="12"/>
        <v>235.96738102758084</v>
      </c>
      <c r="R10">
        <f t="shared" si="5"/>
        <v>270</v>
      </c>
      <c r="S10">
        <f t="shared" si="13"/>
        <v>-34.032618972419158</v>
      </c>
    </row>
    <row r="11" spans="2:19" x14ac:dyDescent="0.25">
      <c r="B11" s="10">
        <v>300</v>
      </c>
      <c r="C11">
        <v>40</v>
      </c>
      <c r="D11">
        <v>1600</v>
      </c>
      <c r="E11">
        <v>64000</v>
      </c>
      <c r="F11">
        <v>2560000</v>
      </c>
      <c r="G11">
        <v>102400000</v>
      </c>
      <c r="J11" s="12">
        <f t="shared" si="6"/>
        <v>216.49996797203821</v>
      </c>
      <c r="K11" s="10">
        <f t="shared" si="7"/>
        <v>-12.812887286417018</v>
      </c>
      <c r="L11" s="10">
        <f t="shared" si="14"/>
        <v>-9.9302981141366526</v>
      </c>
      <c r="M11" s="10">
        <f t="shared" si="15"/>
        <v>-1.6680182594328672</v>
      </c>
      <c r="N11" s="10">
        <f t="shared" si="16"/>
        <v>7.7038874008059404</v>
      </c>
      <c r="O11" s="10">
        <f t="shared" si="17"/>
        <v>15.42965401205085</v>
      </c>
      <c r="Q11">
        <f t="shared" si="12"/>
        <v>215.22230572490847</v>
      </c>
      <c r="R11">
        <f t="shared" si="5"/>
        <v>300</v>
      </c>
      <c r="S11">
        <f t="shared" si="13"/>
        <v>-84.777694275091534</v>
      </c>
    </row>
    <row r="12" spans="2:19" x14ac:dyDescent="0.25">
      <c r="B12" s="10">
        <v>265</v>
      </c>
      <c r="C12">
        <v>50</v>
      </c>
      <c r="D12">
        <v>2500</v>
      </c>
      <c r="E12">
        <v>125000</v>
      </c>
      <c r="F12">
        <v>6250000</v>
      </c>
      <c r="G12">
        <v>312500000</v>
      </c>
      <c r="J12" s="12">
        <f t="shared" si="6"/>
        <v>216.49996797203821</v>
      </c>
      <c r="K12" s="10">
        <f t="shared" si="7"/>
        <v>27.22738548363613</v>
      </c>
      <c r="L12" s="10">
        <f t="shared" si="14"/>
        <v>10.135414285331208</v>
      </c>
      <c r="M12" s="10">
        <f t="shared" si="15"/>
        <v>0.86111647876286579</v>
      </c>
      <c r="N12" s="10">
        <f t="shared" si="16"/>
        <v>-1.6151583148334572</v>
      </c>
      <c r="O12" s="10">
        <f t="shared" si="17"/>
        <v>0.12051687934260562</v>
      </c>
      <c r="Q12">
        <f t="shared" si="12"/>
        <v>253.22924278427755</v>
      </c>
      <c r="R12">
        <f t="shared" si="5"/>
        <v>265</v>
      </c>
      <c r="S12">
        <f t="shared" si="13"/>
        <v>-11.770757215722455</v>
      </c>
    </row>
    <row r="13" spans="2:19" x14ac:dyDescent="0.25">
      <c r="B13" s="10">
        <v>105</v>
      </c>
      <c r="C13">
        <v>30</v>
      </c>
      <c r="D13">
        <v>900</v>
      </c>
      <c r="E13">
        <v>27000</v>
      </c>
      <c r="F13">
        <v>810000</v>
      </c>
      <c r="G13">
        <v>24300000</v>
      </c>
      <c r="J13" s="12">
        <f t="shared" si="6"/>
        <v>216.49996797203821</v>
      </c>
      <c r="K13" s="10">
        <f t="shared" ref="K13" si="18">K$3*C30</f>
        <v>-52.853160056470166</v>
      </c>
      <c r="L13" s="10">
        <f t="shared" ref="L13" si="19">L$3*D30</f>
        <v>-25.536963313722765</v>
      </c>
      <c r="M13" s="10">
        <f t="shared" ref="M13" si="20">M$3*E30</f>
        <v>-3.2020835924368365</v>
      </c>
      <c r="N13" s="10">
        <f t="shared" ref="N13" si="21">N$3*F30</f>
        <v>12.12348902746419</v>
      </c>
      <c r="O13" s="10">
        <f t="shared" ref="O13" si="22">O$3*G30</f>
        <v>21.1204850927958</v>
      </c>
      <c r="Q13">
        <f t="shared" si="12"/>
        <v>168.15173512966842</v>
      </c>
      <c r="R13">
        <f t="shared" si="5"/>
        <v>105</v>
      </c>
      <c r="S13">
        <f t="shared" si="13"/>
        <v>63.151735129668424</v>
      </c>
    </row>
    <row r="15" spans="2:19" x14ac:dyDescent="0.25">
      <c r="B15" s="10" t="s">
        <v>55</v>
      </c>
      <c r="C15">
        <f>AVERAGE(C4:C13)</f>
        <v>43.2</v>
      </c>
      <c r="D15">
        <f t="shared" ref="D15:G15" si="23">AVERAGE(D4:D13)</f>
        <v>2045.4</v>
      </c>
      <c r="E15">
        <f t="shared" si="23"/>
        <v>104230.8</v>
      </c>
      <c r="F15">
        <f t="shared" si="23"/>
        <v>5610456.5999999996</v>
      </c>
      <c r="G15">
        <f t="shared" si="23"/>
        <v>314153953.19999999</v>
      </c>
      <c r="R15" t="s">
        <v>67</v>
      </c>
      <c r="S15">
        <f>SUMSQ(S4:S13)/10</f>
        <v>1664.0793549134924</v>
      </c>
    </row>
    <row r="16" spans="2:19" x14ac:dyDescent="0.25">
      <c r="B16" s="10" t="s">
        <v>56</v>
      </c>
      <c r="C16">
        <f>STDEV(C4:C13)</f>
        <v>14.109098719148097</v>
      </c>
      <c r="D16">
        <f t="shared" ref="D16:G16" si="24">STDEV(D4:D13)</f>
        <v>1259.0981957999411</v>
      </c>
      <c r="E16">
        <f t="shared" si="24"/>
        <v>89652.741748742221</v>
      </c>
      <c r="F16">
        <f t="shared" si="24"/>
        <v>5975341.3327401029</v>
      </c>
      <c r="G16">
        <f t="shared" si="24"/>
        <v>389179639.79852974</v>
      </c>
      <c r="Q16" t="s">
        <v>69</v>
      </c>
      <c r="S16">
        <f>S15+K1*SUMSQ(K3:O3)</f>
        <v>2166.6025695924445</v>
      </c>
    </row>
    <row r="18" spans="2:7" x14ac:dyDescent="0.25">
      <c r="C18" s="9" t="s">
        <v>57</v>
      </c>
    </row>
    <row r="19" spans="2:7" x14ac:dyDescent="0.25">
      <c r="C19" s="9"/>
    </row>
    <row r="20" spans="2:7" x14ac:dyDescent="0.25">
      <c r="B20" s="10" t="s">
        <v>64</v>
      </c>
      <c r="C20" t="s">
        <v>0</v>
      </c>
      <c r="D20" t="s">
        <v>2</v>
      </c>
      <c r="E20" t="s">
        <v>3</v>
      </c>
      <c r="F20" t="s">
        <v>4</v>
      </c>
      <c r="G20" t="s">
        <v>5</v>
      </c>
    </row>
    <row r="21" spans="2:7" x14ac:dyDescent="0.25">
      <c r="B21" s="10">
        <v>135</v>
      </c>
      <c r="C21">
        <f>(C4-C$15)/C$16</f>
        <v>-1.2899477395604269</v>
      </c>
      <c r="D21">
        <f t="shared" ref="D21:G21" si="25">(D4-D$15)/D$16</f>
        <v>-1.1281089947854142</v>
      </c>
      <c r="E21">
        <f t="shared" si="25"/>
        <v>-0.98832225620409531</v>
      </c>
      <c r="F21">
        <f t="shared" si="25"/>
        <v>-0.87356207944130104</v>
      </c>
      <c r="G21">
        <f t="shared" si="25"/>
        <v>-0.78212808963381419</v>
      </c>
    </row>
    <row r="22" spans="2:7" x14ac:dyDescent="0.25">
      <c r="B22" s="10">
        <v>260</v>
      </c>
      <c r="C22">
        <f t="shared" ref="C22:G22" si="26">(C5-C$15)/C$16</f>
        <v>0.8363397432314853</v>
      </c>
      <c r="D22">
        <f t="shared" si="26"/>
        <v>0.7780171580482903</v>
      </c>
      <c r="E22">
        <f t="shared" si="26"/>
        <v>0.6931656387504942</v>
      </c>
      <c r="F22">
        <f t="shared" si="26"/>
        <v>0.59246295782346392</v>
      </c>
      <c r="G22">
        <f t="shared" si="26"/>
        <v>0.48597203568488045</v>
      </c>
    </row>
    <row r="23" spans="2:7" x14ac:dyDescent="0.25">
      <c r="B23" s="10">
        <v>105</v>
      </c>
      <c r="C23">
        <f t="shared" ref="C23:G23" si="27">(C6-C$15)/C$16</f>
        <v>-1.1481952407076328</v>
      </c>
      <c r="D23">
        <f t="shared" si="27"/>
        <v>-1.0455101948292869</v>
      </c>
      <c r="E23">
        <f t="shared" si="27"/>
        <v>-0.94305872136014357</v>
      </c>
      <c r="F23">
        <f t="shared" si="27"/>
        <v>-0.84999589432172629</v>
      </c>
      <c r="G23">
        <f t="shared" si="27"/>
        <v>-0.77035131219917585</v>
      </c>
    </row>
    <row r="24" spans="2:7" x14ac:dyDescent="0.25">
      <c r="B24" s="10">
        <v>220</v>
      </c>
      <c r="C24">
        <f t="shared" ref="C24:G24" si="28">(C7-C$15)/C$16</f>
        <v>-0.58118524529645621</v>
      </c>
      <c r="D24">
        <f t="shared" si="28"/>
        <v>-0.65157745657698807</v>
      </c>
      <c r="E24">
        <f t="shared" si="28"/>
        <v>-0.68437170802822422</v>
      </c>
      <c r="F24">
        <f t="shared" si="28"/>
        <v>-0.68779863293857402</v>
      </c>
      <c r="G24">
        <f t="shared" si="28"/>
        <v>-0.67226558495054245</v>
      </c>
    </row>
    <row r="25" spans="2:7" x14ac:dyDescent="0.25">
      <c r="B25" s="10">
        <v>240</v>
      </c>
      <c r="C25">
        <f t="shared" ref="C25:G25" si="29">(C8-C$15)/C$16</f>
        <v>1.1907209903634706</v>
      </c>
      <c r="D25">
        <f t="shared" si="29"/>
        <v>1.2346932154980319</v>
      </c>
      <c r="E25">
        <f t="shared" si="29"/>
        <v>1.246690260887287</v>
      </c>
      <c r="F25">
        <f t="shared" si="29"/>
        <v>1.2299788398246585</v>
      </c>
      <c r="G25">
        <f t="shared" si="29"/>
        <v>1.1908280891567617</v>
      </c>
    </row>
    <row r="26" spans="2:7" x14ac:dyDescent="0.25">
      <c r="B26" s="10">
        <v>265</v>
      </c>
      <c r="C26">
        <f t="shared" ref="C26:G26" si="30">(C9-C$15)/C$16</f>
        <v>1.5451022374954559</v>
      </c>
      <c r="D26">
        <f t="shared" si="30"/>
        <v>1.7310802344651426</v>
      </c>
      <c r="E26">
        <f t="shared" si="30"/>
        <v>1.9006022200362942</v>
      </c>
      <c r="F26">
        <f t="shared" si="30"/>
        <v>2.0484467277097034</v>
      </c>
      <c r="G26">
        <f t="shared" si="30"/>
        <v>2.1741545170195118</v>
      </c>
    </row>
    <row r="27" spans="2:7" x14ac:dyDescent="0.25">
      <c r="B27" s="10">
        <v>270</v>
      </c>
      <c r="C27">
        <f t="shared" ref="C27:G27" si="31">(C10-C$15)/C$16</f>
        <v>0.12757724896751454</v>
      </c>
      <c r="D27">
        <f t="shared" si="31"/>
        <v>-1.6202072299086559E-2</v>
      </c>
      <c r="E27">
        <f t="shared" si="31"/>
        <v>-0.1461840401571865</v>
      </c>
      <c r="F27">
        <f t="shared" si="31"/>
        <v>-0.25267704653578987</v>
      </c>
      <c r="G27">
        <f t="shared" si="31"/>
        <v>-0.33307453665126108</v>
      </c>
    </row>
    <row r="28" spans="2:7" x14ac:dyDescent="0.25">
      <c r="B28" s="10">
        <v>300</v>
      </c>
      <c r="C28">
        <f t="shared" ref="C28:G28" si="32">(C11-C$15)/C$16</f>
        <v>-0.22680399816447083</v>
      </c>
      <c r="D28">
        <f t="shared" si="32"/>
        <v>-0.35374524519672174</v>
      </c>
      <c r="E28">
        <f t="shared" si="32"/>
        <v>-0.44874031976344347</v>
      </c>
      <c r="F28">
        <f t="shared" si="32"/>
        <v>-0.51050750578647808</v>
      </c>
      <c r="G28">
        <f t="shared" si="32"/>
        <v>-0.54410336910127322</v>
      </c>
    </row>
    <row r="29" spans="2:7" x14ac:dyDescent="0.25">
      <c r="B29" s="10">
        <v>265</v>
      </c>
      <c r="C29">
        <f t="shared" ref="C29:G30" si="33">(C12-C$15)/C$16</f>
        <v>0.48195849609949992</v>
      </c>
      <c r="D29">
        <f t="shared" si="33"/>
        <v>0.36105206211591745</v>
      </c>
      <c r="E29">
        <f t="shared" si="33"/>
        <v>0.23166274220823121</v>
      </c>
      <c r="F29">
        <f t="shared" si="33"/>
        <v>0.10703043799285789</v>
      </c>
      <c r="G29">
        <f t="shared" si="33"/>
        <v>-4.2498451379835937E-3</v>
      </c>
    </row>
    <row r="30" spans="2:7" x14ac:dyDescent="0.25">
      <c r="B30" s="10">
        <v>105</v>
      </c>
      <c r="C30">
        <f t="shared" si="33"/>
        <v>-0.93556649242844159</v>
      </c>
      <c r="D30">
        <f t="shared" si="33"/>
        <v>-0.90969870643988548</v>
      </c>
      <c r="E30">
        <f t="shared" si="33"/>
        <v>-0.86144381636921341</v>
      </c>
      <c r="F30">
        <f t="shared" si="33"/>
        <v>-0.80337780432681349</v>
      </c>
      <c r="G30">
        <f t="shared" si="33"/>
        <v>-0.74478190418710344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1"/>
  <sheetViews>
    <sheetView topLeftCell="B1" workbookViewId="0">
      <selection activeCell="J38" sqref="J38"/>
    </sheetView>
  </sheetViews>
  <sheetFormatPr defaultRowHeight="15" x14ac:dyDescent="0.25"/>
  <cols>
    <col min="2" max="2" width="11.7109375" style="10" customWidth="1"/>
    <col min="9" max="9" width="15.42578125" customWidth="1"/>
    <col min="17" max="17" width="12.140625" customWidth="1"/>
  </cols>
  <sheetData>
    <row r="1" spans="2:19" x14ac:dyDescent="0.25">
      <c r="C1" s="9" t="s">
        <v>86</v>
      </c>
      <c r="J1" s="9" t="s">
        <v>68</v>
      </c>
      <c r="K1" s="9">
        <v>1</v>
      </c>
    </row>
    <row r="2" spans="2:19" x14ac:dyDescent="0.25">
      <c r="J2" s="10" t="s">
        <v>58</v>
      </c>
      <c r="K2" s="10" t="s">
        <v>59</v>
      </c>
      <c r="L2" s="10" t="s">
        <v>60</v>
      </c>
      <c r="M2" s="10" t="s">
        <v>61</v>
      </c>
      <c r="N2" s="10" t="s">
        <v>62</v>
      </c>
      <c r="O2" s="10" t="s">
        <v>63</v>
      </c>
      <c r="Q2" t="s">
        <v>65</v>
      </c>
      <c r="R2" t="s">
        <v>66</v>
      </c>
      <c r="S2" t="s">
        <v>35</v>
      </c>
    </row>
    <row r="3" spans="2:19" x14ac:dyDescent="0.25">
      <c r="I3" s="9" t="s">
        <v>70</v>
      </c>
      <c r="J3" s="16">
        <v>216.49987107557408</v>
      </c>
      <c r="K3" s="16">
        <v>147.38858677962165</v>
      </c>
      <c r="L3" s="16">
        <v>-2.8520535130281926E-3</v>
      </c>
      <c r="M3" s="16">
        <v>-9.8820356495434157E-7</v>
      </c>
      <c r="N3" s="16">
        <v>-99.299104683631342</v>
      </c>
      <c r="O3" s="16">
        <v>-7.1054788208439303E-7</v>
      </c>
    </row>
    <row r="4" spans="2:19" x14ac:dyDescent="0.25">
      <c r="B4" s="10" t="s">
        <v>64</v>
      </c>
      <c r="C4" t="s">
        <v>0</v>
      </c>
      <c r="D4" t="s">
        <v>2</v>
      </c>
      <c r="E4" t="s">
        <v>3</v>
      </c>
      <c r="F4" t="s">
        <v>4</v>
      </c>
      <c r="G4" t="s">
        <v>5</v>
      </c>
      <c r="I4" s="14" t="s">
        <v>71</v>
      </c>
      <c r="J4" s="12"/>
      <c r="K4" s="15">
        <f>ABS(K3)</f>
        <v>147.38858677962165</v>
      </c>
      <c r="L4" s="15">
        <f t="shared" ref="L4:O4" si="0">ABS(L3)</f>
        <v>2.8520535130281926E-3</v>
      </c>
      <c r="M4" s="15">
        <f t="shared" si="0"/>
        <v>9.8820356495434157E-7</v>
      </c>
      <c r="N4" s="15">
        <f t="shared" si="0"/>
        <v>99.299104683631342</v>
      </c>
      <c r="O4" s="15">
        <f t="shared" si="0"/>
        <v>7.1054788208439303E-7</v>
      </c>
    </row>
    <row r="5" spans="2:19" x14ac:dyDescent="0.25">
      <c r="B5" s="10">
        <v>135</v>
      </c>
      <c r="C5">
        <v>25</v>
      </c>
      <c r="D5">
        <v>625</v>
      </c>
      <c r="E5">
        <v>15625</v>
      </c>
      <c r="F5">
        <v>390625</v>
      </c>
      <c r="G5">
        <v>9765625</v>
      </c>
      <c r="J5" s="24">
        <f>$J$3</f>
        <v>216.49987107557408</v>
      </c>
      <c r="K5" s="10">
        <f t="shared" ref="K5:O14" si="1">K$3*C22</f>
        <v>-190.12357435337876</v>
      </c>
      <c r="L5" s="10">
        <f t="shared" si="1"/>
        <v>3.2174272216564433E-3</v>
      </c>
      <c r="M5" s="10">
        <f t="shared" si="1"/>
        <v>9.7666357690460505E-7</v>
      </c>
      <c r="N5" s="10">
        <f t="shared" si="1"/>
        <v>86.743932374092424</v>
      </c>
      <c r="O5" s="10">
        <f t="shared" si="1"/>
        <v>5.55739457608019E-7</v>
      </c>
      <c r="Q5">
        <f>SUM(J5:O5)</f>
        <v>113.12344805591243</v>
      </c>
      <c r="R5">
        <f t="shared" ref="R5:R14" si="2">B5</f>
        <v>135</v>
      </c>
      <c r="S5">
        <f>Q5-R5</f>
        <v>-21.876551944087566</v>
      </c>
    </row>
    <row r="6" spans="2:19" x14ac:dyDescent="0.25">
      <c r="B6" s="10">
        <v>260</v>
      </c>
      <c r="C6">
        <v>55</v>
      </c>
      <c r="D6">
        <v>3025</v>
      </c>
      <c r="E6">
        <v>166375</v>
      </c>
      <c r="F6">
        <v>9150625</v>
      </c>
      <c r="G6">
        <v>503284375</v>
      </c>
      <c r="J6" s="24">
        <f t="shared" ref="J6:J14" si="3">$J$3</f>
        <v>216.49987107557408</v>
      </c>
      <c r="K6" s="10">
        <f t="shared" si="1"/>
        <v>123.26693282252026</v>
      </c>
      <c r="L6" s="10">
        <f t="shared" si="1"/>
        <v>-2.2189465688078371E-3</v>
      </c>
      <c r="M6" s="10">
        <f t="shared" si="1"/>
        <v>-6.8498875531709163E-7</v>
      </c>
      <c r="N6" s="10">
        <f t="shared" si="1"/>
        <v>-58.831041270086004</v>
      </c>
      <c r="O6" s="10">
        <f t="shared" si="1"/>
        <v>-3.4530640070813286E-7</v>
      </c>
      <c r="Q6">
        <f t="shared" ref="Q6:Q14" si="4">SUM(J6:O6)</f>
        <v>280.93354265114436</v>
      </c>
      <c r="R6">
        <f t="shared" si="2"/>
        <v>260</v>
      </c>
      <c r="S6">
        <f t="shared" ref="S6:S14" si="5">Q6-R6</f>
        <v>20.933542651144364</v>
      </c>
    </row>
    <row r="7" spans="2:19" x14ac:dyDescent="0.25">
      <c r="B7" s="10">
        <v>105</v>
      </c>
      <c r="C7">
        <v>27</v>
      </c>
      <c r="D7">
        <v>729</v>
      </c>
      <c r="E7">
        <v>19683</v>
      </c>
      <c r="F7">
        <v>531441</v>
      </c>
      <c r="G7">
        <v>14348907</v>
      </c>
      <c r="J7" s="24">
        <f t="shared" si="3"/>
        <v>216.49987107557408</v>
      </c>
      <c r="K7" s="10">
        <f t="shared" si="1"/>
        <v>-169.23087387498549</v>
      </c>
      <c r="L7" s="10">
        <f t="shared" si="1"/>
        <v>2.9818510240696579E-3</v>
      </c>
      <c r="M7" s="10">
        <f t="shared" si="1"/>
        <v>9.3193399040937693E-7</v>
      </c>
      <c r="N7" s="10">
        <f t="shared" si="1"/>
        <v>84.403831290909935</v>
      </c>
      <c r="O7" s="10">
        <f t="shared" si="1"/>
        <v>5.4737149334405745E-7</v>
      </c>
      <c r="Q7">
        <f t="shared" si="4"/>
        <v>131.67581182182806</v>
      </c>
      <c r="R7">
        <f t="shared" si="2"/>
        <v>105</v>
      </c>
      <c r="S7">
        <f t="shared" si="5"/>
        <v>26.675811821828063</v>
      </c>
    </row>
    <row r="8" spans="2:19" x14ac:dyDescent="0.25">
      <c r="B8" s="10">
        <v>220</v>
      </c>
      <c r="C8">
        <v>35</v>
      </c>
      <c r="D8">
        <v>1225</v>
      </c>
      <c r="E8">
        <v>42875</v>
      </c>
      <c r="F8">
        <v>1500625</v>
      </c>
      <c r="G8">
        <v>52521875</v>
      </c>
      <c r="J8" s="24">
        <f t="shared" si="3"/>
        <v>216.49987107557408</v>
      </c>
      <c r="K8" s="10">
        <f t="shared" si="1"/>
        <v>-85.660071961412427</v>
      </c>
      <c r="L8" s="10">
        <f t="shared" si="1"/>
        <v>1.8583337740403735E-3</v>
      </c>
      <c r="M8" s="10">
        <f t="shared" si="1"/>
        <v>6.7629856162738297E-7</v>
      </c>
      <c r="N8" s="10">
        <f t="shared" si="1"/>
        <v>68.297788453425994</v>
      </c>
      <c r="O8" s="10">
        <f t="shared" si="1"/>
        <v>4.7767688758483359E-7</v>
      </c>
      <c r="Q8">
        <f t="shared" si="4"/>
        <v>199.13944705533711</v>
      </c>
      <c r="R8">
        <f t="shared" si="2"/>
        <v>220</v>
      </c>
      <c r="S8">
        <f t="shared" si="5"/>
        <v>-20.860552944662885</v>
      </c>
    </row>
    <row r="9" spans="2:19" x14ac:dyDescent="0.25">
      <c r="B9" s="10">
        <v>240</v>
      </c>
      <c r="C9">
        <v>60</v>
      </c>
      <c r="D9">
        <v>3600</v>
      </c>
      <c r="E9">
        <v>216000</v>
      </c>
      <c r="F9">
        <v>12960000</v>
      </c>
      <c r="G9">
        <v>777600000</v>
      </c>
      <c r="J9" s="24">
        <f t="shared" si="3"/>
        <v>216.49987107557408</v>
      </c>
      <c r="K9" s="10">
        <f t="shared" si="1"/>
        <v>175.49868401850341</v>
      </c>
      <c r="L9" s="10">
        <f t="shared" si="1"/>
        <v>-3.5214111227732372E-3</v>
      </c>
      <c r="M9" s="10">
        <f t="shared" si="1"/>
        <v>-1.2319837602026751E-6</v>
      </c>
      <c r="N9" s="10">
        <f t="shared" si="1"/>
        <v>-122.13579757440019</v>
      </c>
      <c r="O9" s="10">
        <f t="shared" si="1"/>
        <v>-8.4614037667694182E-7</v>
      </c>
      <c r="Q9">
        <f t="shared" si="4"/>
        <v>269.85923403043029</v>
      </c>
      <c r="R9">
        <f t="shared" si="2"/>
        <v>240</v>
      </c>
      <c r="S9">
        <f t="shared" si="5"/>
        <v>29.859234030430287</v>
      </c>
    </row>
    <row r="10" spans="2:19" x14ac:dyDescent="0.25">
      <c r="B10" s="10">
        <v>265</v>
      </c>
      <c r="C10">
        <v>65</v>
      </c>
      <c r="D10">
        <v>4225</v>
      </c>
      <c r="E10">
        <v>274625</v>
      </c>
      <c r="F10">
        <v>17850625</v>
      </c>
      <c r="G10">
        <v>1160290625</v>
      </c>
      <c r="J10" s="24">
        <f t="shared" si="3"/>
        <v>216.49987107557408</v>
      </c>
      <c r="K10" s="10">
        <f t="shared" si="1"/>
        <v>227.73043521448659</v>
      </c>
      <c r="L10" s="10">
        <f t="shared" si="1"/>
        <v>-4.9371334640399773E-3</v>
      </c>
      <c r="M10" s="10">
        <f t="shared" si="1"/>
        <v>-1.8781818894000019E-6</v>
      </c>
      <c r="N10" s="10">
        <f t="shared" si="1"/>
        <v>-203.40892605368791</v>
      </c>
      <c r="O10" s="10">
        <f t="shared" si="1"/>
        <v>-1.5448408873924306E-6</v>
      </c>
      <c r="Q10">
        <f t="shared" si="4"/>
        <v>240.81643967988589</v>
      </c>
      <c r="R10">
        <f t="shared" si="2"/>
        <v>265</v>
      </c>
      <c r="S10">
        <f t="shared" si="5"/>
        <v>-24.183560320114111</v>
      </c>
    </row>
    <row r="11" spans="2:19" x14ac:dyDescent="0.25">
      <c r="B11" s="10">
        <v>270</v>
      </c>
      <c r="C11">
        <v>45</v>
      </c>
      <c r="D11">
        <v>2025</v>
      </c>
      <c r="E11">
        <v>91125</v>
      </c>
      <c r="F11">
        <v>4100625</v>
      </c>
      <c r="G11">
        <v>184528125</v>
      </c>
      <c r="J11" s="24">
        <f t="shared" si="3"/>
        <v>216.49987107557408</v>
      </c>
      <c r="K11" s="10">
        <f t="shared" si="1"/>
        <v>18.803430430553913</v>
      </c>
      <c r="L11" s="10">
        <f t="shared" si="1"/>
        <v>4.6209177218946587E-5</v>
      </c>
      <c r="M11" s="10">
        <f t="shared" si="1"/>
        <v>1.4445958962276033E-7</v>
      </c>
      <c r="N11" s="10">
        <f t="shared" si="1"/>
        <v>25.090604495108188</v>
      </c>
      <c r="O11" s="10">
        <f t="shared" si="1"/>
        <v>2.366654065937941E-7</v>
      </c>
      <c r="Q11">
        <f t="shared" si="4"/>
        <v>260.39395259153838</v>
      </c>
      <c r="R11">
        <f t="shared" si="2"/>
        <v>270</v>
      </c>
      <c r="S11">
        <f t="shared" si="5"/>
        <v>-9.6060474084616203</v>
      </c>
    </row>
    <row r="12" spans="2:19" x14ac:dyDescent="0.25">
      <c r="B12" s="10">
        <v>300</v>
      </c>
      <c r="C12">
        <v>40</v>
      </c>
      <c r="D12">
        <v>1600</v>
      </c>
      <c r="E12">
        <v>64000</v>
      </c>
      <c r="F12">
        <v>2560000</v>
      </c>
      <c r="G12">
        <v>102400000</v>
      </c>
      <c r="J12" s="24">
        <f t="shared" si="3"/>
        <v>216.49987107557408</v>
      </c>
      <c r="K12" s="10">
        <f t="shared" si="1"/>
        <v>-33.428320765429255</v>
      </c>
      <c r="L12" s="10">
        <f t="shared" si="1"/>
        <v>1.0089003692803297E-3</v>
      </c>
      <c r="M12" s="10">
        <f t="shared" si="1"/>
        <v>4.4344678372898604E-7</v>
      </c>
      <c r="N12" s="10">
        <f t="shared" si="1"/>
        <v>50.692938258871017</v>
      </c>
      <c r="O12" s="10">
        <f t="shared" si="1"/>
        <v>3.8661149654989243E-7</v>
      </c>
      <c r="Q12">
        <f t="shared" si="4"/>
        <v>233.76549829944341</v>
      </c>
      <c r="R12">
        <f t="shared" si="2"/>
        <v>300</v>
      </c>
      <c r="S12">
        <f t="shared" si="5"/>
        <v>-66.234501700556592</v>
      </c>
    </row>
    <row r="13" spans="2:19" x14ac:dyDescent="0.25">
      <c r="B13" s="10">
        <v>265</v>
      </c>
      <c r="C13">
        <v>50</v>
      </c>
      <c r="D13">
        <v>2500</v>
      </c>
      <c r="E13">
        <v>125000</v>
      </c>
      <c r="F13">
        <v>6250000</v>
      </c>
      <c r="G13">
        <v>312500000</v>
      </c>
      <c r="J13" s="24">
        <f t="shared" si="3"/>
        <v>216.49987107557408</v>
      </c>
      <c r="K13" s="10">
        <f t="shared" si="1"/>
        <v>71.035181626537081</v>
      </c>
      <c r="L13" s="10">
        <f t="shared" si="1"/>
        <v>-1.0297398021437757E-3</v>
      </c>
      <c r="M13" s="10">
        <f t="shared" si="1"/>
        <v>-2.2892994771727271E-7</v>
      </c>
      <c r="N13" s="10">
        <f t="shared" si="1"/>
        <v>-10.628026666587708</v>
      </c>
      <c r="O13" s="10">
        <f t="shared" si="1"/>
        <v>3.0197184619808976E-9</v>
      </c>
      <c r="Q13">
        <f t="shared" si="4"/>
        <v>276.90599606981107</v>
      </c>
      <c r="R13">
        <f t="shared" si="2"/>
        <v>265</v>
      </c>
      <c r="S13">
        <f t="shared" si="5"/>
        <v>11.905996069811067</v>
      </c>
    </row>
    <row r="14" spans="2:19" x14ac:dyDescent="0.25">
      <c r="B14" s="10">
        <v>105</v>
      </c>
      <c r="C14">
        <v>30</v>
      </c>
      <c r="D14">
        <v>900</v>
      </c>
      <c r="E14">
        <v>27000</v>
      </c>
      <c r="F14">
        <v>810000</v>
      </c>
      <c r="G14">
        <v>24300000</v>
      </c>
      <c r="J14" s="24">
        <f t="shared" si="3"/>
        <v>216.49987107557408</v>
      </c>
      <c r="K14" s="10">
        <f t="shared" si="1"/>
        <v>-137.89182315739561</v>
      </c>
      <c r="L14" s="10">
        <f t="shared" si="1"/>
        <v>2.594509391499078E-3</v>
      </c>
      <c r="M14" s="10">
        <f t="shared" si="1"/>
        <v>8.5128185034392992E-7</v>
      </c>
      <c r="N14" s="10">
        <f t="shared" si="1"/>
        <v>79.774696692354155</v>
      </c>
      <c r="O14" s="10">
        <f t="shared" si="1"/>
        <v>5.2920320463492767E-7</v>
      </c>
      <c r="Q14">
        <f t="shared" si="4"/>
        <v>158.38534050040917</v>
      </c>
      <c r="R14">
        <f t="shared" si="2"/>
        <v>105</v>
      </c>
      <c r="S14">
        <f t="shared" si="5"/>
        <v>53.385340500409171</v>
      </c>
    </row>
    <row r="16" spans="2:19" x14ac:dyDescent="0.25">
      <c r="B16" s="10" t="s">
        <v>55</v>
      </c>
      <c r="C16">
        <f>AVERAGE(C5:C14)</f>
        <v>43.2</v>
      </c>
      <c r="D16">
        <f t="shared" ref="D16:G16" si="6">AVERAGE(D5:D14)</f>
        <v>2045.4</v>
      </c>
      <c r="E16">
        <f t="shared" si="6"/>
        <v>104230.8</v>
      </c>
      <c r="F16">
        <f t="shared" si="6"/>
        <v>5610456.5999999996</v>
      </c>
      <c r="G16">
        <f t="shared" si="6"/>
        <v>314153953.19999999</v>
      </c>
      <c r="R16" t="s">
        <v>67</v>
      </c>
      <c r="S16">
        <f>SUMSQ(S5:S14)/10</f>
        <v>1101.1009470134541</v>
      </c>
    </row>
    <row r="17" spans="2:19" x14ac:dyDescent="0.25">
      <c r="B17" s="10" t="s">
        <v>56</v>
      </c>
      <c r="C17">
        <f>STDEV(C5:C14)</f>
        <v>14.109098719148097</v>
      </c>
      <c r="D17">
        <f t="shared" ref="D17:G17" si="7">STDEV(D5:D14)</f>
        <v>1259.0981957999411</v>
      </c>
      <c r="E17">
        <f t="shared" si="7"/>
        <v>89652.741748742221</v>
      </c>
      <c r="F17">
        <f t="shared" si="7"/>
        <v>5975341.3327401029</v>
      </c>
      <c r="G17">
        <f t="shared" si="7"/>
        <v>389179639.79852974</v>
      </c>
      <c r="Q17" t="s">
        <v>72</v>
      </c>
      <c r="S17">
        <f>S16+K1*SUM(K4:O4)</f>
        <v>1347.7914922289715</v>
      </c>
    </row>
    <row r="19" spans="2:19" x14ac:dyDescent="0.25">
      <c r="C19" s="9" t="s">
        <v>57</v>
      </c>
    </row>
    <row r="20" spans="2:19" x14ac:dyDescent="0.25">
      <c r="C20" s="9"/>
    </row>
    <row r="21" spans="2:19" x14ac:dyDescent="0.25">
      <c r="B21" s="10" t="s">
        <v>64</v>
      </c>
      <c r="C21" t="s">
        <v>0</v>
      </c>
      <c r="D21" t="s">
        <v>2</v>
      </c>
      <c r="E21" t="s">
        <v>3</v>
      </c>
      <c r="F21" t="s">
        <v>4</v>
      </c>
      <c r="G21" t="s">
        <v>5</v>
      </c>
    </row>
    <row r="22" spans="2:19" x14ac:dyDescent="0.25">
      <c r="B22" s="10">
        <v>135</v>
      </c>
      <c r="C22">
        <f>(C5-C$16)/C$17</f>
        <v>-1.2899477395604269</v>
      </c>
      <c r="D22">
        <f t="shared" ref="D22:G22" si="8">(D5-D$16)/D$17</f>
        <v>-1.1281089947854142</v>
      </c>
      <c r="E22">
        <f t="shared" si="8"/>
        <v>-0.98832225620409531</v>
      </c>
      <c r="F22">
        <f t="shared" si="8"/>
        <v>-0.87356207944130104</v>
      </c>
      <c r="G22">
        <f t="shared" si="8"/>
        <v>-0.78212808963381419</v>
      </c>
    </row>
    <row r="23" spans="2:19" x14ac:dyDescent="0.25">
      <c r="B23" s="10">
        <v>260</v>
      </c>
      <c r="C23">
        <f t="shared" ref="C23:G31" si="9">(C6-C$16)/C$17</f>
        <v>0.8363397432314853</v>
      </c>
      <c r="D23">
        <f t="shared" si="9"/>
        <v>0.7780171580482903</v>
      </c>
      <c r="E23">
        <f t="shared" si="9"/>
        <v>0.6931656387504942</v>
      </c>
      <c r="F23">
        <f t="shared" si="9"/>
        <v>0.59246295782346392</v>
      </c>
      <c r="G23">
        <f t="shared" si="9"/>
        <v>0.48597203568488045</v>
      </c>
    </row>
    <row r="24" spans="2:19" x14ac:dyDescent="0.25">
      <c r="B24" s="10">
        <v>105</v>
      </c>
      <c r="C24">
        <f t="shared" si="9"/>
        <v>-1.1481952407076328</v>
      </c>
      <c r="D24">
        <f t="shared" si="9"/>
        <v>-1.0455101948292869</v>
      </c>
      <c r="E24">
        <f t="shared" si="9"/>
        <v>-0.94305872136014357</v>
      </c>
      <c r="F24">
        <f t="shared" si="9"/>
        <v>-0.84999589432172629</v>
      </c>
      <c r="G24">
        <f t="shared" si="9"/>
        <v>-0.77035131219917585</v>
      </c>
    </row>
    <row r="25" spans="2:19" x14ac:dyDescent="0.25">
      <c r="B25" s="10">
        <v>220</v>
      </c>
      <c r="C25">
        <f t="shared" si="9"/>
        <v>-0.58118524529645621</v>
      </c>
      <c r="D25">
        <f t="shared" si="9"/>
        <v>-0.65157745657698807</v>
      </c>
      <c r="E25">
        <f t="shared" si="9"/>
        <v>-0.68437170802822422</v>
      </c>
      <c r="F25">
        <f t="shared" si="9"/>
        <v>-0.68779863293857402</v>
      </c>
      <c r="G25">
        <f t="shared" si="9"/>
        <v>-0.67226558495054245</v>
      </c>
    </row>
    <row r="26" spans="2:19" x14ac:dyDescent="0.25">
      <c r="B26" s="10">
        <v>240</v>
      </c>
      <c r="C26">
        <f t="shared" si="9"/>
        <v>1.1907209903634706</v>
      </c>
      <c r="D26">
        <f t="shared" si="9"/>
        <v>1.2346932154980319</v>
      </c>
      <c r="E26">
        <f t="shared" si="9"/>
        <v>1.246690260887287</v>
      </c>
      <c r="F26">
        <f t="shared" si="9"/>
        <v>1.2299788398246585</v>
      </c>
      <c r="G26">
        <f t="shared" si="9"/>
        <v>1.1908280891567617</v>
      </c>
    </row>
    <row r="27" spans="2:19" x14ac:dyDescent="0.25">
      <c r="B27" s="10">
        <v>265</v>
      </c>
      <c r="C27">
        <f t="shared" si="9"/>
        <v>1.5451022374954559</v>
      </c>
      <c r="D27">
        <f t="shared" si="9"/>
        <v>1.7310802344651426</v>
      </c>
      <c r="E27">
        <f t="shared" si="9"/>
        <v>1.9006022200362942</v>
      </c>
      <c r="F27">
        <f t="shared" si="9"/>
        <v>2.0484467277097034</v>
      </c>
      <c r="G27">
        <f t="shared" si="9"/>
        <v>2.1741545170195118</v>
      </c>
    </row>
    <row r="28" spans="2:19" x14ac:dyDescent="0.25">
      <c r="B28" s="10">
        <v>270</v>
      </c>
      <c r="C28">
        <f t="shared" si="9"/>
        <v>0.12757724896751454</v>
      </c>
      <c r="D28">
        <f t="shared" si="9"/>
        <v>-1.6202072299086559E-2</v>
      </c>
      <c r="E28">
        <f t="shared" si="9"/>
        <v>-0.1461840401571865</v>
      </c>
      <c r="F28">
        <f t="shared" si="9"/>
        <v>-0.25267704653578987</v>
      </c>
      <c r="G28">
        <f t="shared" si="9"/>
        <v>-0.33307453665126108</v>
      </c>
    </row>
    <row r="29" spans="2:19" x14ac:dyDescent="0.25">
      <c r="B29" s="10">
        <v>300</v>
      </c>
      <c r="C29">
        <f t="shared" si="9"/>
        <v>-0.22680399816447083</v>
      </c>
      <c r="D29">
        <f t="shared" si="9"/>
        <v>-0.35374524519672174</v>
      </c>
      <c r="E29">
        <f t="shared" si="9"/>
        <v>-0.44874031976344347</v>
      </c>
      <c r="F29">
        <f t="shared" si="9"/>
        <v>-0.51050750578647808</v>
      </c>
      <c r="G29">
        <f t="shared" si="9"/>
        <v>-0.54410336910127322</v>
      </c>
    </row>
    <row r="30" spans="2:19" x14ac:dyDescent="0.25">
      <c r="B30" s="10">
        <v>265</v>
      </c>
      <c r="C30">
        <f t="shared" si="9"/>
        <v>0.48195849609949992</v>
      </c>
      <c r="D30">
        <f t="shared" si="9"/>
        <v>0.36105206211591745</v>
      </c>
      <c r="E30">
        <f t="shared" si="9"/>
        <v>0.23166274220823121</v>
      </c>
      <c r="F30">
        <f t="shared" si="9"/>
        <v>0.10703043799285789</v>
      </c>
      <c r="G30">
        <f t="shared" si="9"/>
        <v>-4.2498451379835937E-3</v>
      </c>
    </row>
    <row r="31" spans="2:19" x14ac:dyDescent="0.25">
      <c r="B31" s="10">
        <v>105</v>
      </c>
      <c r="C31">
        <f t="shared" si="9"/>
        <v>-0.93556649242844159</v>
      </c>
      <c r="D31">
        <f t="shared" si="9"/>
        <v>-0.90969870643988548</v>
      </c>
      <c r="E31">
        <f t="shared" si="9"/>
        <v>-0.86144381636921341</v>
      </c>
      <c r="F31">
        <f t="shared" si="9"/>
        <v>-0.80337780432681349</v>
      </c>
      <c r="G31">
        <f t="shared" si="9"/>
        <v>-0.74478190418710344</v>
      </c>
    </row>
  </sheetData>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1"/>
  <sheetViews>
    <sheetView workbookViewId="0">
      <selection activeCell="I22" sqref="I22"/>
    </sheetView>
  </sheetViews>
  <sheetFormatPr defaultRowHeight="15" x14ac:dyDescent="0.25"/>
  <cols>
    <col min="2" max="2" width="11.7109375" style="10" customWidth="1"/>
    <col min="9" max="9" width="15.42578125" customWidth="1"/>
    <col min="17" max="17" width="12.140625" customWidth="1"/>
  </cols>
  <sheetData>
    <row r="1" spans="2:19" x14ac:dyDescent="0.25">
      <c r="C1" s="9" t="s">
        <v>85</v>
      </c>
      <c r="J1" s="9" t="s">
        <v>73</v>
      </c>
      <c r="K1" s="9">
        <v>0.02</v>
      </c>
      <c r="M1" s="9" t="s">
        <v>74</v>
      </c>
      <c r="N1" s="9">
        <v>1</v>
      </c>
    </row>
    <row r="2" spans="2:19" x14ac:dyDescent="0.25">
      <c r="J2" s="10" t="s">
        <v>58</v>
      </c>
      <c r="K2" s="10" t="s">
        <v>59</v>
      </c>
      <c r="L2" s="10" t="s">
        <v>60</v>
      </c>
      <c r="M2" s="10" t="s">
        <v>61</v>
      </c>
      <c r="N2" s="10" t="s">
        <v>62</v>
      </c>
      <c r="O2" s="10" t="s">
        <v>63</v>
      </c>
      <c r="Q2" t="s">
        <v>65</v>
      </c>
      <c r="R2" t="s">
        <v>66</v>
      </c>
      <c r="S2" t="s">
        <v>35</v>
      </c>
    </row>
    <row r="3" spans="2:19" x14ac:dyDescent="0.25">
      <c r="I3" s="9" t="s">
        <v>70</v>
      </c>
      <c r="J3" s="16">
        <v>216.49990291090126</v>
      </c>
      <c r="K3" s="16">
        <v>96.65715825091749</v>
      </c>
      <c r="L3" s="16">
        <v>21.106868927401056</v>
      </c>
      <c r="M3" s="16">
        <v>-1.3820306244451402E-7</v>
      </c>
      <c r="N3" s="16">
        <v>-26.002161696893992</v>
      </c>
      <c r="O3" s="16">
        <v>-45.539875520959271</v>
      </c>
    </row>
    <row r="4" spans="2:19" x14ac:dyDescent="0.25">
      <c r="B4" s="10" t="s">
        <v>64</v>
      </c>
      <c r="C4" t="s">
        <v>0</v>
      </c>
      <c r="D4" t="s">
        <v>2</v>
      </c>
      <c r="E4" t="s">
        <v>3</v>
      </c>
      <c r="F4" t="s">
        <v>4</v>
      </c>
      <c r="G4" t="s">
        <v>5</v>
      </c>
      <c r="I4" s="14" t="s">
        <v>71</v>
      </c>
      <c r="J4" s="12"/>
      <c r="K4" s="15">
        <f>ABS(K3)</f>
        <v>96.65715825091749</v>
      </c>
      <c r="L4" s="15">
        <f t="shared" ref="L4:O4" si="0">ABS(L3)</f>
        <v>21.106868927401056</v>
      </c>
      <c r="M4" s="15">
        <f t="shared" si="0"/>
        <v>1.3820306244451402E-7</v>
      </c>
      <c r="N4" s="15">
        <f t="shared" si="0"/>
        <v>26.002161696893992</v>
      </c>
      <c r="O4" s="15">
        <f t="shared" si="0"/>
        <v>45.539875520959271</v>
      </c>
    </row>
    <row r="5" spans="2:19" x14ac:dyDescent="0.25">
      <c r="B5" s="10">
        <v>135</v>
      </c>
      <c r="C5">
        <v>25</v>
      </c>
      <c r="D5">
        <v>625</v>
      </c>
      <c r="E5">
        <v>15625</v>
      </c>
      <c r="F5">
        <v>390625</v>
      </c>
      <c r="G5">
        <v>9765625</v>
      </c>
      <c r="J5" s="24">
        <f>$J$3</f>
        <v>216.49990291090126</v>
      </c>
      <c r="K5" s="10">
        <f t="shared" ref="K5:O14" si="1">K$3*C22</f>
        <v>-124.68268279810547</v>
      </c>
      <c r="L5" s="10">
        <f t="shared" si="1"/>
        <v>-23.810848688757897</v>
      </c>
      <c r="M5" s="10">
        <f t="shared" si="1"/>
        <v>1.3658916248947756E-7</v>
      </c>
      <c r="N5" s="10">
        <f t="shared" si="1"/>
        <v>22.714502441907666</v>
      </c>
      <c r="O5" s="10">
        <f t="shared" si="1"/>
        <v>35.618015843369577</v>
      </c>
      <c r="Q5">
        <f>SUM(J5:O5)</f>
        <v>126.33888984590429</v>
      </c>
      <c r="R5">
        <f t="shared" ref="R5:R14" si="2">B5</f>
        <v>135</v>
      </c>
      <c r="S5">
        <f>Q5-R5</f>
        <v>-8.6611101540957094</v>
      </c>
    </row>
    <row r="6" spans="2:19" x14ac:dyDescent="0.25">
      <c r="B6" s="10">
        <v>260</v>
      </c>
      <c r="C6">
        <v>55</v>
      </c>
      <c r="D6">
        <v>3025</v>
      </c>
      <c r="E6">
        <v>166375</v>
      </c>
      <c r="F6">
        <v>9150625</v>
      </c>
      <c r="G6">
        <v>503284375</v>
      </c>
      <c r="J6" s="24">
        <f t="shared" ref="J6:J14" si="3">$J$3</f>
        <v>216.49990291090126</v>
      </c>
      <c r="K6" s="10">
        <f t="shared" si="1"/>
        <v>80.838222913057379</v>
      </c>
      <c r="L6" s="10">
        <f t="shared" si="1"/>
        <v>16.421506178194335</v>
      </c>
      <c r="M6" s="10">
        <f t="shared" si="1"/>
        <v>-9.579761405662599E-8</v>
      </c>
      <c r="N6" s="10">
        <f t="shared" si="1"/>
        <v>-15.405317628745795</v>
      </c>
      <c r="O6" s="10">
        <f t="shared" si="1"/>
        <v>-22.131106011756632</v>
      </c>
      <c r="Q6">
        <f t="shared" ref="Q6:Q14" si="4">SUM(J6:O6)</f>
        <v>276.22320826585297</v>
      </c>
      <c r="R6">
        <f t="shared" si="2"/>
        <v>260</v>
      </c>
      <c r="S6">
        <f t="shared" ref="S6:S14" si="5">Q6-R6</f>
        <v>16.223208265852975</v>
      </c>
    </row>
    <row r="7" spans="2:19" x14ac:dyDescent="0.25">
      <c r="B7" s="10">
        <v>105</v>
      </c>
      <c r="C7">
        <v>27</v>
      </c>
      <c r="D7">
        <v>729</v>
      </c>
      <c r="E7">
        <v>19683</v>
      </c>
      <c r="F7">
        <v>531441</v>
      </c>
      <c r="G7">
        <v>14348907</v>
      </c>
      <c r="J7" s="24">
        <f t="shared" si="3"/>
        <v>216.49990291090126</v>
      </c>
      <c r="K7" s="10">
        <f t="shared" si="1"/>
        <v>-110.98128908402796</v>
      </c>
      <c r="L7" s="10">
        <f t="shared" si="1"/>
        <v>-22.067446644523297</v>
      </c>
      <c r="M7" s="10">
        <f t="shared" si="1"/>
        <v>1.3033360335697946E-7</v>
      </c>
      <c r="N7" s="10">
        <f t="shared" si="1"/>
        <v>22.101730685849546</v>
      </c>
      <c r="O7" s="10">
        <f t="shared" si="1"/>
        <v>35.081702864958103</v>
      </c>
      <c r="Q7">
        <f t="shared" si="4"/>
        <v>140.63460086349124</v>
      </c>
      <c r="R7">
        <f t="shared" si="2"/>
        <v>105</v>
      </c>
      <c r="S7">
        <f t="shared" si="5"/>
        <v>35.634600863491244</v>
      </c>
    </row>
    <row r="8" spans="2:19" x14ac:dyDescent="0.25">
      <c r="B8" s="10">
        <v>220</v>
      </c>
      <c r="C8">
        <v>35</v>
      </c>
      <c r="D8">
        <v>1225</v>
      </c>
      <c r="E8">
        <v>42875</v>
      </c>
      <c r="F8">
        <v>1500625</v>
      </c>
      <c r="G8">
        <v>52521875</v>
      </c>
      <c r="J8" s="24">
        <f t="shared" si="3"/>
        <v>216.49990291090126</v>
      </c>
      <c r="K8" s="10">
        <f t="shared" si="1"/>
        <v>-56.175714227717869</v>
      </c>
      <c r="L8" s="10">
        <f t="shared" si="1"/>
        <v>-13.75275997201984</v>
      </c>
      <c r="M8" s="10">
        <f t="shared" si="1"/>
        <v>9.4582265899883384E-8</v>
      </c>
      <c r="N8" s="10">
        <f t="shared" si="1"/>
        <v>17.88425126857144</v>
      </c>
      <c r="O8" s="10">
        <f t="shared" si="1"/>
        <v>30.614891055672572</v>
      </c>
      <c r="Q8">
        <f t="shared" si="4"/>
        <v>195.07057112998984</v>
      </c>
      <c r="R8">
        <f t="shared" si="2"/>
        <v>220</v>
      </c>
      <c r="S8">
        <f t="shared" si="5"/>
        <v>-24.929428870010156</v>
      </c>
    </row>
    <row r="9" spans="2:19" x14ac:dyDescent="0.25">
      <c r="B9" s="10">
        <v>240</v>
      </c>
      <c r="C9">
        <v>60</v>
      </c>
      <c r="D9">
        <v>3600</v>
      </c>
      <c r="E9">
        <v>216000</v>
      </c>
      <c r="F9">
        <v>12960000</v>
      </c>
      <c r="G9">
        <v>777600000</v>
      </c>
      <c r="J9" s="24">
        <f t="shared" si="3"/>
        <v>216.49990291090126</v>
      </c>
      <c r="K9" s="10">
        <f t="shared" si="1"/>
        <v>115.09170719825117</v>
      </c>
      <c r="L9" s="10">
        <f t="shared" si="1"/>
        <v>26.060507865068306</v>
      </c>
      <c r="M9" s="10">
        <f t="shared" si="1"/>
        <v>-1.7229641197437319E-7</v>
      </c>
      <c r="N9" s="10">
        <f t="shared" si="1"/>
        <v>-31.982108676878845</v>
      </c>
      <c r="O9" s="10">
        <f t="shared" si="1"/>
        <v>-54.23016294706072</v>
      </c>
      <c r="Q9">
        <f t="shared" si="4"/>
        <v>271.43984617798475</v>
      </c>
      <c r="R9">
        <f t="shared" si="2"/>
        <v>240</v>
      </c>
      <c r="S9">
        <f t="shared" si="5"/>
        <v>31.439846177984748</v>
      </c>
    </row>
    <row r="10" spans="2:19" x14ac:dyDescent="0.25">
      <c r="B10" s="10">
        <v>265</v>
      </c>
      <c r="C10">
        <v>65</v>
      </c>
      <c r="D10">
        <v>4225</v>
      </c>
      <c r="E10">
        <v>274625</v>
      </c>
      <c r="F10">
        <v>17850625</v>
      </c>
      <c r="G10">
        <v>1160290625</v>
      </c>
      <c r="J10" s="24">
        <f t="shared" si="3"/>
        <v>216.49990291090126</v>
      </c>
      <c r="K10" s="10">
        <f t="shared" si="1"/>
        <v>149.34519148344498</v>
      </c>
      <c r="L10" s="10">
        <f t="shared" si="1"/>
        <v>36.537683611670452</v>
      </c>
      <c r="M10" s="10">
        <f t="shared" si="1"/>
        <v>-2.6266904729785796E-7</v>
      </c>
      <c r="N10" s="10">
        <f t="shared" si="1"/>
        <v>-53.264043041381086</v>
      </c>
      <c r="O10" s="10">
        <f t="shared" si="1"/>
        <v>-99.01072606839989</v>
      </c>
      <c r="Q10">
        <f t="shared" si="4"/>
        <v>250.10800863356667</v>
      </c>
      <c r="R10">
        <f t="shared" si="2"/>
        <v>265</v>
      </c>
      <c r="S10">
        <f t="shared" si="5"/>
        <v>-14.891991366433331</v>
      </c>
    </row>
    <row r="11" spans="2:19" x14ac:dyDescent="0.25">
      <c r="B11" s="10">
        <v>270</v>
      </c>
      <c r="C11">
        <v>45</v>
      </c>
      <c r="D11">
        <v>2025</v>
      </c>
      <c r="E11">
        <v>91125</v>
      </c>
      <c r="F11">
        <v>4100625</v>
      </c>
      <c r="G11">
        <v>184528125</v>
      </c>
      <c r="J11" s="24">
        <f t="shared" si="3"/>
        <v>216.49990291090126</v>
      </c>
      <c r="K11" s="10">
        <f t="shared" si="1"/>
        <v>12.331254342669753</v>
      </c>
      <c r="L11" s="10">
        <f t="shared" si="1"/>
        <v>-0.3419750163690955</v>
      </c>
      <c r="M11" s="10">
        <f t="shared" si="1"/>
        <v>2.0203082030234992E-8</v>
      </c>
      <c r="N11" s="10">
        <f t="shared" si="1"/>
        <v>6.5701494211172164</v>
      </c>
      <c r="O11" s="10">
        <f t="shared" si="1"/>
        <v>15.168172938299616</v>
      </c>
      <c r="Q11">
        <f t="shared" si="4"/>
        <v>250.22750461682182</v>
      </c>
      <c r="R11">
        <f t="shared" si="2"/>
        <v>270</v>
      </c>
      <c r="S11">
        <f t="shared" si="5"/>
        <v>-19.772495383178182</v>
      </c>
    </row>
    <row r="12" spans="2:19" x14ac:dyDescent="0.25">
      <c r="B12" s="10">
        <v>300</v>
      </c>
      <c r="C12">
        <v>40</v>
      </c>
      <c r="D12">
        <v>1600</v>
      </c>
      <c r="E12">
        <v>64000</v>
      </c>
      <c r="F12">
        <v>2560000</v>
      </c>
      <c r="G12">
        <v>102400000</v>
      </c>
      <c r="J12" s="24">
        <f t="shared" si="3"/>
        <v>216.49990291090126</v>
      </c>
      <c r="K12" s="10">
        <f t="shared" si="1"/>
        <v>-21.922229942524059</v>
      </c>
      <c r="L12" s="10">
        <f t="shared" si="1"/>
        <v>-7.4664545240585536</v>
      </c>
      <c r="M12" s="10">
        <f t="shared" si="1"/>
        <v>6.2017286433638369E-8</v>
      </c>
      <c r="N12" s="10">
        <f t="shared" si="1"/>
        <v>13.274298712938048</v>
      </c>
      <c r="O12" s="10">
        <f t="shared" si="1"/>
        <v>24.778399699406538</v>
      </c>
      <c r="Q12">
        <f t="shared" si="4"/>
        <v>225.16391691868051</v>
      </c>
      <c r="R12">
        <f t="shared" si="2"/>
        <v>300</v>
      </c>
      <c r="S12">
        <f t="shared" si="5"/>
        <v>-74.836083081319487</v>
      </c>
    </row>
    <row r="13" spans="2:19" x14ac:dyDescent="0.25">
      <c r="B13" s="10">
        <v>265</v>
      </c>
      <c r="C13">
        <v>50</v>
      </c>
      <c r="D13">
        <v>2500</v>
      </c>
      <c r="E13">
        <v>125000</v>
      </c>
      <c r="F13">
        <v>6250000</v>
      </c>
      <c r="G13">
        <v>312500000</v>
      </c>
      <c r="J13" s="24">
        <f t="shared" si="3"/>
        <v>216.49990291090126</v>
      </c>
      <c r="K13" s="10">
        <f t="shared" si="1"/>
        <v>46.584738627863565</v>
      </c>
      <c r="L13" s="10">
        <f t="shared" si="1"/>
        <v>7.6206785510485338</v>
      </c>
      <c r="M13" s="10">
        <f t="shared" si="1"/>
        <v>-3.2016500427471529E-8</v>
      </c>
      <c r="N13" s="10">
        <f t="shared" si="1"/>
        <v>-2.7830227551796769</v>
      </c>
      <c r="O13" s="10">
        <f t="shared" si="1"/>
        <v>0.19353741856712683</v>
      </c>
      <c r="Q13">
        <f t="shared" si="4"/>
        <v>268.11583472118429</v>
      </c>
      <c r="R13">
        <f t="shared" si="2"/>
        <v>265</v>
      </c>
      <c r="S13">
        <f t="shared" si="5"/>
        <v>3.1158347211842852</v>
      </c>
    </row>
    <row r="14" spans="2:19" x14ac:dyDescent="0.25">
      <c r="B14" s="10">
        <v>105</v>
      </c>
      <c r="C14">
        <v>30</v>
      </c>
      <c r="D14">
        <v>900</v>
      </c>
      <c r="E14">
        <v>27000</v>
      </c>
      <c r="F14">
        <v>810000</v>
      </c>
      <c r="G14">
        <v>24300000</v>
      </c>
      <c r="J14" s="24">
        <f t="shared" si="3"/>
        <v>216.49990291090126</v>
      </c>
      <c r="K14" s="10">
        <f t="shared" si="1"/>
        <v>-90.429198512911682</v>
      </c>
      <c r="L14" s="10">
        <f t="shared" si="1"/>
        <v>-19.200891360252953</v>
      </c>
      <c r="M14" s="10">
        <f t="shared" si="1"/>
        <v>1.1905417354611487E-7</v>
      </c>
      <c r="N14" s="10">
        <f t="shared" si="1"/>
        <v>20.889559571801467</v>
      </c>
      <c r="O14" s="10">
        <f t="shared" si="1"/>
        <v>33.917275206943707</v>
      </c>
      <c r="Q14">
        <f t="shared" si="4"/>
        <v>161.67664793553598</v>
      </c>
      <c r="R14">
        <f t="shared" si="2"/>
        <v>105</v>
      </c>
      <c r="S14">
        <f t="shared" si="5"/>
        <v>56.676647935535982</v>
      </c>
    </row>
    <row r="16" spans="2:19" x14ac:dyDescent="0.25">
      <c r="B16" s="10" t="s">
        <v>55</v>
      </c>
      <c r="C16">
        <f>AVERAGE(C5:C14)</f>
        <v>43.2</v>
      </c>
      <c r="D16">
        <f t="shared" ref="D16:G16" si="6">AVERAGE(D5:D14)</f>
        <v>2045.4</v>
      </c>
      <c r="E16">
        <f t="shared" si="6"/>
        <v>104230.8</v>
      </c>
      <c r="F16">
        <f t="shared" si="6"/>
        <v>5610456.5999999996</v>
      </c>
      <c r="G16">
        <f t="shared" si="6"/>
        <v>314153953.19999999</v>
      </c>
      <c r="R16" t="s">
        <v>67</v>
      </c>
      <c r="S16">
        <f>SUMSQ(S5:S14)/10</f>
        <v>1265.3085604427501</v>
      </c>
    </row>
    <row r="17" spans="2:19" x14ac:dyDescent="0.25">
      <c r="B17" s="10" t="s">
        <v>56</v>
      </c>
      <c r="C17">
        <f>STDEV(C5:C14)</f>
        <v>14.109098719148097</v>
      </c>
      <c r="D17">
        <f t="shared" ref="D17:G17" si="7">STDEV(D5:D14)</f>
        <v>1259.0981957999411</v>
      </c>
      <c r="E17">
        <f t="shared" si="7"/>
        <v>89652.741748742221</v>
      </c>
      <c r="F17">
        <f t="shared" si="7"/>
        <v>5975341.3327401029</v>
      </c>
      <c r="G17">
        <f t="shared" si="7"/>
        <v>389179639.79852974</v>
      </c>
      <c r="Q17" t="s">
        <v>75</v>
      </c>
      <c r="S17">
        <f>S16+K1*SUMSQ(K3:O3)+N1*SUM(K4:O4)</f>
        <v>1705.3766016258705</v>
      </c>
    </row>
    <row r="19" spans="2:19" x14ac:dyDescent="0.25">
      <c r="C19" s="9" t="s">
        <v>57</v>
      </c>
    </row>
    <row r="20" spans="2:19" x14ac:dyDescent="0.25">
      <c r="C20" s="9"/>
    </row>
    <row r="21" spans="2:19" x14ac:dyDescent="0.25">
      <c r="B21" s="10" t="s">
        <v>64</v>
      </c>
      <c r="C21" t="s">
        <v>0</v>
      </c>
      <c r="D21" t="s">
        <v>2</v>
      </c>
      <c r="E21" t="s">
        <v>3</v>
      </c>
      <c r="F21" t="s">
        <v>4</v>
      </c>
      <c r="G21" t="s">
        <v>5</v>
      </c>
    </row>
    <row r="22" spans="2:19" x14ac:dyDescent="0.25">
      <c r="B22" s="10">
        <v>135</v>
      </c>
      <c r="C22">
        <f>(C5-C$16)/C$17</f>
        <v>-1.2899477395604269</v>
      </c>
      <c r="D22">
        <f t="shared" ref="D22:G22" si="8">(D5-D$16)/D$17</f>
        <v>-1.1281089947854142</v>
      </c>
      <c r="E22">
        <f t="shared" si="8"/>
        <v>-0.98832225620409531</v>
      </c>
      <c r="F22">
        <f t="shared" si="8"/>
        <v>-0.87356207944130104</v>
      </c>
      <c r="G22">
        <f t="shared" si="8"/>
        <v>-0.78212808963381419</v>
      </c>
    </row>
    <row r="23" spans="2:19" x14ac:dyDescent="0.25">
      <c r="B23" s="10">
        <v>260</v>
      </c>
      <c r="C23">
        <f t="shared" ref="C23:G31" si="9">(C6-C$16)/C$17</f>
        <v>0.8363397432314853</v>
      </c>
      <c r="D23">
        <f t="shared" si="9"/>
        <v>0.7780171580482903</v>
      </c>
      <c r="E23">
        <f t="shared" si="9"/>
        <v>0.6931656387504942</v>
      </c>
      <c r="F23">
        <f t="shared" si="9"/>
        <v>0.59246295782346392</v>
      </c>
      <c r="G23">
        <f t="shared" si="9"/>
        <v>0.48597203568488045</v>
      </c>
    </row>
    <row r="24" spans="2:19" x14ac:dyDescent="0.25">
      <c r="B24" s="10">
        <v>105</v>
      </c>
      <c r="C24">
        <f t="shared" si="9"/>
        <v>-1.1481952407076328</v>
      </c>
      <c r="D24">
        <f t="shared" si="9"/>
        <v>-1.0455101948292869</v>
      </c>
      <c r="E24">
        <f t="shared" si="9"/>
        <v>-0.94305872136014357</v>
      </c>
      <c r="F24">
        <f t="shared" si="9"/>
        <v>-0.84999589432172629</v>
      </c>
      <c r="G24">
        <f t="shared" si="9"/>
        <v>-0.77035131219917585</v>
      </c>
    </row>
    <row r="25" spans="2:19" x14ac:dyDescent="0.25">
      <c r="B25" s="10">
        <v>220</v>
      </c>
      <c r="C25">
        <f t="shared" si="9"/>
        <v>-0.58118524529645621</v>
      </c>
      <c r="D25">
        <f t="shared" si="9"/>
        <v>-0.65157745657698807</v>
      </c>
      <c r="E25">
        <f t="shared" si="9"/>
        <v>-0.68437170802822422</v>
      </c>
      <c r="F25">
        <f t="shared" si="9"/>
        <v>-0.68779863293857402</v>
      </c>
      <c r="G25">
        <f t="shared" si="9"/>
        <v>-0.67226558495054245</v>
      </c>
    </row>
    <row r="26" spans="2:19" x14ac:dyDescent="0.25">
      <c r="B26" s="10">
        <v>240</v>
      </c>
      <c r="C26">
        <f t="shared" si="9"/>
        <v>1.1907209903634706</v>
      </c>
      <c r="D26">
        <f t="shared" si="9"/>
        <v>1.2346932154980319</v>
      </c>
      <c r="E26">
        <f t="shared" si="9"/>
        <v>1.246690260887287</v>
      </c>
      <c r="F26">
        <f t="shared" si="9"/>
        <v>1.2299788398246585</v>
      </c>
      <c r="G26">
        <f t="shared" si="9"/>
        <v>1.1908280891567617</v>
      </c>
    </row>
    <row r="27" spans="2:19" x14ac:dyDescent="0.25">
      <c r="B27" s="10">
        <v>265</v>
      </c>
      <c r="C27">
        <f t="shared" si="9"/>
        <v>1.5451022374954559</v>
      </c>
      <c r="D27">
        <f t="shared" si="9"/>
        <v>1.7310802344651426</v>
      </c>
      <c r="E27">
        <f t="shared" si="9"/>
        <v>1.9006022200362942</v>
      </c>
      <c r="F27">
        <f t="shared" si="9"/>
        <v>2.0484467277097034</v>
      </c>
      <c r="G27">
        <f t="shared" si="9"/>
        <v>2.1741545170195118</v>
      </c>
    </row>
    <row r="28" spans="2:19" x14ac:dyDescent="0.25">
      <c r="B28" s="10">
        <v>270</v>
      </c>
      <c r="C28">
        <f t="shared" si="9"/>
        <v>0.12757724896751454</v>
      </c>
      <c r="D28">
        <f t="shared" si="9"/>
        <v>-1.6202072299086559E-2</v>
      </c>
      <c r="E28">
        <f t="shared" si="9"/>
        <v>-0.1461840401571865</v>
      </c>
      <c r="F28">
        <f t="shared" si="9"/>
        <v>-0.25267704653578987</v>
      </c>
      <c r="G28">
        <f t="shared" si="9"/>
        <v>-0.33307453665126108</v>
      </c>
    </row>
    <row r="29" spans="2:19" x14ac:dyDescent="0.25">
      <c r="B29" s="10">
        <v>300</v>
      </c>
      <c r="C29">
        <f t="shared" si="9"/>
        <v>-0.22680399816447083</v>
      </c>
      <c r="D29">
        <f t="shared" si="9"/>
        <v>-0.35374524519672174</v>
      </c>
      <c r="E29">
        <f t="shared" si="9"/>
        <v>-0.44874031976344347</v>
      </c>
      <c r="F29">
        <f t="shared" si="9"/>
        <v>-0.51050750578647808</v>
      </c>
      <c r="G29">
        <f t="shared" si="9"/>
        <v>-0.54410336910127322</v>
      </c>
    </row>
    <row r="30" spans="2:19" x14ac:dyDescent="0.25">
      <c r="B30" s="10">
        <v>265</v>
      </c>
      <c r="C30">
        <f t="shared" si="9"/>
        <v>0.48195849609949992</v>
      </c>
      <c r="D30">
        <f t="shared" si="9"/>
        <v>0.36105206211591745</v>
      </c>
      <c r="E30">
        <f t="shared" si="9"/>
        <v>0.23166274220823121</v>
      </c>
      <c r="F30">
        <f t="shared" si="9"/>
        <v>0.10703043799285789</v>
      </c>
      <c r="G30">
        <f t="shared" si="9"/>
        <v>-4.2498451379835937E-3</v>
      </c>
    </row>
    <row r="31" spans="2:19" x14ac:dyDescent="0.25">
      <c r="B31" s="10">
        <v>105</v>
      </c>
      <c r="C31">
        <f t="shared" si="9"/>
        <v>-0.93556649242844159</v>
      </c>
      <c r="D31">
        <f t="shared" si="9"/>
        <v>-0.90969870643988548</v>
      </c>
      <c r="E31">
        <f t="shared" si="9"/>
        <v>-0.86144381636921341</v>
      </c>
      <c r="F31">
        <f t="shared" si="9"/>
        <v>-0.80337780432681349</v>
      </c>
      <c r="G31">
        <f t="shared" si="9"/>
        <v>-0.74478190418710344</v>
      </c>
    </row>
  </sheetData>
  <pageMargins left="0.7" right="0.7" top="0.75" bottom="0.75" header="0.3" footer="0.3"/>
  <pageSetup orientation="portrait" horizontalDpi="4294967295" verticalDpi="4294967295"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D28" sqref="D28"/>
    </sheetView>
  </sheetViews>
  <sheetFormatPr defaultRowHeight="15" x14ac:dyDescent="0.25"/>
  <cols>
    <col min="2" max="2" width="12.7109375" customWidth="1"/>
    <col min="4" max="4" width="13.7109375" customWidth="1"/>
    <col min="9" max="9" width="12" customWidth="1"/>
    <col min="10" max="10" width="10" bestFit="1" customWidth="1"/>
  </cols>
  <sheetData>
    <row r="1" spans="1:15" x14ac:dyDescent="0.25">
      <c r="H1" t="s">
        <v>80</v>
      </c>
      <c r="J1">
        <v>2.0000000000000001E-4</v>
      </c>
    </row>
    <row r="2" spans="1:15" x14ac:dyDescent="0.25">
      <c r="A2" t="s">
        <v>0</v>
      </c>
      <c r="B2" t="s">
        <v>76</v>
      </c>
      <c r="D2" s="14" t="s">
        <v>77</v>
      </c>
      <c r="E2" s="14" t="s">
        <v>78</v>
      </c>
      <c r="F2" s="14" t="s">
        <v>84</v>
      </c>
    </row>
    <row r="3" spans="1:15" x14ac:dyDescent="0.25">
      <c r="A3" s="1">
        <v>25</v>
      </c>
      <c r="B3">
        <v>135</v>
      </c>
      <c r="D3">
        <f t="shared" ref="D3:D12" si="0">A3*B3</f>
        <v>3375</v>
      </c>
      <c r="E3">
        <f>A3*A3</f>
        <v>625</v>
      </c>
      <c r="F3">
        <f>B3*B3</f>
        <v>18225</v>
      </c>
      <c r="H3" t="s">
        <v>81</v>
      </c>
      <c r="I3" t="s">
        <v>82</v>
      </c>
      <c r="J3" t="s">
        <v>83</v>
      </c>
      <c r="N3" s="11" t="s">
        <v>79</v>
      </c>
      <c r="O3" s="11" t="s">
        <v>67</v>
      </c>
    </row>
    <row r="4" spans="1:15" x14ac:dyDescent="0.25">
      <c r="A4" s="1">
        <v>55</v>
      </c>
      <c r="B4">
        <v>260</v>
      </c>
      <c r="D4">
        <f t="shared" si="0"/>
        <v>14300</v>
      </c>
      <c r="E4">
        <f t="shared" ref="E4:E12" si="1">A4*A4</f>
        <v>3025</v>
      </c>
      <c r="F4">
        <f t="shared" ref="F4:F12" si="2">B4*B4</f>
        <v>67600</v>
      </c>
      <c r="H4" s="17">
        <v>1</v>
      </c>
      <c r="I4" s="18">
        <f>-($D$14-H4*$E$14)/5</f>
        <v>-15986.2</v>
      </c>
      <c r="J4" s="17">
        <f>-I4*$J$1</f>
        <v>3.1972400000000003</v>
      </c>
      <c r="N4" s="11">
        <v>1</v>
      </c>
      <c r="O4" s="11">
        <f>($F$14-2*N4*$D$14+N4*N4*$E$14)/10</f>
        <v>33690.9</v>
      </c>
    </row>
    <row r="5" spans="1:15" x14ac:dyDescent="0.25">
      <c r="A5" s="1">
        <v>27</v>
      </c>
      <c r="B5">
        <v>105</v>
      </c>
      <c r="D5">
        <f t="shared" si="0"/>
        <v>2835</v>
      </c>
      <c r="E5">
        <f t="shared" si="1"/>
        <v>729</v>
      </c>
      <c r="F5">
        <f t="shared" si="2"/>
        <v>11025</v>
      </c>
      <c r="H5" s="17">
        <f>H4+J4</f>
        <v>4.1972400000000007</v>
      </c>
      <c r="I5" s="18">
        <f>-($D$14-H5*$E$14)/5</f>
        <v>-2906.9306079999978</v>
      </c>
      <c r="J5" s="17">
        <f t="shared" ref="J5:J22" si="3">-I5*$J$1</f>
        <v>0.58138612159999958</v>
      </c>
      <c r="N5" s="11">
        <v>2</v>
      </c>
      <c r="O5" s="11">
        <f t="shared" ref="O5:O12" si="4">($F$14-2*N5*$D$14+N5*N5*$E$14)/10</f>
        <v>19750.099999999999</v>
      </c>
    </row>
    <row r="6" spans="1:15" x14ac:dyDescent="0.25">
      <c r="A6" s="1">
        <v>35</v>
      </c>
      <c r="B6">
        <v>220</v>
      </c>
      <c r="D6">
        <f t="shared" si="0"/>
        <v>7700</v>
      </c>
      <c r="E6">
        <f t="shared" si="1"/>
        <v>1225</v>
      </c>
      <c r="F6">
        <f t="shared" si="2"/>
        <v>48400</v>
      </c>
      <c r="H6" s="17">
        <f t="shared" ref="H6:H22" si="5">H5+J5</f>
        <v>4.7786261216000003</v>
      </c>
      <c r="I6" s="18">
        <f t="shared" ref="I6:I22" si="6">-($D$14-H6*$E$14)/5</f>
        <v>-528.59626175871813</v>
      </c>
      <c r="J6" s="17">
        <f t="shared" si="3"/>
        <v>0.10571925235174363</v>
      </c>
      <c r="N6" s="11">
        <v>3</v>
      </c>
      <c r="O6" s="11">
        <f t="shared" si="4"/>
        <v>9900.1</v>
      </c>
    </row>
    <row r="7" spans="1:15" x14ac:dyDescent="0.25">
      <c r="A7" s="1">
        <v>60</v>
      </c>
      <c r="B7">
        <v>240</v>
      </c>
      <c r="D7">
        <f t="shared" si="0"/>
        <v>14400</v>
      </c>
      <c r="E7">
        <f t="shared" si="1"/>
        <v>3600</v>
      </c>
      <c r="F7">
        <f t="shared" si="2"/>
        <v>57600</v>
      </c>
      <c r="H7" s="17">
        <f t="shared" si="5"/>
        <v>4.884345373951744</v>
      </c>
      <c r="I7" s="18">
        <f t="shared" si="6"/>
        <v>-96.11994423820579</v>
      </c>
      <c r="J7" s="17">
        <f t="shared" si="3"/>
        <v>1.922398884764116E-2</v>
      </c>
      <c r="N7" s="11">
        <v>4</v>
      </c>
      <c r="O7" s="11">
        <f t="shared" si="4"/>
        <v>4140.8999999999996</v>
      </c>
    </row>
    <row r="8" spans="1:15" x14ac:dyDescent="0.25">
      <c r="A8" s="1">
        <v>65</v>
      </c>
      <c r="B8">
        <v>265</v>
      </c>
      <c r="D8">
        <f t="shared" si="0"/>
        <v>17225</v>
      </c>
      <c r="E8">
        <f t="shared" si="1"/>
        <v>4225</v>
      </c>
      <c r="F8">
        <f t="shared" si="2"/>
        <v>70225</v>
      </c>
      <c r="H8" s="17">
        <f t="shared" si="5"/>
        <v>4.9035693627993853</v>
      </c>
      <c r="I8" s="18">
        <f t="shared" si="6"/>
        <v>-17.478450660273666</v>
      </c>
      <c r="J8" s="17">
        <f t="shared" si="3"/>
        <v>3.4956901320547331E-3</v>
      </c>
      <c r="N8" s="11">
        <v>5</v>
      </c>
      <c r="O8" s="11">
        <f t="shared" si="4"/>
        <v>2472.5</v>
      </c>
    </row>
    <row r="9" spans="1:15" x14ac:dyDescent="0.25">
      <c r="A9" s="1">
        <v>45</v>
      </c>
      <c r="B9">
        <v>270</v>
      </c>
      <c r="D9">
        <f t="shared" si="0"/>
        <v>12150</v>
      </c>
      <c r="E9">
        <f t="shared" si="1"/>
        <v>2025</v>
      </c>
      <c r="F9">
        <f t="shared" si="2"/>
        <v>72900</v>
      </c>
      <c r="H9" s="17">
        <f t="shared" si="5"/>
        <v>4.9070650529314399</v>
      </c>
      <c r="I9" s="18">
        <f t="shared" si="6"/>
        <v>-3.1782814680656886</v>
      </c>
      <c r="J9" s="17">
        <f t="shared" si="3"/>
        <v>6.3565629361313778E-4</v>
      </c>
      <c r="N9" s="11">
        <v>6</v>
      </c>
      <c r="O9" s="11">
        <f t="shared" si="4"/>
        <v>4894.8999999999996</v>
      </c>
    </row>
    <row r="10" spans="1:15" x14ac:dyDescent="0.25">
      <c r="A10" s="1">
        <v>40</v>
      </c>
      <c r="B10">
        <v>300</v>
      </c>
      <c r="D10">
        <f t="shared" si="0"/>
        <v>12000</v>
      </c>
      <c r="E10">
        <f t="shared" si="1"/>
        <v>1600</v>
      </c>
      <c r="F10">
        <f t="shared" si="2"/>
        <v>90000</v>
      </c>
      <c r="H10" s="17">
        <f t="shared" si="5"/>
        <v>4.9077007092250531</v>
      </c>
      <c r="I10" s="18">
        <f t="shared" si="6"/>
        <v>-0.5779387021524599</v>
      </c>
      <c r="J10" s="17">
        <f t="shared" si="3"/>
        <v>1.1558774043049199E-4</v>
      </c>
      <c r="N10" s="11">
        <v>7</v>
      </c>
      <c r="O10" s="11">
        <f t="shared" si="4"/>
        <v>11408.1</v>
      </c>
    </row>
    <row r="11" spans="1:15" x14ac:dyDescent="0.25">
      <c r="A11" s="1">
        <v>50</v>
      </c>
      <c r="B11">
        <v>265</v>
      </c>
      <c r="D11">
        <f t="shared" si="0"/>
        <v>13250</v>
      </c>
      <c r="E11">
        <f t="shared" si="1"/>
        <v>2500</v>
      </c>
      <c r="F11">
        <f t="shared" si="2"/>
        <v>70225</v>
      </c>
      <c r="H11" s="17">
        <f t="shared" si="5"/>
        <v>4.9078162969654837</v>
      </c>
      <c r="I11" s="18">
        <f t="shared" si="6"/>
        <v>-0.10509237359801774</v>
      </c>
      <c r="J11" s="17">
        <f t="shared" si="3"/>
        <v>2.1018474719603546E-5</v>
      </c>
      <c r="N11" s="11">
        <v>8</v>
      </c>
      <c r="O11" s="11">
        <f t="shared" si="4"/>
        <v>22012.1</v>
      </c>
    </row>
    <row r="12" spans="1:15" x14ac:dyDescent="0.25">
      <c r="A12" s="1">
        <v>30</v>
      </c>
      <c r="B12">
        <v>105</v>
      </c>
      <c r="D12">
        <f t="shared" si="0"/>
        <v>3150</v>
      </c>
      <c r="E12">
        <f t="shared" si="1"/>
        <v>900</v>
      </c>
      <c r="F12">
        <f t="shared" si="2"/>
        <v>11025</v>
      </c>
      <c r="H12" s="17">
        <f t="shared" si="5"/>
        <v>4.9078373154402035</v>
      </c>
      <c r="I12" s="18">
        <f t="shared" si="6"/>
        <v>-1.9109997214400209E-2</v>
      </c>
      <c r="J12" s="17">
        <f t="shared" si="3"/>
        <v>3.8219994428800421E-6</v>
      </c>
      <c r="N12" s="11">
        <v>9</v>
      </c>
      <c r="O12" s="11">
        <f t="shared" si="4"/>
        <v>36706.9</v>
      </c>
    </row>
    <row r="13" spans="1:15" x14ac:dyDescent="0.25">
      <c r="H13" s="17">
        <f t="shared" si="5"/>
        <v>4.9078411374396467</v>
      </c>
      <c r="I13" s="18">
        <f t="shared" si="6"/>
        <v>-3.4749618935165927E-3</v>
      </c>
      <c r="J13" s="17">
        <f t="shared" si="3"/>
        <v>6.9499237870331856E-7</v>
      </c>
    </row>
    <row r="14" spans="1:15" x14ac:dyDescent="0.25">
      <c r="C14" t="s">
        <v>15</v>
      </c>
      <c r="D14">
        <f>SUM(D3:D12)</f>
        <v>100385</v>
      </c>
      <c r="E14">
        <f>SUM(E3:E12)</f>
        <v>20454</v>
      </c>
      <c r="F14">
        <f>SUM(F3:F12)</f>
        <v>517225</v>
      </c>
      <c r="H14" s="17">
        <f t="shared" si="5"/>
        <v>4.907841832432025</v>
      </c>
      <c r="I14" s="18">
        <f t="shared" si="6"/>
        <v>-6.3188707281369716E-4</v>
      </c>
      <c r="J14" s="17">
        <f t="shared" si="3"/>
        <v>1.2637741456273943E-7</v>
      </c>
    </row>
    <row r="15" spans="1:15" x14ac:dyDescent="0.25">
      <c r="H15" s="17">
        <f t="shared" si="5"/>
        <v>4.9078419588094393</v>
      </c>
      <c r="I15" s="18">
        <f t="shared" si="6"/>
        <v>-1.1490234464872628E-4</v>
      </c>
      <c r="J15" s="17">
        <f t="shared" si="3"/>
        <v>2.298046892974526E-8</v>
      </c>
    </row>
    <row r="16" spans="1:15" x14ac:dyDescent="0.25">
      <c r="H16" s="17">
        <f t="shared" si="5"/>
        <v>4.9078419817899084</v>
      </c>
      <c r="I16" s="18">
        <f t="shared" si="6"/>
        <v>-2.0893843611702323E-5</v>
      </c>
      <c r="J16" s="17">
        <f t="shared" si="3"/>
        <v>4.1787687223404647E-9</v>
      </c>
    </row>
    <row r="17" spans="8:10" x14ac:dyDescent="0.25">
      <c r="H17" s="17">
        <f t="shared" si="5"/>
        <v>4.9078419859686768</v>
      </c>
      <c r="I17" s="18">
        <f t="shared" si="6"/>
        <v>-3.7993362639099359E-6</v>
      </c>
      <c r="J17" s="17">
        <f t="shared" si="3"/>
        <v>7.5986725278198721E-10</v>
      </c>
    </row>
    <row r="18" spans="8:10" x14ac:dyDescent="0.25">
      <c r="H18" s="17">
        <f t="shared" si="5"/>
        <v>4.9078419867285437</v>
      </c>
      <c r="I18" s="18">
        <f t="shared" si="6"/>
        <v>-6.9087254814803602E-7</v>
      </c>
      <c r="J18" s="17">
        <f t="shared" si="3"/>
        <v>1.3817450962960722E-10</v>
      </c>
    </row>
    <row r="19" spans="8:10" x14ac:dyDescent="0.25">
      <c r="H19" s="17">
        <f t="shared" si="5"/>
        <v>4.9078419868667185</v>
      </c>
      <c r="I19" s="18">
        <f t="shared" si="6"/>
        <v>-1.2562668416649103E-7</v>
      </c>
      <c r="J19" s="17">
        <f t="shared" si="3"/>
        <v>2.5125336833298208E-11</v>
      </c>
    </row>
    <row r="20" spans="8:10" x14ac:dyDescent="0.25">
      <c r="H20" s="17">
        <f t="shared" si="5"/>
        <v>4.9078419868918441</v>
      </c>
      <c r="I20" s="18">
        <f t="shared" si="6"/>
        <v>-2.2843596525490283E-8</v>
      </c>
      <c r="J20" s="17">
        <f t="shared" si="3"/>
        <v>4.568719305098057E-12</v>
      </c>
    </row>
    <row r="21" spans="8:10" x14ac:dyDescent="0.25">
      <c r="H21" s="17">
        <f t="shared" si="5"/>
        <v>4.9078419868964129</v>
      </c>
      <c r="I21" s="18">
        <f t="shared" si="6"/>
        <v>-4.1531166061758992E-9</v>
      </c>
      <c r="J21" s="17">
        <f t="shared" si="3"/>
        <v>8.3062332123517988E-13</v>
      </c>
    </row>
    <row r="22" spans="8:10" x14ac:dyDescent="0.25">
      <c r="H22" s="17">
        <f t="shared" si="5"/>
        <v>4.9078419868972434</v>
      </c>
      <c r="I22" s="18">
        <f t="shared" si="6"/>
        <v>-7.5669959187507629E-10</v>
      </c>
      <c r="J22" s="17">
        <f t="shared" si="3"/>
        <v>1.5133991837501528E-13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Analysis of Training Set (Ch1)</vt:lpstr>
      <vt:lpstr>Fit to Validation Set (Ch1)</vt:lpstr>
      <vt:lpstr>Test Set Errors (Ch1)</vt:lpstr>
      <vt:lpstr>Ridge Regression results (Ch3)</vt:lpstr>
      <vt:lpstr>Lasso regression Results (Ch3)</vt:lpstr>
      <vt:lpstr>Elastic Net results (Ch3)</vt:lpstr>
      <vt:lpstr>Gradient Descent Tables (Ch6)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Hull</dc:creator>
  <cp:lastModifiedBy>John Hull</cp:lastModifiedBy>
  <dcterms:created xsi:type="dcterms:W3CDTF">2019-04-22T15:12:18Z</dcterms:created>
  <dcterms:modified xsi:type="dcterms:W3CDTF">2020-05-11T13:30:54Z</dcterms:modified>
</cp:coreProperties>
</file>