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Milligan 2022 Spring Semester\ECON 402\Research project\"/>
    </mc:Choice>
  </mc:AlternateContent>
  <xr:revisionPtr revIDLastSave="0" documentId="13_ncr:1_{4EB3D04E-1ABD-4DBE-AE12-CFB9CDBB9775}" xr6:coauthVersionLast="47" xr6:coauthVersionMax="47" xr10:uidLastSave="{00000000-0000-0000-0000-000000000000}"/>
  <bookViews>
    <workbookView xWindow="-110" yWindow="-110" windowWidth="19420" windowHeight="10300" firstSheet="1" activeTab="2" xr2:uid="{C94D0505-5DF4-4EC2-BC4F-E353B01F4BB8}"/>
  </bookViews>
  <sheets>
    <sheet name="2022 salary higer than 10m" sheetId="3" r:id="rId1"/>
    <sheet name="Sheet2" sheetId="4" r:id="rId2"/>
    <sheet name="U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2" i="3" l="1"/>
  <c r="L72" i="3"/>
  <c r="M72" i="3"/>
  <c r="N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K71" i="3"/>
  <c r="L71" i="3"/>
  <c r="M71" i="3"/>
  <c r="N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K84" i="4" l="1"/>
  <c r="AC84" i="4"/>
  <c r="AD84" i="4"/>
  <c r="AE84" i="4"/>
  <c r="AF84" i="4"/>
  <c r="AG84" i="4"/>
  <c r="AH84" i="4"/>
  <c r="AI84" i="4"/>
  <c r="AJ84" i="4"/>
  <c r="AB84" i="4"/>
  <c r="AB83" i="4"/>
  <c r="AC83" i="4"/>
  <c r="AD83" i="4"/>
  <c r="AE83" i="4"/>
  <c r="AF83" i="4"/>
  <c r="AG83" i="4"/>
  <c r="AH83" i="4"/>
  <c r="AI83" i="4"/>
  <c r="AJ83" i="4"/>
  <c r="AK83" i="4"/>
  <c r="AA83" i="4"/>
  <c r="AK82" i="4"/>
  <c r="AA82" i="4"/>
  <c r="AB82" i="4"/>
  <c r="AC82" i="4"/>
  <c r="AD82" i="4"/>
  <c r="AE82" i="4"/>
  <c r="AF82" i="4"/>
  <c r="AG82" i="4"/>
  <c r="AH82" i="4"/>
  <c r="AI82" i="4"/>
  <c r="AJ82" i="4"/>
  <c r="Z82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Y81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X80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W79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V78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U77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T76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S75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R74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Q73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P72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O71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N70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M69" i="4"/>
  <c r="M70" i="3" l="1"/>
  <c r="N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Y2" i="3"/>
  <c r="AZ2" i="3"/>
  <c r="BA2" i="3"/>
  <c r="BB2" i="3"/>
  <c r="BC2" i="3"/>
  <c r="BD2" i="3"/>
  <c r="AY3" i="3"/>
  <c r="AZ3" i="3"/>
  <c r="BA3" i="3"/>
  <c r="BB3" i="3"/>
  <c r="BC3" i="3"/>
  <c r="BD3" i="3"/>
  <c r="AY4" i="3"/>
  <c r="AZ4" i="3"/>
  <c r="BA4" i="3"/>
  <c r="BB4" i="3"/>
  <c r="BC4" i="3"/>
  <c r="BD4" i="3"/>
  <c r="AY5" i="3"/>
  <c r="AZ5" i="3"/>
  <c r="BA5" i="3"/>
  <c r="BB5" i="3"/>
  <c r="BC5" i="3"/>
  <c r="BD5" i="3"/>
  <c r="AY6" i="3"/>
  <c r="AZ6" i="3"/>
  <c r="BA6" i="3"/>
  <c r="BB6" i="3"/>
  <c r="BC6" i="3"/>
  <c r="BD6" i="3"/>
  <c r="AY7" i="3"/>
  <c r="AZ7" i="3"/>
  <c r="BA7" i="3"/>
  <c r="BB7" i="3"/>
  <c r="BC7" i="3"/>
  <c r="BD7" i="3"/>
  <c r="AY8" i="3"/>
  <c r="AZ8" i="3"/>
  <c r="BA8" i="3"/>
  <c r="BB8" i="3"/>
  <c r="BC8" i="3"/>
  <c r="BD8" i="3"/>
  <c r="AY9" i="3"/>
  <c r="AZ9" i="3"/>
  <c r="BA9" i="3"/>
  <c r="BB9" i="3"/>
  <c r="BC9" i="3"/>
  <c r="BD9" i="3"/>
  <c r="AY10" i="3"/>
  <c r="AZ10" i="3"/>
  <c r="BA10" i="3"/>
  <c r="BB10" i="3"/>
  <c r="BC10" i="3"/>
  <c r="BD10" i="3"/>
  <c r="AY11" i="3"/>
  <c r="AZ11" i="3"/>
  <c r="BA11" i="3"/>
  <c r="BB11" i="3"/>
  <c r="BC11" i="3"/>
  <c r="BD11" i="3"/>
  <c r="AY12" i="3"/>
  <c r="AZ12" i="3"/>
  <c r="BA12" i="3"/>
  <c r="BB12" i="3"/>
  <c r="BC12" i="3"/>
  <c r="BD12" i="3"/>
  <c r="AY13" i="3"/>
  <c r="AZ13" i="3"/>
  <c r="BA13" i="3"/>
  <c r="BB13" i="3"/>
  <c r="BC13" i="3"/>
  <c r="BD13" i="3"/>
  <c r="AY14" i="3"/>
  <c r="AZ14" i="3"/>
  <c r="BA14" i="3"/>
  <c r="BB14" i="3"/>
  <c r="BC14" i="3"/>
  <c r="BD14" i="3"/>
  <c r="AY15" i="3"/>
  <c r="AZ15" i="3"/>
  <c r="BA15" i="3"/>
  <c r="BB15" i="3"/>
  <c r="BC15" i="3"/>
  <c r="BD15" i="3"/>
  <c r="AY16" i="3"/>
  <c r="AZ16" i="3"/>
  <c r="BA16" i="3"/>
  <c r="BB16" i="3"/>
  <c r="BC16" i="3"/>
  <c r="BD16" i="3"/>
  <c r="AY17" i="3"/>
  <c r="AZ17" i="3"/>
  <c r="BA17" i="3"/>
  <c r="BB17" i="3"/>
  <c r="BC17" i="3"/>
  <c r="BD17" i="3"/>
  <c r="AY18" i="3"/>
  <c r="AZ18" i="3"/>
  <c r="BA18" i="3"/>
  <c r="BB18" i="3"/>
  <c r="BC18" i="3"/>
  <c r="BD18" i="3"/>
  <c r="AY19" i="3"/>
  <c r="AZ19" i="3"/>
  <c r="BA19" i="3"/>
  <c r="BB19" i="3"/>
  <c r="BC19" i="3"/>
  <c r="BD19" i="3"/>
  <c r="AY20" i="3"/>
  <c r="AZ20" i="3"/>
  <c r="BA20" i="3"/>
  <c r="BB20" i="3"/>
  <c r="BC20" i="3"/>
  <c r="BD20" i="3"/>
  <c r="AY21" i="3"/>
  <c r="AZ21" i="3"/>
  <c r="BA21" i="3"/>
  <c r="BB21" i="3"/>
  <c r="BC21" i="3"/>
  <c r="BD21" i="3"/>
  <c r="AY22" i="3"/>
  <c r="AZ22" i="3"/>
  <c r="BA22" i="3"/>
  <c r="BB22" i="3"/>
  <c r="BC22" i="3"/>
  <c r="BD22" i="3"/>
  <c r="AY23" i="3"/>
  <c r="AZ23" i="3"/>
  <c r="BA23" i="3"/>
  <c r="BB23" i="3"/>
  <c r="BC23" i="3"/>
  <c r="BD23" i="3"/>
  <c r="AY24" i="3"/>
  <c r="AZ24" i="3"/>
  <c r="BA24" i="3"/>
  <c r="BB24" i="3"/>
  <c r="BC24" i="3"/>
  <c r="BD24" i="3"/>
  <c r="AY25" i="3"/>
  <c r="AZ25" i="3"/>
  <c r="BA25" i="3"/>
  <c r="BB25" i="3"/>
  <c r="BC25" i="3"/>
  <c r="BD25" i="3"/>
  <c r="AY26" i="3"/>
  <c r="AZ26" i="3"/>
  <c r="BA26" i="3"/>
  <c r="BB26" i="3"/>
  <c r="BC26" i="3"/>
  <c r="BD26" i="3"/>
  <c r="AY27" i="3"/>
  <c r="AZ27" i="3"/>
  <c r="BA27" i="3"/>
  <c r="BB27" i="3"/>
  <c r="BC27" i="3"/>
  <c r="BD27" i="3"/>
  <c r="AY28" i="3"/>
  <c r="AZ28" i="3"/>
  <c r="BA28" i="3"/>
  <c r="BB28" i="3"/>
  <c r="BC28" i="3"/>
  <c r="BD28" i="3"/>
  <c r="AY29" i="3"/>
  <c r="AZ29" i="3"/>
  <c r="BA29" i="3"/>
  <c r="BB29" i="3"/>
  <c r="BC29" i="3"/>
  <c r="BD29" i="3"/>
  <c r="AY30" i="3"/>
  <c r="AZ30" i="3"/>
  <c r="BA30" i="3"/>
  <c r="BB30" i="3"/>
  <c r="BC30" i="3"/>
  <c r="BD30" i="3"/>
  <c r="AY31" i="3"/>
  <c r="AZ31" i="3"/>
  <c r="BA31" i="3"/>
  <c r="BB31" i="3"/>
  <c r="BC31" i="3"/>
  <c r="BD31" i="3"/>
  <c r="AY32" i="3"/>
  <c r="AZ32" i="3"/>
  <c r="BA32" i="3"/>
  <c r="BB32" i="3"/>
  <c r="BC32" i="3"/>
  <c r="BD32" i="3"/>
  <c r="AY33" i="3"/>
  <c r="AZ33" i="3"/>
  <c r="BA33" i="3"/>
  <c r="BB33" i="3"/>
  <c r="BC33" i="3"/>
  <c r="BD33" i="3"/>
  <c r="AY34" i="3"/>
  <c r="AZ34" i="3"/>
  <c r="BA34" i="3"/>
  <c r="BB34" i="3"/>
  <c r="BC34" i="3"/>
  <c r="BD34" i="3"/>
  <c r="AY35" i="3"/>
  <c r="AZ35" i="3"/>
  <c r="BA35" i="3"/>
  <c r="BB35" i="3"/>
  <c r="BC35" i="3"/>
  <c r="BD35" i="3"/>
  <c r="AY36" i="3"/>
  <c r="AZ36" i="3"/>
  <c r="BA36" i="3"/>
  <c r="BB36" i="3"/>
  <c r="BC36" i="3"/>
  <c r="BD36" i="3"/>
  <c r="AY37" i="3"/>
  <c r="AZ37" i="3"/>
  <c r="BA37" i="3"/>
  <c r="BB37" i="3"/>
  <c r="BC37" i="3"/>
  <c r="BD37" i="3"/>
  <c r="AY38" i="3"/>
  <c r="AZ38" i="3"/>
  <c r="BA38" i="3"/>
  <c r="BB38" i="3"/>
  <c r="BC38" i="3"/>
  <c r="BD38" i="3"/>
  <c r="AY39" i="3"/>
  <c r="AZ39" i="3"/>
  <c r="BA39" i="3"/>
  <c r="BB39" i="3"/>
  <c r="BC39" i="3"/>
  <c r="BD39" i="3"/>
  <c r="AY40" i="3"/>
  <c r="AZ40" i="3"/>
  <c r="BA40" i="3"/>
  <c r="BB40" i="3"/>
  <c r="BC40" i="3"/>
  <c r="BD40" i="3"/>
  <c r="AY41" i="3"/>
  <c r="AZ41" i="3"/>
  <c r="BA41" i="3"/>
  <c r="BB41" i="3"/>
  <c r="BC41" i="3"/>
  <c r="BD41" i="3"/>
  <c r="AY42" i="3"/>
  <c r="AZ42" i="3"/>
  <c r="BA42" i="3"/>
  <c r="BB42" i="3"/>
  <c r="BC42" i="3"/>
  <c r="BD42" i="3"/>
  <c r="AY43" i="3"/>
  <c r="AZ43" i="3"/>
  <c r="BA43" i="3"/>
  <c r="BB43" i="3"/>
  <c r="BC43" i="3"/>
  <c r="BD43" i="3"/>
  <c r="AY44" i="3"/>
  <c r="AZ44" i="3"/>
  <c r="BA44" i="3"/>
  <c r="BB44" i="3"/>
  <c r="BC44" i="3"/>
  <c r="BD44" i="3"/>
  <c r="AY45" i="3"/>
  <c r="AZ45" i="3"/>
  <c r="BA45" i="3"/>
  <c r="BB45" i="3"/>
  <c r="BC45" i="3"/>
  <c r="BD45" i="3"/>
  <c r="AY46" i="3"/>
  <c r="AZ46" i="3"/>
  <c r="BA46" i="3"/>
  <c r="BB46" i="3"/>
  <c r="BC46" i="3"/>
  <c r="BD46" i="3"/>
  <c r="AY47" i="3"/>
  <c r="AZ47" i="3"/>
  <c r="BA47" i="3"/>
  <c r="BB47" i="3"/>
  <c r="BC47" i="3"/>
  <c r="BD47" i="3"/>
  <c r="AY48" i="3"/>
  <c r="AZ48" i="3"/>
  <c r="BA48" i="3"/>
  <c r="BB48" i="3"/>
  <c r="BC48" i="3"/>
  <c r="BD48" i="3"/>
  <c r="AY49" i="3"/>
  <c r="AZ49" i="3"/>
  <c r="BA49" i="3"/>
  <c r="BB49" i="3"/>
  <c r="BC49" i="3"/>
  <c r="BD49" i="3"/>
  <c r="AY50" i="3"/>
  <c r="AZ50" i="3"/>
  <c r="BA50" i="3"/>
  <c r="BB50" i="3"/>
  <c r="BC50" i="3"/>
  <c r="BD50" i="3"/>
  <c r="AY51" i="3"/>
  <c r="AZ51" i="3"/>
  <c r="BA51" i="3"/>
  <c r="BB51" i="3"/>
  <c r="BC51" i="3"/>
  <c r="BD51" i="3"/>
  <c r="AY52" i="3"/>
  <c r="AZ52" i="3"/>
  <c r="BA52" i="3"/>
  <c r="BB52" i="3"/>
  <c r="BC52" i="3"/>
  <c r="BD52" i="3"/>
  <c r="AY53" i="3"/>
  <c r="AZ53" i="3"/>
  <c r="BA53" i="3"/>
  <c r="BB53" i="3"/>
  <c r="BC53" i="3"/>
  <c r="BD53" i="3"/>
  <c r="AY54" i="3"/>
  <c r="AZ54" i="3"/>
  <c r="BA54" i="3"/>
  <c r="BB54" i="3"/>
  <c r="BC54" i="3"/>
  <c r="BD54" i="3"/>
  <c r="AY55" i="3"/>
  <c r="AZ55" i="3"/>
  <c r="BA55" i="3"/>
  <c r="BB55" i="3"/>
  <c r="BC55" i="3"/>
  <c r="BD55" i="3"/>
  <c r="AY56" i="3"/>
  <c r="AZ56" i="3"/>
  <c r="BA56" i="3"/>
  <c r="BB56" i="3"/>
  <c r="BC56" i="3"/>
  <c r="BD56" i="3"/>
  <c r="AY57" i="3"/>
  <c r="AZ57" i="3"/>
  <c r="BA57" i="3"/>
  <c r="BB57" i="3"/>
  <c r="BC57" i="3"/>
  <c r="BD57" i="3"/>
  <c r="AY58" i="3"/>
  <c r="AZ58" i="3"/>
  <c r="BA58" i="3"/>
  <c r="BB58" i="3"/>
  <c r="BC58" i="3"/>
  <c r="BD58" i="3"/>
  <c r="AY59" i="3"/>
  <c r="AZ59" i="3"/>
  <c r="BA59" i="3"/>
  <c r="BB59" i="3"/>
  <c r="BC59" i="3"/>
  <c r="BD59" i="3"/>
  <c r="AY60" i="3"/>
  <c r="AZ60" i="3"/>
  <c r="BA60" i="3"/>
  <c r="BB60" i="3"/>
  <c r="BC60" i="3"/>
  <c r="BD60" i="3"/>
  <c r="AY61" i="3"/>
  <c r="AZ61" i="3"/>
  <c r="BA61" i="3"/>
  <c r="BB61" i="3"/>
  <c r="BC61" i="3"/>
  <c r="BD61" i="3"/>
  <c r="AY62" i="3"/>
  <c r="AZ62" i="3"/>
  <c r="BA62" i="3"/>
  <c r="BB62" i="3"/>
  <c r="BC62" i="3"/>
  <c r="BD62" i="3"/>
  <c r="AY63" i="3"/>
  <c r="AZ63" i="3"/>
  <c r="BA63" i="3"/>
  <c r="BB63" i="3"/>
  <c r="BC63" i="3"/>
  <c r="BD63" i="3"/>
  <c r="AY64" i="3"/>
  <c r="AZ64" i="3"/>
  <c r="BA64" i="3"/>
  <c r="BB64" i="3"/>
  <c r="BC64" i="3"/>
  <c r="BD64" i="3"/>
  <c r="AY65" i="3"/>
  <c r="AZ65" i="3"/>
  <c r="BA65" i="3"/>
  <c r="BB65" i="3"/>
  <c r="BC65" i="3"/>
  <c r="BD65" i="3"/>
  <c r="AY66" i="3"/>
  <c r="AZ66" i="3"/>
  <c r="BA66" i="3"/>
  <c r="BB66" i="3"/>
  <c r="BC66" i="3"/>
  <c r="BD66" i="3"/>
  <c r="AY67" i="3"/>
  <c r="AZ67" i="3"/>
  <c r="BA67" i="3"/>
  <c r="BB67" i="3"/>
  <c r="BC67" i="3"/>
  <c r="BD67" i="3"/>
  <c r="AY68" i="3"/>
  <c r="AZ68" i="3"/>
  <c r="BA68" i="3"/>
  <c r="BB68" i="3"/>
  <c r="BC68" i="3"/>
  <c r="BD68" i="3"/>
  <c r="J68" i="4" l="1"/>
  <c r="H68" i="4"/>
  <c r="G68" i="4"/>
  <c r="F68" i="4"/>
  <c r="E68" i="4"/>
  <c r="D68" i="4"/>
  <c r="C68" i="4"/>
  <c r="J67" i="4"/>
  <c r="I67" i="4"/>
  <c r="H67" i="4"/>
  <c r="G67" i="4"/>
  <c r="F67" i="4"/>
  <c r="E67" i="4"/>
  <c r="D67" i="4"/>
  <c r="C67" i="4"/>
  <c r="J66" i="4"/>
  <c r="I66" i="4"/>
  <c r="H66" i="4"/>
  <c r="G66" i="4"/>
  <c r="F66" i="4"/>
  <c r="E66" i="4"/>
  <c r="D66" i="4"/>
  <c r="C66" i="4"/>
  <c r="J65" i="4"/>
  <c r="H65" i="4"/>
  <c r="G65" i="4"/>
  <c r="F65" i="4"/>
  <c r="E65" i="4"/>
  <c r="D65" i="4"/>
  <c r="C65" i="4"/>
  <c r="J64" i="4"/>
  <c r="H64" i="4"/>
  <c r="G64" i="4"/>
  <c r="F64" i="4"/>
  <c r="E64" i="4"/>
  <c r="D64" i="4"/>
  <c r="C64" i="4"/>
  <c r="J63" i="4"/>
  <c r="I63" i="4"/>
  <c r="H63" i="4"/>
  <c r="G63" i="4"/>
  <c r="F63" i="4"/>
  <c r="E63" i="4"/>
  <c r="D63" i="4"/>
  <c r="C63" i="4"/>
  <c r="J62" i="4"/>
  <c r="H62" i="4"/>
  <c r="G62" i="4"/>
  <c r="F62" i="4"/>
  <c r="E62" i="4"/>
  <c r="D62" i="4"/>
  <c r="C62" i="4"/>
  <c r="I61" i="4"/>
  <c r="J61" i="4" s="1"/>
  <c r="H61" i="4"/>
  <c r="G61" i="4"/>
  <c r="F61" i="4"/>
  <c r="E61" i="4"/>
  <c r="D61" i="4"/>
  <c r="C61" i="4"/>
  <c r="J60" i="4"/>
  <c r="H60" i="4"/>
  <c r="G60" i="4"/>
  <c r="F60" i="4"/>
  <c r="E60" i="4"/>
  <c r="D60" i="4"/>
  <c r="C60" i="4"/>
  <c r="J59" i="4"/>
  <c r="H59" i="4"/>
  <c r="G59" i="4"/>
  <c r="F59" i="4"/>
  <c r="E59" i="4"/>
  <c r="D59" i="4"/>
  <c r="C59" i="4"/>
  <c r="J58" i="4"/>
  <c r="I58" i="4"/>
  <c r="H58" i="4"/>
  <c r="G58" i="4"/>
  <c r="F58" i="4"/>
  <c r="E58" i="4"/>
  <c r="D58" i="4"/>
  <c r="C58" i="4"/>
  <c r="J57" i="4"/>
  <c r="I57" i="4"/>
  <c r="H57" i="4"/>
  <c r="G57" i="4"/>
  <c r="F57" i="4"/>
  <c r="E57" i="4"/>
  <c r="D57" i="4"/>
  <c r="C57" i="4"/>
  <c r="J56" i="4"/>
  <c r="I56" i="4"/>
  <c r="H56" i="4"/>
  <c r="G56" i="4"/>
  <c r="F56" i="4"/>
  <c r="E56" i="4"/>
  <c r="D56" i="4"/>
  <c r="C56" i="4"/>
  <c r="J55" i="4"/>
  <c r="I55" i="4"/>
  <c r="H55" i="4"/>
  <c r="G55" i="4"/>
  <c r="F55" i="4"/>
  <c r="E55" i="4"/>
  <c r="D55" i="4"/>
  <c r="C55" i="4"/>
  <c r="J54" i="4"/>
  <c r="I54" i="4"/>
  <c r="H54" i="4"/>
  <c r="G54" i="4"/>
  <c r="F54" i="4"/>
  <c r="E54" i="4"/>
  <c r="D54" i="4"/>
  <c r="C54" i="4"/>
  <c r="J53" i="4"/>
  <c r="I53" i="4"/>
  <c r="H53" i="4"/>
  <c r="G53" i="4"/>
  <c r="F53" i="4"/>
  <c r="E53" i="4"/>
  <c r="D53" i="4"/>
  <c r="C53" i="4"/>
  <c r="J52" i="4"/>
  <c r="I52" i="4"/>
  <c r="H52" i="4"/>
  <c r="G52" i="4"/>
  <c r="F52" i="4"/>
  <c r="E52" i="4"/>
  <c r="D52" i="4"/>
  <c r="C52" i="4"/>
  <c r="J51" i="4"/>
  <c r="I51" i="4"/>
  <c r="H51" i="4"/>
  <c r="G51" i="4"/>
  <c r="F51" i="4"/>
  <c r="E51" i="4"/>
  <c r="D51" i="4"/>
  <c r="C51" i="4"/>
  <c r="J50" i="4"/>
  <c r="I50" i="4"/>
  <c r="H50" i="4"/>
  <c r="G50" i="4"/>
  <c r="F50" i="4"/>
  <c r="E50" i="4"/>
  <c r="D50" i="4"/>
  <c r="C50" i="4"/>
  <c r="J49" i="4"/>
  <c r="I49" i="4"/>
  <c r="H49" i="4"/>
  <c r="G49" i="4"/>
  <c r="F49" i="4"/>
  <c r="E49" i="4"/>
  <c r="D49" i="4"/>
  <c r="C49" i="4"/>
  <c r="J48" i="4"/>
  <c r="I48" i="4"/>
  <c r="H48" i="4"/>
  <c r="G48" i="4"/>
  <c r="F48" i="4"/>
  <c r="E48" i="4"/>
  <c r="D48" i="4"/>
  <c r="C48" i="4"/>
  <c r="J47" i="4"/>
  <c r="H47" i="4"/>
  <c r="G47" i="4"/>
  <c r="F47" i="4"/>
  <c r="E47" i="4"/>
  <c r="D47" i="4"/>
  <c r="C47" i="4"/>
  <c r="J46" i="4"/>
  <c r="I46" i="4"/>
  <c r="H46" i="4"/>
  <c r="G46" i="4"/>
  <c r="F46" i="4"/>
  <c r="E46" i="4"/>
  <c r="D46" i="4"/>
  <c r="C46" i="4"/>
  <c r="J45" i="4"/>
  <c r="I45" i="4"/>
  <c r="H45" i="4"/>
  <c r="G45" i="4"/>
  <c r="F45" i="4"/>
  <c r="E45" i="4"/>
  <c r="D45" i="4"/>
  <c r="C45" i="4"/>
  <c r="J44" i="4"/>
  <c r="I44" i="4"/>
  <c r="H44" i="4"/>
  <c r="G44" i="4"/>
  <c r="F44" i="4"/>
  <c r="E44" i="4"/>
  <c r="D44" i="4"/>
  <c r="C44" i="4"/>
  <c r="J43" i="4"/>
  <c r="I43" i="4"/>
  <c r="H43" i="4"/>
  <c r="G43" i="4"/>
  <c r="F43" i="4"/>
  <c r="E43" i="4"/>
  <c r="D43" i="4"/>
  <c r="C43" i="4"/>
  <c r="J42" i="4"/>
  <c r="I42" i="4"/>
  <c r="H42" i="4"/>
  <c r="G42" i="4"/>
  <c r="F42" i="4"/>
  <c r="E42" i="4"/>
  <c r="D42" i="4"/>
  <c r="C42" i="4"/>
  <c r="J41" i="4"/>
  <c r="I41" i="4"/>
  <c r="H41" i="4"/>
  <c r="G41" i="4"/>
  <c r="F41" i="4"/>
  <c r="E41" i="4"/>
  <c r="D41" i="4"/>
  <c r="C41" i="4"/>
  <c r="J40" i="4"/>
  <c r="H40" i="4"/>
  <c r="G40" i="4"/>
  <c r="F40" i="4"/>
  <c r="E40" i="4"/>
  <c r="D40" i="4"/>
  <c r="C40" i="4"/>
  <c r="I39" i="4"/>
  <c r="J39" i="4" s="1"/>
  <c r="H39" i="4"/>
  <c r="G39" i="4"/>
  <c r="F39" i="4"/>
  <c r="E39" i="4"/>
  <c r="D39" i="4"/>
  <c r="C39" i="4"/>
  <c r="I38" i="4"/>
  <c r="J38" i="4" s="1"/>
  <c r="H38" i="4"/>
  <c r="G38" i="4"/>
  <c r="F38" i="4"/>
  <c r="E38" i="4"/>
  <c r="D38" i="4"/>
  <c r="C38" i="4"/>
  <c r="I37" i="4"/>
  <c r="J37" i="4" s="1"/>
  <c r="H37" i="4"/>
  <c r="G37" i="4"/>
  <c r="F37" i="4"/>
  <c r="E37" i="4"/>
  <c r="D37" i="4"/>
  <c r="C37" i="4"/>
  <c r="I36" i="4"/>
  <c r="J36" i="4" s="1"/>
  <c r="H36" i="4"/>
  <c r="G36" i="4"/>
  <c r="F36" i="4"/>
  <c r="E36" i="4"/>
  <c r="D36" i="4"/>
  <c r="C36" i="4"/>
  <c r="J35" i="4"/>
  <c r="H35" i="4"/>
  <c r="G35" i="4"/>
  <c r="F35" i="4"/>
  <c r="E35" i="4"/>
  <c r="D35" i="4"/>
  <c r="C35" i="4"/>
  <c r="J34" i="4"/>
  <c r="H34" i="4"/>
  <c r="G34" i="4"/>
  <c r="F34" i="4"/>
  <c r="E34" i="4"/>
  <c r="D34" i="4"/>
  <c r="C34" i="4"/>
  <c r="I33" i="4"/>
  <c r="J33" i="4" s="1"/>
  <c r="H33" i="4"/>
  <c r="G33" i="4"/>
  <c r="F33" i="4"/>
  <c r="E33" i="4"/>
  <c r="D33" i="4"/>
  <c r="C33" i="4"/>
  <c r="J32" i="4"/>
  <c r="H32" i="4"/>
  <c r="G32" i="4"/>
  <c r="F32" i="4"/>
  <c r="E32" i="4"/>
  <c r="D32" i="4"/>
  <c r="C32" i="4"/>
  <c r="J31" i="4"/>
  <c r="H31" i="4"/>
  <c r="G31" i="4"/>
  <c r="F31" i="4"/>
  <c r="E31" i="4"/>
  <c r="D31" i="4"/>
  <c r="C31" i="4"/>
  <c r="I30" i="4"/>
  <c r="J30" i="4" s="1"/>
  <c r="H30" i="4"/>
  <c r="G30" i="4"/>
  <c r="F30" i="4"/>
  <c r="E30" i="4"/>
  <c r="D30" i="4"/>
  <c r="C30" i="4"/>
  <c r="I29" i="4"/>
  <c r="J29" i="4" s="1"/>
  <c r="H29" i="4"/>
  <c r="G29" i="4"/>
  <c r="F29" i="4"/>
  <c r="E29" i="4"/>
  <c r="D29" i="4"/>
  <c r="C29" i="4"/>
  <c r="I28" i="4"/>
  <c r="J28" i="4" s="1"/>
  <c r="H28" i="4"/>
  <c r="G28" i="4"/>
  <c r="F28" i="4"/>
  <c r="E28" i="4"/>
  <c r="D28" i="4"/>
  <c r="C28" i="4"/>
  <c r="I27" i="4"/>
  <c r="J27" i="4" s="1"/>
  <c r="H27" i="4"/>
  <c r="G27" i="4"/>
  <c r="F27" i="4"/>
  <c r="E27" i="4"/>
  <c r="D27" i="4"/>
  <c r="C27" i="4"/>
  <c r="I26" i="4"/>
  <c r="J26" i="4" s="1"/>
  <c r="H26" i="4"/>
  <c r="G26" i="4"/>
  <c r="F26" i="4"/>
  <c r="E26" i="4"/>
  <c r="D26" i="4"/>
  <c r="C26" i="4"/>
  <c r="I25" i="4"/>
  <c r="J25" i="4" s="1"/>
  <c r="H25" i="4"/>
  <c r="G25" i="4"/>
  <c r="F25" i="4"/>
  <c r="E25" i="4"/>
  <c r="D25" i="4"/>
  <c r="C25" i="4"/>
  <c r="I24" i="4"/>
  <c r="J24" i="4" s="1"/>
  <c r="H24" i="4"/>
  <c r="G24" i="4"/>
  <c r="F24" i="4"/>
  <c r="E24" i="4"/>
  <c r="D24" i="4"/>
  <c r="C24" i="4"/>
  <c r="I23" i="4"/>
  <c r="J23" i="4" s="1"/>
  <c r="H23" i="4"/>
  <c r="G23" i="4"/>
  <c r="F23" i="4"/>
  <c r="E23" i="4"/>
  <c r="D23" i="4"/>
  <c r="C23" i="4"/>
  <c r="I22" i="4"/>
  <c r="J22" i="4" s="1"/>
  <c r="H22" i="4"/>
  <c r="G22" i="4"/>
  <c r="F22" i="4"/>
  <c r="E22" i="4"/>
  <c r="D22" i="4"/>
  <c r="C22" i="4"/>
  <c r="J21" i="4"/>
  <c r="H21" i="4"/>
  <c r="G21" i="4"/>
  <c r="F21" i="4"/>
  <c r="E21" i="4"/>
  <c r="D21" i="4"/>
  <c r="C21" i="4"/>
  <c r="I20" i="4"/>
  <c r="J20" i="4" s="1"/>
  <c r="H20" i="4"/>
  <c r="G20" i="4"/>
  <c r="F20" i="4"/>
  <c r="E20" i="4"/>
  <c r="D20" i="4"/>
  <c r="C20" i="4"/>
  <c r="I19" i="4"/>
  <c r="J19" i="4" s="1"/>
  <c r="H19" i="4"/>
  <c r="G19" i="4"/>
  <c r="F19" i="4"/>
  <c r="E19" i="4"/>
  <c r="D19" i="4"/>
  <c r="C19" i="4"/>
  <c r="I18" i="4"/>
  <c r="J18" i="4" s="1"/>
  <c r="H18" i="4"/>
  <c r="G18" i="4"/>
  <c r="F18" i="4"/>
  <c r="E18" i="4"/>
  <c r="D18" i="4"/>
  <c r="C18" i="4"/>
  <c r="I17" i="4"/>
  <c r="J17" i="4" s="1"/>
  <c r="H17" i="4"/>
  <c r="G17" i="4"/>
  <c r="F17" i="4"/>
  <c r="E17" i="4"/>
  <c r="D17" i="4"/>
  <c r="C17" i="4"/>
  <c r="I16" i="4"/>
  <c r="J16" i="4" s="1"/>
  <c r="H16" i="4"/>
  <c r="G16" i="4"/>
  <c r="F16" i="4"/>
  <c r="E16" i="4"/>
  <c r="D16" i="4"/>
  <c r="C16" i="4"/>
  <c r="I15" i="4"/>
  <c r="J15" i="4" s="1"/>
  <c r="H15" i="4"/>
  <c r="G15" i="4"/>
  <c r="F15" i="4"/>
  <c r="E15" i="4"/>
  <c r="D15" i="4"/>
  <c r="C15" i="4"/>
  <c r="I14" i="4"/>
  <c r="J14" i="4" s="1"/>
  <c r="H14" i="4"/>
  <c r="G14" i="4"/>
  <c r="F14" i="4"/>
  <c r="E14" i="4"/>
  <c r="D14" i="4"/>
  <c r="C14" i="4"/>
  <c r="J13" i="4"/>
  <c r="H13" i="4"/>
  <c r="G13" i="4"/>
  <c r="F13" i="4"/>
  <c r="E13" i="4"/>
  <c r="D13" i="4"/>
  <c r="C13" i="4"/>
  <c r="J12" i="4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P3" i="4"/>
  <c r="O3" i="4"/>
  <c r="I3" i="4"/>
  <c r="J3" i="4" s="1"/>
  <c r="H3" i="4"/>
  <c r="G3" i="4"/>
  <c r="F3" i="4"/>
  <c r="E3" i="4"/>
  <c r="D3" i="4"/>
  <c r="C3" i="4"/>
  <c r="I2" i="4"/>
  <c r="J2" i="4" s="1"/>
  <c r="H2" i="4"/>
  <c r="G2" i="4"/>
  <c r="F2" i="4"/>
  <c r="E2" i="4"/>
  <c r="D2" i="4"/>
  <c r="C2" i="4"/>
  <c r="J68" i="5"/>
  <c r="H68" i="5"/>
  <c r="G68" i="5"/>
  <c r="F68" i="5"/>
  <c r="E68" i="5"/>
  <c r="D68" i="5"/>
  <c r="C68" i="5"/>
  <c r="I67" i="5"/>
  <c r="J67" i="5" s="1"/>
  <c r="H67" i="5"/>
  <c r="G67" i="5"/>
  <c r="F67" i="5"/>
  <c r="E67" i="5"/>
  <c r="D67" i="5"/>
  <c r="C67" i="5"/>
  <c r="I66" i="5"/>
  <c r="J66" i="5" s="1"/>
  <c r="H66" i="5"/>
  <c r="G66" i="5"/>
  <c r="F66" i="5"/>
  <c r="E66" i="5"/>
  <c r="D66" i="5"/>
  <c r="C66" i="5"/>
  <c r="J65" i="5"/>
  <c r="H65" i="5"/>
  <c r="G65" i="5"/>
  <c r="F65" i="5"/>
  <c r="E65" i="5"/>
  <c r="D65" i="5"/>
  <c r="C65" i="5"/>
  <c r="J64" i="5"/>
  <c r="H64" i="5"/>
  <c r="G64" i="5"/>
  <c r="F64" i="5"/>
  <c r="E64" i="5"/>
  <c r="D64" i="5"/>
  <c r="C64" i="5"/>
  <c r="I63" i="5"/>
  <c r="J63" i="5" s="1"/>
  <c r="H63" i="5"/>
  <c r="G63" i="5"/>
  <c r="F63" i="5"/>
  <c r="E63" i="5"/>
  <c r="D63" i="5"/>
  <c r="C63" i="5"/>
  <c r="J62" i="5"/>
  <c r="H62" i="5"/>
  <c r="G62" i="5"/>
  <c r="F62" i="5"/>
  <c r="E62" i="5"/>
  <c r="D62" i="5"/>
  <c r="C62" i="5"/>
  <c r="I61" i="5"/>
  <c r="J61" i="5" s="1"/>
  <c r="H61" i="5"/>
  <c r="G61" i="5"/>
  <c r="F61" i="5"/>
  <c r="E61" i="5"/>
  <c r="D61" i="5"/>
  <c r="C61" i="5"/>
  <c r="J60" i="5"/>
  <c r="H60" i="5"/>
  <c r="G60" i="5"/>
  <c r="F60" i="5"/>
  <c r="E60" i="5"/>
  <c r="D60" i="5"/>
  <c r="C60" i="5"/>
  <c r="J59" i="5"/>
  <c r="H59" i="5"/>
  <c r="G59" i="5"/>
  <c r="F59" i="5"/>
  <c r="E59" i="5"/>
  <c r="D59" i="5"/>
  <c r="C59" i="5"/>
  <c r="I58" i="5"/>
  <c r="J58" i="5" s="1"/>
  <c r="H58" i="5"/>
  <c r="G58" i="5"/>
  <c r="F58" i="5"/>
  <c r="E58" i="5"/>
  <c r="D58" i="5"/>
  <c r="C58" i="5"/>
  <c r="I57" i="5"/>
  <c r="J57" i="5" s="1"/>
  <c r="H57" i="5"/>
  <c r="G57" i="5"/>
  <c r="F57" i="5"/>
  <c r="E57" i="5"/>
  <c r="D57" i="5"/>
  <c r="C57" i="5"/>
  <c r="I56" i="5"/>
  <c r="J56" i="5" s="1"/>
  <c r="H56" i="5"/>
  <c r="G56" i="5"/>
  <c r="F56" i="5"/>
  <c r="E56" i="5"/>
  <c r="D56" i="5"/>
  <c r="C56" i="5"/>
  <c r="I55" i="5"/>
  <c r="J55" i="5" s="1"/>
  <c r="H55" i="5"/>
  <c r="G55" i="5"/>
  <c r="F55" i="5"/>
  <c r="E55" i="5"/>
  <c r="D55" i="5"/>
  <c r="C55" i="5"/>
  <c r="I54" i="5"/>
  <c r="J54" i="5" s="1"/>
  <c r="H54" i="5"/>
  <c r="G54" i="5"/>
  <c r="F54" i="5"/>
  <c r="E54" i="5"/>
  <c r="D54" i="5"/>
  <c r="C54" i="5"/>
  <c r="I53" i="5"/>
  <c r="J53" i="5" s="1"/>
  <c r="H53" i="5"/>
  <c r="G53" i="5"/>
  <c r="F53" i="5"/>
  <c r="E53" i="5"/>
  <c r="D53" i="5"/>
  <c r="C53" i="5"/>
  <c r="I52" i="5"/>
  <c r="J52" i="5" s="1"/>
  <c r="H52" i="5"/>
  <c r="G52" i="5"/>
  <c r="F52" i="5"/>
  <c r="E52" i="5"/>
  <c r="D52" i="5"/>
  <c r="C52" i="5"/>
  <c r="I51" i="5"/>
  <c r="J51" i="5" s="1"/>
  <c r="H51" i="5"/>
  <c r="G51" i="5"/>
  <c r="F51" i="5"/>
  <c r="E51" i="5"/>
  <c r="D51" i="5"/>
  <c r="C51" i="5"/>
  <c r="I50" i="5"/>
  <c r="J50" i="5" s="1"/>
  <c r="H50" i="5"/>
  <c r="G50" i="5"/>
  <c r="F50" i="5"/>
  <c r="E50" i="5"/>
  <c r="D50" i="5"/>
  <c r="C50" i="5"/>
  <c r="I49" i="5"/>
  <c r="J49" i="5" s="1"/>
  <c r="H49" i="5"/>
  <c r="G49" i="5"/>
  <c r="F49" i="5"/>
  <c r="E49" i="5"/>
  <c r="D49" i="5"/>
  <c r="C49" i="5"/>
  <c r="I48" i="5"/>
  <c r="J48" i="5" s="1"/>
  <c r="H48" i="5"/>
  <c r="G48" i="5"/>
  <c r="F48" i="5"/>
  <c r="E48" i="5"/>
  <c r="D48" i="5"/>
  <c r="C48" i="5"/>
  <c r="J47" i="5"/>
  <c r="H47" i="5"/>
  <c r="G47" i="5"/>
  <c r="F47" i="5"/>
  <c r="E47" i="5"/>
  <c r="D47" i="5"/>
  <c r="C47" i="5"/>
  <c r="I46" i="5"/>
  <c r="J46" i="5" s="1"/>
  <c r="H46" i="5"/>
  <c r="G46" i="5"/>
  <c r="F46" i="5"/>
  <c r="E46" i="5"/>
  <c r="D46" i="5"/>
  <c r="C46" i="5"/>
  <c r="I45" i="5"/>
  <c r="J45" i="5" s="1"/>
  <c r="H45" i="5"/>
  <c r="G45" i="5"/>
  <c r="F45" i="5"/>
  <c r="E45" i="5"/>
  <c r="D45" i="5"/>
  <c r="C45" i="5"/>
  <c r="I44" i="5"/>
  <c r="J44" i="5" s="1"/>
  <c r="H44" i="5"/>
  <c r="G44" i="5"/>
  <c r="F44" i="5"/>
  <c r="E44" i="5"/>
  <c r="D44" i="5"/>
  <c r="C44" i="5"/>
  <c r="I43" i="5"/>
  <c r="J43" i="5" s="1"/>
  <c r="H43" i="5"/>
  <c r="G43" i="5"/>
  <c r="F43" i="5"/>
  <c r="E43" i="5"/>
  <c r="D43" i="5"/>
  <c r="C43" i="5"/>
  <c r="I42" i="5"/>
  <c r="J42" i="5" s="1"/>
  <c r="H42" i="5"/>
  <c r="G42" i="5"/>
  <c r="F42" i="5"/>
  <c r="E42" i="5"/>
  <c r="D42" i="5"/>
  <c r="C42" i="5"/>
  <c r="I41" i="5"/>
  <c r="J41" i="5" s="1"/>
  <c r="H41" i="5"/>
  <c r="G41" i="5"/>
  <c r="F41" i="5"/>
  <c r="E41" i="5"/>
  <c r="D41" i="5"/>
  <c r="C41" i="5"/>
  <c r="J40" i="5"/>
  <c r="H40" i="5"/>
  <c r="G40" i="5"/>
  <c r="F40" i="5"/>
  <c r="E40" i="5"/>
  <c r="D40" i="5"/>
  <c r="C40" i="5"/>
  <c r="I39" i="5"/>
  <c r="J39" i="5" s="1"/>
  <c r="H39" i="5"/>
  <c r="G39" i="5"/>
  <c r="F39" i="5"/>
  <c r="E39" i="5"/>
  <c r="D39" i="5"/>
  <c r="C39" i="5"/>
  <c r="I38" i="5"/>
  <c r="J38" i="5" s="1"/>
  <c r="H38" i="5"/>
  <c r="G38" i="5"/>
  <c r="F38" i="5"/>
  <c r="E38" i="5"/>
  <c r="D38" i="5"/>
  <c r="C38" i="5"/>
  <c r="I37" i="5"/>
  <c r="J37" i="5" s="1"/>
  <c r="H37" i="5"/>
  <c r="G37" i="5"/>
  <c r="F37" i="5"/>
  <c r="E37" i="5"/>
  <c r="D37" i="5"/>
  <c r="C37" i="5"/>
  <c r="I36" i="5"/>
  <c r="J36" i="5" s="1"/>
  <c r="H36" i="5"/>
  <c r="G36" i="5"/>
  <c r="F36" i="5"/>
  <c r="E36" i="5"/>
  <c r="D36" i="5"/>
  <c r="C36" i="5"/>
  <c r="J35" i="5"/>
  <c r="H35" i="5"/>
  <c r="G35" i="5"/>
  <c r="F35" i="5"/>
  <c r="E35" i="5"/>
  <c r="D35" i="5"/>
  <c r="C35" i="5"/>
  <c r="J34" i="5"/>
  <c r="H34" i="5"/>
  <c r="G34" i="5"/>
  <c r="F34" i="5"/>
  <c r="E34" i="5"/>
  <c r="D34" i="5"/>
  <c r="C34" i="5"/>
  <c r="I33" i="5"/>
  <c r="J33" i="5" s="1"/>
  <c r="H33" i="5"/>
  <c r="G33" i="5"/>
  <c r="F33" i="5"/>
  <c r="E33" i="5"/>
  <c r="D33" i="5"/>
  <c r="C33" i="5"/>
  <c r="J32" i="5"/>
  <c r="H32" i="5"/>
  <c r="G32" i="5"/>
  <c r="F32" i="5"/>
  <c r="E32" i="5"/>
  <c r="D32" i="5"/>
  <c r="C32" i="5"/>
  <c r="J31" i="5"/>
  <c r="H31" i="5"/>
  <c r="G31" i="5"/>
  <c r="F31" i="5"/>
  <c r="E31" i="5"/>
  <c r="D31" i="5"/>
  <c r="C31" i="5"/>
  <c r="I30" i="5"/>
  <c r="J30" i="5" s="1"/>
  <c r="H30" i="5"/>
  <c r="G30" i="5"/>
  <c r="F30" i="5"/>
  <c r="E30" i="5"/>
  <c r="D30" i="5"/>
  <c r="C30" i="5"/>
  <c r="I29" i="5"/>
  <c r="J29" i="5" s="1"/>
  <c r="H29" i="5"/>
  <c r="G29" i="5"/>
  <c r="F29" i="5"/>
  <c r="E29" i="5"/>
  <c r="D29" i="5"/>
  <c r="C29" i="5"/>
  <c r="I28" i="5"/>
  <c r="J28" i="5" s="1"/>
  <c r="H28" i="5"/>
  <c r="G28" i="5"/>
  <c r="F28" i="5"/>
  <c r="E28" i="5"/>
  <c r="D28" i="5"/>
  <c r="C28" i="5"/>
  <c r="I27" i="5"/>
  <c r="J27" i="5" s="1"/>
  <c r="H27" i="5"/>
  <c r="G27" i="5"/>
  <c r="F27" i="5"/>
  <c r="E27" i="5"/>
  <c r="D27" i="5"/>
  <c r="C27" i="5"/>
  <c r="I26" i="5"/>
  <c r="J26" i="5" s="1"/>
  <c r="H26" i="5"/>
  <c r="G26" i="5"/>
  <c r="F26" i="5"/>
  <c r="E26" i="5"/>
  <c r="D26" i="5"/>
  <c r="C26" i="5"/>
  <c r="I25" i="5"/>
  <c r="J25" i="5" s="1"/>
  <c r="H25" i="5"/>
  <c r="G25" i="5"/>
  <c r="F25" i="5"/>
  <c r="E25" i="5"/>
  <c r="D25" i="5"/>
  <c r="C25" i="5"/>
  <c r="I24" i="5"/>
  <c r="J24" i="5" s="1"/>
  <c r="H24" i="5"/>
  <c r="G24" i="5"/>
  <c r="F24" i="5"/>
  <c r="E24" i="5"/>
  <c r="D24" i="5"/>
  <c r="C24" i="5"/>
  <c r="I23" i="5"/>
  <c r="J23" i="5" s="1"/>
  <c r="H23" i="5"/>
  <c r="G23" i="5"/>
  <c r="F23" i="5"/>
  <c r="E23" i="5"/>
  <c r="D23" i="5"/>
  <c r="C23" i="5"/>
  <c r="I22" i="5"/>
  <c r="J22" i="5" s="1"/>
  <c r="H22" i="5"/>
  <c r="G22" i="5"/>
  <c r="F22" i="5"/>
  <c r="E22" i="5"/>
  <c r="D22" i="5"/>
  <c r="C22" i="5"/>
  <c r="J21" i="5"/>
  <c r="H21" i="5"/>
  <c r="G21" i="5"/>
  <c r="F21" i="5"/>
  <c r="E21" i="5"/>
  <c r="D21" i="5"/>
  <c r="C21" i="5"/>
  <c r="I20" i="5"/>
  <c r="J20" i="5" s="1"/>
  <c r="H20" i="5"/>
  <c r="G20" i="5"/>
  <c r="F20" i="5"/>
  <c r="E20" i="5"/>
  <c r="D20" i="5"/>
  <c r="C20" i="5"/>
  <c r="I19" i="5"/>
  <c r="J19" i="5" s="1"/>
  <c r="H19" i="5"/>
  <c r="G19" i="5"/>
  <c r="F19" i="5"/>
  <c r="E19" i="5"/>
  <c r="D19" i="5"/>
  <c r="C19" i="5"/>
  <c r="I18" i="5"/>
  <c r="J18" i="5" s="1"/>
  <c r="H18" i="5"/>
  <c r="G18" i="5"/>
  <c r="F18" i="5"/>
  <c r="E18" i="5"/>
  <c r="D18" i="5"/>
  <c r="C18" i="5"/>
  <c r="I17" i="5"/>
  <c r="J17" i="5" s="1"/>
  <c r="H17" i="5"/>
  <c r="G17" i="5"/>
  <c r="F17" i="5"/>
  <c r="E17" i="5"/>
  <c r="D17" i="5"/>
  <c r="C17" i="5"/>
  <c r="I16" i="5"/>
  <c r="J16" i="5" s="1"/>
  <c r="H16" i="5"/>
  <c r="G16" i="5"/>
  <c r="F16" i="5"/>
  <c r="E16" i="5"/>
  <c r="D16" i="5"/>
  <c r="C16" i="5"/>
  <c r="I15" i="5"/>
  <c r="J15" i="5" s="1"/>
  <c r="H15" i="5"/>
  <c r="G15" i="5"/>
  <c r="F15" i="5"/>
  <c r="E15" i="5"/>
  <c r="D15" i="5"/>
  <c r="C15" i="5"/>
  <c r="I14" i="5"/>
  <c r="J14" i="5" s="1"/>
  <c r="H14" i="5"/>
  <c r="G14" i="5"/>
  <c r="F14" i="5"/>
  <c r="E14" i="5"/>
  <c r="D14" i="5"/>
  <c r="C14" i="5"/>
  <c r="J13" i="5"/>
  <c r="H13" i="5"/>
  <c r="G13" i="5"/>
  <c r="F13" i="5"/>
  <c r="E13" i="5"/>
  <c r="D13" i="5"/>
  <c r="C13" i="5"/>
  <c r="I12" i="5"/>
  <c r="J12" i="5" s="1"/>
  <c r="H12" i="5"/>
  <c r="G12" i="5"/>
  <c r="F12" i="5"/>
  <c r="E12" i="5"/>
  <c r="D12" i="5"/>
  <c r="C12" i="5"/>
  <c r="I11" i="5"/>
  <c r="J11" i="5" s="1"/>
  <c r="H11" i="5"/>
  <c r="G11" i="5"/>
  <c r="F11" i="5"/>
  <c r="E11" i="5"/>
  <c r="D11" i="5"/>
  <c r="C11" i="5"/>
  <c r="J10" i="5"/>
  <c r="H10" i="5"/>
  <c r="G10" i="5"/>
  <c r="F10" i="5"/>
  <c r="E10" i="5"/>
  <c r="D10" i="5"/>
  <c r="C10" i="5"/>
  <c r="I9" i="5"/>
  <c r="J9" i="5" s="1"/>
  <c r="H9" i="5"/>
  <c r="G9" i="5"/>
  <c r="F9" i="5"/>
  <c r="E9" i="5"/>
  <c r="D9" i="5"/>
  <c r="C9" i="5"/>
  <c r="I8" i="5"/>
  <c r="J8" i="5" s="1"/>
  <c r="H8" i="5"/>
  <c r="G8" i="5"/>
  <c r="F8" i="5"/>
  <c r="E8" i="5"/>
  <c r="D8" i="5"/>
  <c r="C8" i="5"/>
  <c r="I7" i="5"/>
  <c r="J7" i="5" s="1"/>
  <c r="H7" i="5"/>
  <c r="G7" i="5"/>
  <c r="F7" i="5"/>
  <c r="E7" i="5"/>
  <c r="D7" i="5"/>
  <c r="C7" i="5"/>
  <c r="I6" i="5"/>
  <c r="J6" i="5" s="1"/>
  <c r="H6" i="5"/>
  <c r="G6" i="5"/>
  <c r="F6" i="5"/>
  <c r="E6" i="5"/>
  <c r="D6" i="5"/>
  <c r="C6" i="5"/>
  <c r="I5" i="5"/>
  <c r="J5" i="5" s="1"/>
  <c r="H5" i="5"/>
  <c r="G5" i="5"/>
  <c r="F5" i="5"/>
  <c r="E5" i="5"/>
  <c r="D5" i="5"/>
  <c r="C5" i="5"/>
  <c r="I4" i="5"/>
  <c r="J4" i="5" s="1"/>
  <c r="H4" i="5"/>
  <c r="G4" i="5"/>
  <c r="F4" i="5"/>
  <c r="E4" i="5"/>
  <c r="D4" i="5"/>
  <c r="C4" i="5"/>
  <c r="R3" i="5"/>
  <c r="M3" i="5"/>
  <c r="I3" i="5"/>
  <c r="J3" i="5" s="1"/>
  <c r="H3" i="5"/>
  <c r="G3" i="5"/>
  <c r="F3" i="5"/>
  <c r="E3" i="5"/>
  <c r="D3" i="5"/>
  <c r="C3" i="5"/>
  <c r="I2" i="5"/>
  <c r="J2" i="5" s="1"/>
  <c r="H2" i="5"/>
  <c r="G2" i="5"/>
  <c r="F2" i="5"/>
  <c r="E2" i="5"/>
  <c r="D2" i="5"/>
  <c r="C2" i="5"/>
  <c r="J13" i="3"/>
  <c r="J32" i="3"/>
  <c r="J21" i="3"/>
  <c r="J31" i="3"/>
  <c r="J10" i="3"/>
  <c r="J34" i="3" l="1"/>
  <c r="J35" i="3"/>
  <c r="J40" i="3"/>
  <c r="J47" i="3"/>
  <c r="J59" i="3"/>
  <c r="J60" i="3"/>
  <c r="J62" i="3"/>
  <c r="J64" i="3"/>
  <c r="J65" i="3"/>
  <c r="J66" i="3"/>
  <c r="I67" i="3"/>
  <c r="J67" i="3" s="1"/>
  <c r="I68" i="3"/>
  <c r="J68" i="3" s="1"/>
  <c r="I63" i="3"/>
  <c r="J63" i="3" s="1"/>
  <c r="I61" i="3"/>
  <c r="J61" i="3" s="1"/>
  <c r="I58" i="3"/>
  <c r="J58" i="3" s="1"/>
  <c r="I56" i="3"/>
  <c r="J56" i="3" s="1"/>
  <c r="I57" i="3"/>
  <c r="J57" i="3" s="1"/>
  <c r="I54" i="3"/>
  <c r="J54" i="3" s="1"/>
  <c r="I55" i="3"/>
  <c r="J55" i="3" s="1"/>
  <c r="I53" i="3"/>
  <c r="J53" i="3" s="1"/>
  <c r="I51" i="3"/>
  <c r="J51" i="3" s="1"/>
  <c r="I50" i="3"/>
  <c r="J50" i="3" s="1"/>
  <c r="I52" i="3"/>
  <c r="J52" i="3" s="1"/>
  <c r="I49" i="3"/>
  <c r="J49" i="3" s="1"/>
  <c r="I48" i="3"/>
  <c r="J48" i="3" s="1"/>
  <c r="I46" i="3"/>
  <c r="J46" i="3" s="1"/>
  <c r="I44" i="3"/>
  <c r="J44" i="3" s="1"/>
  <c r="I45" i="3"/>
  <c r="J45" i="3" s="1"/>
  <c r="I43" i="3"/>
  <c r="J43" i="3" s="1"/>
  <c r="I42" i="3"/>
  <c r="J42" i="3" s="1"/>
  <c r="I41" i="3"/>
  <c r="J41" i="3" s="1"/>
  <c r="I39" i="3"/>
  <c r="J39" i="3" s="1"/>
  <c r="I38" i="3"/>
  <c r="J38" i="3" s="1"/>
  <c r="I37" i="3"/>
  <c r="J37" i="3" s="1"/>
  <c r="I36" i="3"/>
  <c r="J36" i="3" s="1"/>
  <c r="I33" i="3"/>
  <c r="J33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3" i="3"/>
  <c r="J23" i="3" s="1"/>
  <c r="I24" i="3"/>
  <c r="J24" i="3" s="1"/>
  <c r="I22" i="3"/>
  <c r="J22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2" i="3"/>
  <c r="J12" i="3" s="1"/>
  <c r="I11" i="3"/>
  <c r="J11" i="3" s="1"/>
  <c r="I9" i="3"/>
  <c r="J9" i="3" s="1"/>
  <c r="I8" i="3"/>
  <c r="J8" i="3" s="1"/>
  <c r="I7" i="3"/>
  <c r="J7" i="3" s="1"/>
  <c r="I5" i="3"/>
  <c r="J5" i="3" s="1"/>
  <c r="I6" i="3"/>
  <c r="J6" i="3" s="1"/>
  <c r="I4" i="3"/>
  <c r="J4" i="3" s="1"/>
  <c r="P3" i="3"/>
  <c r="O3" i="3"/>
  <c r="I3" i="3"/>
  <c r="J3" i="3" s="1"/>
  <c r="I2" i="3"/>
  <c r="I72" i="3" l="1"/>
  <c r="I71" i="3"/>
  <c r="O70" i="3"/>
  <c r="O72" i="3"/>
  <c r="O71" i="3"/>
  <c r="P70" i="3"/>
  <c r="P72" i="3"/>
  <c r="P71" i="3"/>
  <c r="J2" i="3"/>
  <c r="I70" i="3"/>
  <c r="J70" i="3" l="1"/>
  <c r="J72" i="3"/>
  <c r="J71" i="3"/>
</calcChain>
</file>

<file path=xl/sharedStrings.xml><?xml version="1.0" encoding="utf-8"?>
<sst xmlns="http://schemas.openxmlformats.org/spreadsheetml/2006/main" count="936" uniqueCount="153">
  <si>
    <t>TOR</t>
  </si>
  <si>
    <t>R/R</t>
  </si>
  <si>
    <t>OF</t>
  </si>
  <si>
    <t>Teoscar Hernandez</t>
  </si>
  <si>
    <t>NYM</t>
  </si>
  <si>
    <t>S/R</t>
  </si>
  <si>
    <t>3B</t>
  </si>
  <si>
    <t>Eduardo Escobar</t>
  </si>
  <si>
    <t>ATL</t>
  </si>
  <si>
    <t>SS</t>
  </si>
  <si>
    <t>Dansby Swanson</t>
  </si>
  <si>
    <t>Randal Grichuk</t>
  </si>
  <si>
    <t>BOS</t>
  </si>
  <si>
    <t>L/R</t>
  </si>
  <si>
    <t>Rafael Devers</t>
  </si>
  <si>
    <t>NYY</t>
  </si>
  <si>
    <t>Aaron Hicks</t>
  </si>
  <si>
    <t>CIN</t>
  </si>
  <si>
    <t>Eugenio Suarez</t>
  </si>
  <si>
    <t>WSH</t>
  </si>
  <si>
    <t>CLE</t>
  </si>
  <si>
    <t>José Ramírez</t>
  </si>
  <si>
    <t>MIA</t>
  </si>
  <si>
    <t>Avisail Garcia</t>
  </si>
  <si>
    <t>Mark Canha</t>
  </si>
  <si>
    <t>HOU</t>
  </si>
  <si>
    <t>Alex Bregman</t>
  </si>
  <si>
    <t>LAD</t>
  </si>
  <si>
    <t>A.J. Pollock</t>
  </si>
  <si>
    <t>CHW</t>
  </si>
  <si>
    <t>Yoan Moncada</t>
  </si>
  <si>
    <t>PHI</t>
  </si>
  <si>
    <t>2B</t>
  </si>
  <si>
    <t>Jean Segura</t>
  </si>
  <si>
    <t>OAK</t>
  </si>
  <si>
    <t>1B</t>
  </si>
  <si>
    <t>Matt Olson</t>
  </si>
  <si>
    <t>Ronald Acuna Jr.</t>
  </si>
  <si>
    <t>Chris Taylor</t>
  </si>
  <si>
    <t>Didi Gregorius</t>
  </si>
  <si>
    <t>L/L</t>
  </si>
  <si>
    <t>Juan Soto</t>
  </si>
  <si>
    <t>Starling Marte</t>
  </si>
  <si>
    <t>SFG</t>
  </si>
  <si>
    <t>Brandon Crawford</t>
  </si>
  <si>
    <t>Mike Moustakas</t>
  </si>
  <si>
    <t>Michael Brantley</t>
  </si>
  <si>
    <t>Marcell Ozuna</t>
  </si>
  <si>
    <t>Aaron Judge</t>
  </si>
  <si>
    <t>MIL</t>
  </si>
  <si>
    <t>Lorenzo Cain</t>
  </si>
  <si>
    <t>Cody Bellinger</t>
  </si>
  <si>
    <t>KCR</t>
  </si>
  <si>
    <t>C</t>
  </si>
  <si>
    <t>Yasmani Grandal</t>
  </si>
  <si>
    <t>Brandon Belt</t>
  </si>
  <si>
    <t>Trea Turner</t>
  </si>
  <si>
    <t>J.D. Martinez</t>
  </si>
  <si>
    <t>Evan Longoria</t>
  </si>
  <si>
    <t>Jose Abreu</t>
  </si>
  <si>
    <t>Justin Turner</t>
  </si>
  <si>
    <t>Xander Bogaerts</t>
  </si>
  <si>
    <t>DET</t>
  </si>
  <si>
    <t>Javier Baez</t>
  </si>
  <si>
    <t>SD</t>
  </si>
  <si>
    <t>Eric Hosmer</t>
  </si>
  <si>
    <t>COL</t>
  </si>
  <si>
    <t>Charlie Blackmon</t>
  </si>
  <si>
    <t>Wil Myers</t>
  </si>
  <si>
    <t>Mookie Betts</t>
  </si>
  <si>
    <t>MIN</t>
  </si>
  <si>
    <t>Josh Donaldson</t>
  </si>
  <si>
    <t>J.T. Realmuto</t>
  </si>
  <si>
    <t>SEA</t>
  </si>
  <si>
    <t>Robinson Cano</t>
  </si>
  <si>
    <t>CUB</t>
  </si>
  <si>
    <t>Jason Heyward</t>
  </si>
  <si>
    <t>Joey Votto</t>
  </si>
  <si>
    <t>TEX</t>
  </si>
  <si>
    <t xml:space="preserve">Marcus Semien </t>
  </si>
  <si>
    <t>STL</t>
  </si>
  <si>
    <t>Paul Goldschmidt</t>
  </si>
  <si>
    <t>Christian Yelich</t>
  </si>
  <si>
    <t>Bryce Harper</t>
  </si>
  <si>
    <t>LAA</t>
  </si>
  <si>
    <t>Justin Upton</t>
  </si>
  <si>
    <t>Jose Altuve</t>
  </si>
  <si>
    <t>Giancarlo Stanton</t>
  </si>
  <si>
    <t>George Springer</t>
  </si>
  <si>
    <t>Manny Machado</t>
  </si>
  <si>
    <t>Miguel Cabrera</t>
  </si>
  <si>
    <t>Corey Seager</t>
  </si>
  <si>
    <t>Francisco Lindor</t>
  </si>
  <si>
    <t>Nolan Arenado</t>
  </si>
  <si>
    <t xml:space="preserve">Anthony Rendon </t>
  </si>
  <si>
    <t>Mike Trout</t>
  </si>
  <si>
    <t>SLG</t>
  </si>
  <si>
    <t>OBP</t>
  </si>
  <si>
    <t>BB</t>
  </si>
  <si>
    <t>SB</t>
  </si>
  <si>
    <t>SO</t>
  </si>
  <si>
    <t>AB</t>
  </si>
  <si>
    <t>TB</t>
  </si>
  <si>
    <t>OPS+</t>
  </si>
  <si>
    <t>BA</t>
  </si>
  <si>
    <t>OPS</t>
  </si>
  <si>
    <t>WAR</t>
  </si>
  <si>
    <t>R</t>
  </si>
  <si>
    <t>HR</t>
  </si>
  <si>
    <t>RBI</t>
  </si>
  <si>
    <t>H</t>
  </si>
  <si>
    <t>Totsea</t>
  </si>
  <si>
    <t>Present Age</t>
  </si>
  <si>
    <t>Signed Age</t>
  </si>
  <si>
    <t>Team</t>
  </si>
  <si>
    <t>Bat/Throws</t>
  </si>
  <si>
    <t>lsalary</t>
  </si>
  <si>
    <t>Avgsalary</t>
  </si>
  <si>
    <t>Pos</t>
  </si>
  <si>
    <t>Name</t>
  </si>
  <si>
    <t>D.J. Lemahieu</t>
  </si>
  <si>
    <t>Year(signed)</t>
  </si>
  <si>
    <t>HR%</t>
  </si>
  <si>
    <t>SO%</t>
  </si>
  <si>
    <t>HARDH%</t>
  </si>
  <si>
    <t>EV</t>
  </si>
  <si>
    <t>Salvador Perez</t>
  </si>
  <si>
    <t>Freddie Freeman</t>
  </si>
  <si>
    <t>Nick Castellanos</t>
  </si>
  <si>
    <t>Trevor Story</t>
  </si>
  <si>
    <t>Kyle Schwarber</t>
  </si>
  <si>
    <t>Kris Bryant</t>
  </si>
  <si>
    <t>Column1</t>
  </si>
  <si>
    <t>Column2</t>
  </si>
  <si>
    <t>Column3</t>
  </si>
  <si>
    <t>Column4</t>
  </si>
  <si>
    <t>Column5</t>
  </si>
  <si>
    <t>Column6</t>
  </si>
  <si>
    <t>catcher</t>
  </si>
  <si>
    <t>AVG</t>
  </si>
  <si>
    <t>Column7</t>
  </si>
  <si>
    <t>max</t>
  </si>
  <si>
    <t>WAR</t>
    <phoneticPr fontId="2" type="noConversion"/>
  </si>
  <si>
    <t>Column8</t>
    <phoneticPr fontId="2" type="noConversion"/>
  </si>
  <si>
    <t>MEAN</t>
    <phoneticPr fontId="2" type="noConversion"/>
  </si>
  <si>
    <t>Column9</t>
    <phoneticPr fontId="2" type="noConversion"/>
  </si>
  <si>
    <t>$</t>
    <phoneticPr fontId="2" type="noConversion"/>
  </si>
  <si>
    <t>Column10</t>
    <phoneticPr fontId="2" type="noConversion"/>
  </si>
  <si>
    <t>RESIDUAL OUTPUT</t>
  </si>
  <si>
    <t>Observation</t>
  </si>
  <si>
    <t>Predicted Avgsalary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</si>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</sst>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.000"/>
    <numFmt numFmtId="166" formatCode="0.000"/>
    <numFmt numFmtId="167" formatCode="00.000"/>
    <numFmt numFmtId="168" formatCode="00.0"/>
    <numFmt numFmtId="169" formatCode="00.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64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/>
    <xf numFmtId="166" fontId="0" fillId="0" borderId="0" xfId="0" applyNumberFormat="1" applyFill="1"/>
    <xf numFmtId="164" fontId="0" fillId="0" borderId="0" xfId="0" applyNumberFormat="1" applyFill="1"/>
    <xf numFmtId="168" fontId="0" fillId="0" borderId="0" xfId="0" applyNumberFormat="1" applyFill="1"/>
    <xf numFmtId="0" fontId="0" fillId="2" borderId="3" xfId="0" applyFont="1" applyFill="1" applyBorder="1"/>
    <xf numFmtId="0" fontId="0" fillId="2" borderId="1" xfId="0" applyFont="1" applyFill="1" applyBorder="1"/>
    <xf numFmtId="167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168" fontId="0" fillId="2" borderId="1" xfId="0" applyNumberFormat="1" applyFont="1" applyFill="1" applyBorder="1"/>
    <xf numFmtId="165" fontId="0" fillId="2" borderId="1" xfId="0" applyNumberFormat="1" applyFont="1" applyFill="1" applyBorder="1"/>
    <xf numFmtId="0" fontId="0" fillId="2" borderId="2" xfId="0" applyFont="1" applyFill="1" applyBorder="1"/>
    <xf numFmtId="0" fontId="0" fillId="0" borderId="3" xfId="0" applyFont="1" applyBorder="1"/>
    <xf numFmtId="0" fontId="0" fillId="0" borderId="1" xfId="0" applyFont="1" applyBorder="1"/>
    <xf numFmtId="167" fontId="0" fillId="0" borderId="1" xfId="0" applyNumberFormat="1" applyFont="1" applyBorder="1"/>
    <xf numFmtId="164" fontId="0" fillId="0" borderId="1" xfId="0" applyNumberFormat="1" applyFont="1" applyBorder="1"/>
    <xf numFmtId="168" fontId="0" fillId="0" borderId="1" xfId="0" applyNumberFormat="1" applyFont="1" applyBorder="1"/>
    <xf numFmtId="165" fontId="0" fillId="0" borderId="1" xfId="0" applyNumberFormat="1" applyFont="1" applyBorder="1"/>
    <xf numFmtId="0" fontId="0" fillId="0" borderId="2" xfId="0" applyFont="1" applyBorder="1"/>
    <xf numFmtId="167" fontId="0" fillId="0" borderId="0" xfId="0" applyNumberFormat="1"/>
    <xf numFmtId="16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/>
    <xf numFmtId="167" fontId="3" fillId="2" borderId="1" xfId="0" applyNumberFormat="1" applyFont="1" applyFill="1" applyBorder="1"/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8" fontId="3" fillId="2" borderId="1" xfId="0" applyNumberFormat="1" applyFont="1" applyFill="1" applyBorder="1"/>
    <xf numFmtId="0" fontId="3" fillId="0" borderId="3" xfId="0" applyFont="1" applyBorder="1"/>
    <xf numFmtId="0" fontId="3" fillId="0" borderId="1" xfId="0" applyFont="1" applyBorder="1"/>
    <xf numFmtId="167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8" fontId="3" fillId="0" borderId="1" xfId="0" applyNumberFormat="1" applyFont="1" applyBorder="1"/>
    <xf numFmtId="0" fontId="3" fillId="0" borderId="0" xfId="0" applyFont="1"/>
    <xf numFmtId="0" fontId="3" fillId="2" borderId="2" xfId="0" applyFont="1" applyFill="1" applyBorder="1"/>
    <xf numFmtId="0" fontId="3" fillId="0" borderId="2" xfId="0" applyFont="1" applyBorder="1"/>
    <xf numFmtId="0" fontId="3" fillId="0" borderId="0" xfId="0" applyFont="1" applyFill="1"/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</cellXfs>
  <cellStyles count="1">
    <cellStyle name="Normal" xfId="0" builtinId="0"/>
  </cellStyles>
  <dxfs count="43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4AE40-FE55-449F-9F8B-BB0E3FFC9167}" name="Table1" displayName="Table1" ref="A1:AO68" totalsRowShown="0" headerRowDxfId="42" dataDxfId="41">
  <autoFilter ref="A1:AO68" xr:uid="{9134AE40-FE55-449F-9F8B-BB0E3FFC9167}"/>
  <sortState xmlns:xlrd2="http://schemas.microsoft.com/office/spreadsheetml/2017/richdata2" ref="A2:AK68">
    <sortCondition descending="1" ref="I1:I68"/>
  </sortState>
  <tableColumns count="41">
    <tableColumn id="1" xr3:uid="{355D174C-EB45-401D-96C2-712A3ACAE8FF}" name="Name" dataDxfId="40"/>
    <tableColumn id="2" xr3:uid="{BF29F287-CBD3-49C8-A67E-CF1FE60A71AB}" name="Pos" dataDxfId="39"/>
    <tableColumn id="37" xr3:uid="{20331260-1ECE-4CD6-A8BA-3F8072CC02AB}" name="Column1" dataDxfId="38"/>
    <tableColumn id="36" xr3:uid="{C827D7A2-CB42-4C16-9E59-AE4F253488F1}" name="Column2" dataDxfId="37"/>
    <tableColumn id="35" xr3:uid="{3A80ADAD-84FE-4894-A147-403A5BD20244}" name="Column3" dataDxfId="36"/>
    <tableColumn id="34" xr3:uid="{ACF600E0-40BA-4C6E-B62C-E9102B4FF5E8}" name="Column4" dataDxfId="35"/>
    <tableColumn id="33" xr3:uid="{97F1C225-CB4D-4915-A985-5BD048ED777F}" name="Column5" dataDxfId="34"/>
    <tableColumn id="32" xr3:uid="{82CB4239-0EF1-4737-83EC-13C1BE56F055}" name="Column6" dataDxfId="33"/>
    <tableColumn id="3" xr3:uid="{424159C4-F7C6-48C6-B4BC-4F83EE6E7CA2}" name="Avgsalary" dataDxfId="32"/>
    <tableColumn id="4" xr3:uid="{CB58CE2E-B06B-4A56-96C3-560E1503AB88}" name="lsalary" dataDxfId="31"/>
    <tableColumn id="5" xr3:uid="{46DAE7E0-AEF4-4FDD-99F1-65C94C51015B}" name="Bat/Throws" dataDxfId="30"/>
    <tableColumn id="6" xr3:uid="{EB654E3F-D2A8-4440-8816-E6857BB6276E}" name="Team" dataDxfId="29"/>
    <tableColumn id="7" xr3:uid="{746A1348-070C-4412-B263-A2D6AE9C9287}" name="Year(signed)" dataDxfId="28"/>
    <tableColumn id="8" xr3:uid="{A90AB1E6-C130-40D9-A693-2B1DE2E6DA2C}" name="Signed Age" dataDxfId="27"/>
    <tableColumn id="9" xr3:uid="{24C6BEF8-6192-40C6-BBBD-AF76FD267A56}" name="Present Age" dataDxfId="26"/>
    <tableColumn id="10" xr3:uid="{74245DE9-955F-4323-91CB-4D356BE28053}" name="Totsea" dataDxfId="25"/>
    <tableColumn id="11" xr3:uid="{FBD36485-F708-4696-B81E-D221ACB4AF71}" name="HR%" dataDxfId="24"/>
    <tableColumn id="12" xr3:uid="{B1787A9F-95FB-4543-AF2A-96038855711A}" name="SO%" dataDxfId="23"/>
    <tableColumn id="13" xr3:uid="{3BA1A7AA-F2A7-4FB8-A4B1-79D486D7D017}" name="EV" dataDxfId="22"/>
    <tableColumn id="14" xr3:uid="{9D5020E9-7801-4754-A7BE-DD303BA6BD5D}" name="HARDH%" dataDxfId="21"/>
    <tableColumn id="15" xr3:uid="{49AE287B-6B87-47B2-9221-EBE35019C552}" name="AB" dataDxfId="20"/>
    <tableColumn id="16" xr3:uid="{EB21547B-1311-4077-A0FE-9B0F1C2D22B8}" name="R" dataDxfId="19"/>
    <tableColumn id="17" xr3:uid="{23210917-17E6-49AE-9DEC-E627A45D3C54}" name="H" dataDxfId="18"/>
    <tableColumn id="18" xr3:uid="{C1D37280-16EE-4126-B3C4-6FD72F2B66C1}" name="2B" dataDxfId="17"/>
    <tableColumn id="19" xr3:uid="{556BA8BC-4A7B-4756-A0AE-383C2E5D1B8D}" name="3B" dataDxfId="16"/>
    <tableColumn id="20" xr3:uid="{42F29394-DC4E-482E-89EB-A514F259A337}" name="HR" dataDxfId="15"/>
    <tableColumn id="21" xr3:uid="{24AEC83D-8795-495B-AF36-EF5F806B92F2}" name="RBI" dataDxfId="14"/>
    <tableColumn id="22" xr3:uid="{6054A72E-6EEB-473D-A28D-3E0F9FB898ED}" name="BB" dataDxfId="13"/>
    <tableColumn id="23" xr3:uid="{310C0C0D-88C5-4DBA-B003-29BC19448BBD}" name="SO" dataDxfId="12"/>
    <tableColumn id="24" xr3:uid="{2A71A1C7-9156-49C4-B301-A3278827DE84}" name="BA" dataDxfId="11"/>
    <tableColumn id="25" xr3:uid="{8B49F470-EAC7-4B85-ACE5-69FC57601AC0}" name="OBP" dataDxfId="10"/>
    <tableColumn id="26" xr3:uid="{4B4BB0AB-9F9A-443F-A1EA-316F7DC13813}" name="SLG" dataDxfId="9"/>
    <tableColumn id="27" xr3:uid="{C2CC4FE2-4AB2-413C-B1C0-E4C24AA35179}" name="OPS" dataDxfId="8"/>
    <tableColumn id="28" xr3:uid="{EC777EEE-F2FA-448E-8D24-9CBC4A9978F3}" name="OPS+" dataDxfId="7"/>
    <tableColumn id="29" xr3:uid="{05984031-C690-4601-94F8-FBC4AB910A91}" name="TB" dataDxfId="6"/>
    <tableColumn id="30" xr3:uid="{B926AAA2-3F9E-4EF9-A531-2EF97777F311}" name="WAR" dataDxfId="5"/>
    <tableColumn id="31" xr3:uid="{EC74339E-D511-4D55-AFAC-F5D0112FD4E1}" name="SB" dataDxfId="4"/>
    <tableColumn id="38" xr3:uid="{060AFAE0-BFB1-433C-98B7-0ED45BE40EBE}" name="Column7" dataDxfId="3"/>
    <tableColumn id="39" xr3:uid="{2B66E802-22BB-4F8B-A7C0-0DBECBE50438}" name="Column8" dataDxfId="2"/>
    <tableColumn id="40" xr3:uid="{9340002D-3580-435F-8D56-3406655CD708}" name="Column9" dataDxfId="1"/>
    <tableColumn id="41" xr3:uid="{3E8A6F2B-9463-4E04-BEDD-AB7744364880}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E16E-7EAD-45FF-90EF-F03C6A609D81}">
  <dimension ref="A1:BD72"/>
  <sheetViews>
    <sheetView topLeftCell="P1" zoomScale="60" zoomScaleNormal="60" workbookViewId="0">
      <pane ySplit="1" topLeftCell="A39" activePane="bottomLeft" state="frozen"/>
      <selection pane="bottomLeft" activeCell="AI57" sqref="AI57"/>
    </sheetView>
  </sheetViews>
  <sheetFormatPr defaultRowHeight="14.5"/>
  <cols>
    <col min="1" max="1" width="22.1796875" bestFit="1" customWidth="1"/>
    <col min="2" max="2" width="10.90625" bestFit="1" customWidth="1"/>
    <col min="3" max="8" width="0" hidden="1" customWidth="1"/>
    <col min="9" max="9" width="17.36328125" bestFit="1" customWidth="1"/>
    <col min="10" max="10" width="14" bestFit="1" customWidth="1"/>
    <col min="11" max="11" width="18.90625" bestFit="1" customWidth="1"/>
    <col min="12" max="12" width="12.81640625" bestFit="1" customWidth="1"/>
    <col min="13" max="13" width="20.26953125" bestFit="1" customWidth="1"/>
    <col min="14" max="14" width="18.90625" bestFit="1" customWidth="1"/>
    <col min="15" max="15" width="19.36328125" bestFit="1" customWidth="1"/>
    <col min="16" max="16" width="13.90625" bestFit="1" customWidth="1"/>
    <col min="17" max="17" width="12.6328125" style="8" bestFit="1" customWidth="1"/>
    <col min="18" max="18" width="12.26953125" style="10" bestFit="1" customWidth="1"/>
    <col min="19" max="19" width="10.6328125" style="10" bestFit="1" customWidth="1"/>
    <col min="20" max="20" width="17.6328125" style="10" bestFit="1" customWidth="1"/>
    <col min="21" max="21" width="10.7265625" bestFit="1" customWidth="1"/>
    <col min="22" max="22" width="9" bestFit="1" customWidth="1"/>
    <col min="23" max="23" width="9.1796875" bestFit="1" customWidth="1"/>
    <col min="24" max="25" width="10.1796875" bestFit="1" customWidth="1"/>
    <col min="26" max="26" width="10.7265625" bestFit="1" customWidth="1"/>
    <col min="27" max="27" width="11.36328125" bestFit="1" customWidth="1"/>
    <col min="28" max="28" width="10.6328125" bestFit="1" customWidth="1"/>
    <col min="29" max="29" width="10.453125" bestFit="1" customWidth="1"/>
    <col min="30" max="30" width="10.7265625" bestFit="1" customWidth="1"/>
    <col min="31" max="31" width="12" bestFit="1" customWidth="1"/>
    <col min="32" max="32" width="11.90625" bestFit="1" customWidth="1"/>
    <col min="33" max="33" width="11.7265625" bestFit="1" customWidth="1"/>
    <col min="34" max="34" width="13" bestFit="1" customWidth="1"/>
    <col min="35" max="35" width="10.453125" bestFit="1" customWidth="1"/>
    <col min="36" max="36" width="12.81640625" bestFit="1" customWidth="1"/>
    <col min="37" max="37" width="10.26953125" bestFit="1" customWidth="1"/>
    <col min="51" max="51" width="13.08984375" bestFit="1" customWidth="1"/>
    <col min="52" max="56" width="11.6328125" customWidth="1"/>
  </cols>
  <sheetData>
    <row r="1" spans="1:56" s="3" customFormat="1">
      <c r="A1" s="3" t="s">
        <v>119</v>
      </c>
      <c r="B1" s="3" t="s">
        <v>118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6" t="s">
        <v>117</v>
      </c>
      <c r="J1" s="11" t="s">
        <v>116</v>
      </c>
      <c r="K1" s="3" t="s">
        <v>115</v>
      </c>
      <c r="L1" s="3" t="s">
        <v>114</v>
      </c>
      <c r="M1" s="3" t="s">
        <v>121</v>
      </c>
      <c r="N1" s="3" t="s">
        <v>113</v>
      </c>
      <c r="O1" s="3" t="s">
        <v>112</v>
      </c>
      <c r="P1" s="3" t="s">
        <v>111</v>
      </c>
      <c r="Q1" s="5" t="s">
        <v>122</v>
      </c>
      <c r="R1" s="9" t="s">
        <v>123</v>
      </c>
      <c r="S1" s="9" t="s">
        <v>125</v>
      </c>
      <c r="T1" s="9" t="s">
        <v>124</v>
      </c>
      <c r="U1" s="3" t="s">
        <v>101</v>
      </c>
      <c r="V1" s="3" t="s">
        <v>107</v>
      </c>
      <c r="W1" s="3" t="s">
        <v>110</v>
      </c>
      <c r="X1" s="3" t="s">
        <v>32</v>
      </c>
      <c r="Y1" s="3" t="s">
        <v>6</v>
      </c>
      <c r="Z1" s="3" t="s">
        <v>108</v>
      </c>
      <c r="AA1" s="3" t="s">
        <v>109</v>
      </c>
      <c r="AB1" s="3" t="s">
        <v>98</v>
      </c>
      <c r="AC1" s="3" t="s">
        <v>100</v>
      </c>
      <c r="AD1" s="4" t="s">
        <v>104</v>
      </c>
      <c r="AE1" s="4" t="s">
        <v>97</v>
      </c>
      <c r="AF1" s="4" t="s">
        <v>96</v>
      </c>
      <c r="AG1" s="4" t="s">
        <v>105</v>
      </c>
      <c r="AH1" s="3" t="s">
        <v>103</v>
      </c>
      <c r="AI1" s="3" t="s">
        <v>102</v>
      </c>
      <c r="AJ1" s="5" t="s">
        <v>106</v>
      </c>
      <c r="AK1" s="3" t="s">
        <v>99</v>
      </c>
      <c r="AL1" s="3" t="s">
        <v>140</v>
      </c>
      <c r="AM1" s="3" t="s">
        <v>143</v>
      </c>
      <c r="AN1" s="3" t="s">
        <v>145</v>
      </c>
      <c r="AO1" s="3" t="s">
        <v>147</v>
      </c>
      <c r="AY1" s="3" t="s">
        <v>138</v>
      </c>
      <c r="AZ1" s="3" t="s">
        <v>35</v>
      </c>
      <c r="BA1" s="3" t="s">
        <v>32</v>
      </c>
      <c r="BB1" s="3" t="s">
        <v>6</v>
      </c>
      <c r="BC1" s="3" t="s">
        <v>9</v>
      </c>
      <c r="BD1" s="3" t="s">
        <v>2</v>
      </c>
    </row>
    <row r="2" spans="1:56">
      <c r="A2" s="45" t="s">
        <v>94</v>
      </c>
      <c r="B2" s="46" t="s">
        <v>6</v>
      </c>
      <c r="C2" s="58"/>
      <c r="D2" s="58"/>
      <c r="E2" s="58"/>
      <c r="F2" s="58"/>
      <c r="G2" s="58"/>
      <c r="H2" s="58"/>
      <c r="I2" s="47">
        <f>254/7</f>
        <v>36.285714285714285</v>
      </c>
      <c r="J2" s="48">
        <f t="shared" ref="J2:J33" si="0">LOG(I2)</f>
        <v>1.5597356766056811</v>
      </c>
      <c r="K2" s="46" t="s">
        <v>1</v>
      </c>
      <c r="L2" s="46" t="s">
        <v>84</v>
      </c>
      <c r="M2" s="46">
        <v>7</v>
      </c>
      <c r="N2" s="46">
        <v>30</v>
      </c>
      <c r="O2" s="46">
        <v>32</v>
      </c>
      <c r="P2" s="46">
        <v>9</v>
      </c>
      <c r="Q2" s="49">
        <v>3.4</v>
      </c>
      <c r="R2" s="51">
        <v>15.5</v>
      </c>
      <c r="S2" s="51">
        <v>90.9</v>
      </c>
      <c r="T2" s="51">
        <v>45.5</v>
      </c>
      <c r="U2" s="46">
        <v>605</v>
      </c>
      <c r="V2" s="46">
        <v>99</v>
      </c>
      <c r="W2" s="46">
        <v>174</v>
      </c>
      <c r="X2" s="46">
        <v>42</v>
      </c>
      <c r="Y2" s="46">
        <v>3</v>
      </c>
      <c r="Z2" s="46">
        <v>24</v>
      </c>
      <c r="AA2" s="46">
        <v>96</v>
      </c>
      <c r="AB2" s="46">
        <v>75</v>
      </c>
      <c r="AC2" s="46">
        <v>108</v>
      </c>
      <c r="AD2" s="50">
        <v>0.28699999999999998</v>
      </c>
      <c r="AE2" s="50">
        <v>0.36899999999999999</v>
      </c>
      <c r="AF2" s="50">
        <v>0.48399999999999999</v>
      </c>
      <c r="AG2" s="50">
        <v>0.85399999999999998</v>
      </c>
      <c r="AH2" s="46">
        <v>126</v>
      </c>
      <c r="AI2" s="46">
        <v>293</v>
      </c>
      <c r="AJ2" s="49">
        <v>5.0999999999999996</v>
      </c>
      <c r="AK2" s="59">
        <v>7</v>
      </c>
      <c r="AL2" s="58"/>
      <c r="AM2" s="58"/>
      <c r="AN2" s="58"/>
      <c r="AO2" s="58"/>
      <c r="AY2" s="2">
        <f t="shared" ref="AY2:AY33" si="1">IF(B2="C",1,0)</f>
        <v>0</v>
      </c>
      <c r="AZ2" s="2">
        <f t="shared" ref="AZ2:AZ33" si="2">IF(B2="1B",1,0)</f>
        <v>0</v>
      </c>
      <c r="BA2" s="2">
        <f t="shared" ref="BA2:BA33" si="3">IF(B2="2B",1,0)</f>
        <v>0</v>
      </c>
      <c r="BB2" s="2">
        <f t="shared" ref="BB2:BB33" si="4">IF(B2="3B",1,0)</f>
        <v>1</v>
      </c>
      <c r="BC2" s="2">
        <f t="shared" ref="BC2:BC33" si="5">IF(B2="SS",1,0)</f>
        <v>0</v>
      </c>
      <c r="BD2" s="2">
        <f t="shared" ref="BD2:BD33" si="6">IF(B2="OF",1,0)</f>
        <v>0</v>
      </c>
    </row>
    <row r="3" spans="1:56">
      <c r="A3" s="52" t="s">
        <v>95</v>
      </c>
      <c r="B3" s="53" t="s">
        <v>2</v>
      </c>
      <c r="C3" s="58"/>
      <c r="D3" s="58"/>
      <c r="E3" s="58"/>
      <c r="F3" s="58"/>
      <c r="G3" s="58"/>
      <c r="H3" s="58"/>
      <c r="I3" s="54">
        <f>426.5/12</f>
        <v>35.541666666666664</v>
      </c>
      <c r="J3" s="48">
        <f t="shared" si="0"/>
        <v>1.5507377894559169</v>
      </c>
      <c r="K3" s="53" t="s">
        <v>1</v>
      </c>
      <c r="L3" s="53" t="s">
        <v>84</v>
      </c>
      <c r="M3" s="53">
        <v>12</v>
      </c>
      <c r="N3" s="53">
        <v>27</v>
      </c>
      <c r="O3" s="53">
        <f>29+1</f>
        <v>30</v>
      </c>
      <c r="P3" s="53">
        <f>21-11+1</f>
        <v>11</v>
      </c>
      <c r="Q3" s="55">
        <v>5.5</v>
      </c>
      <c r="R3" s="57">
        <v>21.5</v>
      </c>
      <c r="S3" s="57">
        <v>91.9</v>
      </c>
      <c r="T3" s="57">
        <v>49</v>
      </c>
      <c r="U3" s="53">
        <v>586</v>
      </c>
      <c r="V3" s="53">
        <v>122</v>
      </c>
      <c r="W3" s="53">
        <v>178</v>
      </c>
      <c r="X3" s="53">
        <v>34</v>
      </c>
      <c r="Y3" s="53">
        <v>6</v>
      </c>
      <c r="Z3" s="53">
        <v>39</v>
      </c>
      <c r="AA3" s="53">
        <v>103</v>
      </c>
      <c r="AB3" s="53">
        <v>109</v>
      </c>
      <c r="AC3" s="53">
        <v>153</v>
      </c>
      <c r="AD3" s="56">
        <v>0.30499999999999999</v>
      </c>
      <c r="AE3" s="56">
        <v>0.41899999999999998</v>
      </c>
      <c r="AF3" s="56">
        <v>0.58299999999999996</v>
      </c>
      <c r="AG3" s="56">
        <v>1.002</v>
      </c>
      <c r="AH3" s="53">
        <v>176</v>
      </c>
      <c r="AI3" s="53">
        <v>341</v>
      </c>
      <c r="AJ3" s="55">
        <v>9.6</v>
      </c>
      <c r="AK3" s="60">
        <v>26</v>
      </c>
      <c r="AL3" s="58"/>
      <c r="AM3" s="58"/>
      <c r="AN3" s="58"/>
      <c r="AO3" s="58"/>
      <c r="AY3" s="2">
        <f t="shared" si="1"/>
        <v>0</v>
      </c>
      <c r="AZ3" s="2">
        <f t="shared" si="2"/>
        <v>0</v>
      </c>
      <c r="BA3" s="2">
        <f t="shared" si="3"/>
        <v>0</v>
      </c>
      <c r="BB3" s="2">
        <f t="shared" si="4"/>
        <v>0</v>
      </c>
      <c r="BC3" s="2">
        <f t="shared" si="5"/>
        <v>0</v>
      </c>
      <c r="BD3" s="2">
        <f t="shared" si="6"/>
        <v>1</v>
      </c>
    </row>
    <row r="4" spans="1:56">
      <c r="A4" s="45" t="s">
        <v>92</v>
      </c>
      <c r="B4" s="46" t="s">
        <v>9</v>
      </c>
      <c r="C4" s="58"/>
      <c r="D4" s="58"/>
      <c r="E4" s="58"/>
      <c r="F4" s="58"/>
      <c r="G4" s="58"/>
      <c r="H4" s="58"/>
      <c r="I4" s="47">
        <f>341/10</f>
        <v>34.1</v>
      </c>
      <c r="J4" s="48">
        <f t="shared" si="0"/>
        <v>1.5327543789924978</v>
      </c>
      <c r="K4" s="46" t="s">
        <v>5</v>
      </c>
      <c r="L4" s="46" t="s">
        <v>4</v>
      </c>
      <c r="M4" s="46">
        <v>10</v>
      </c>
      <c r="N4" s="46">
        <v>27</v>
      </c>
      <c r="O4" s="46">
        <v>28</v>
      </c>
      <c r="P4" s="46">
        <v>7</v>
      </c>
      <c r="Q4" s="49">
        <v>3.9</v>
      </c>
      <c r="R4" s="51">
        <v>14.7</v>
      </c>
      <c r="S4" s="51">
        <v>90</v>
      </c>
      <c r="T4" s="51">
        <v>42.5</v>
      </c>
      <c r="U4" s="46">
        <v>645</v>
      </c>
      <c r="V4" s="46">
        <v>104</v>
      </c>
      <c r="W4" s="46">
        <v>180</v>
      </c>
      <c r="X4" s="46">
        <v>37</v>
      </c>
      <c r="Y4" s="46">
        <v>3</v>
      </c>
      <c r="Z4" s="46">
        <v>28</v>
      </c>
      <c r="AA4" s="46">
        <v>85</v>
      </c>
      <c r="AB4" s="46">
        <v>61</v>
      </c>
      <c r="AC4" s="46">
        <v>106</v>
      </c>
      <c r="AD4" s="50">
        <v>0.27800000000000002</v>
      </c>
      <c r="AE4" s="50">
        <v>0.34300000000000003</v>
      </c>
      <c r="AF4" s="50">
        <v>0.47799999999999998</v>
      </c>
      <c r="AG4" s="50">
        <v>0.82099999999999995</v>
      </c>
      <c r="AH4" s="46">
        <v>116</v>
      </c>
      <c r="AI4" s="46">
        <v>308</v>
      </c>
      <c r="AJ4" s="49">
        <v>5.6</v>
      </c>
      <c r="AK4" s="59">
        <v>20</v>
      </c>
      <c r="AL4" s="58"/>
      <c r="AM4" s="58"/>
      <c r="AN4" s="58"/>
      <c r="AO4" s="58"/>
      <c r="AY4" s="2">
        <f t="shared" si="1"/>
        <v>0</v>
      </c>
      <c r="AZ4" s="2">
        <f t="shared" si="2"/>
        <v>0</v>
      </c>
      <c r="BA4" s="2">
        <f t="shared" si="3"/>
        <v>0</v>
      </c>
      <c r="BB4" s="2">
        <f t="shared" si="4"/>
        <v>0</v>
      </c>
      <c r="BC4" s="2">
        <f t="shared" si="5"/>
        <v>1</v>
      </c>
      <c r="BD4" s="2">
        <f t="shared" si="6"/>
        <v>0</v>
      </c>
    </row>
    <row r="5" spans="1:56">
      <c r="A5" s="45" t="s">
        <v>91</v>
      </c>
      <c r="B5" s="46" t="s">
        <v>9</v>
      </c>
      <c r="C5" s="58"/>
      <c r="D5" s="58"/>
      <c r="E5" s="58"/>
      <c r="F5" s="58"/>
      <c r="G5" s="58"/>
      <c r="H5" s="58"/>
      <c r="I5" s="47">
        <f>325/10</f>
        <v>32.5</v>
      </c>
      <c r="J5" s="48">
        <f t="shared" si="0"/>
        <v>1.5118833609788744</v>
      </c>
      <c r="K5" s="46" t="s">
        <v>40</v>
      </c>
      <c r="L5" s="46" t="s">
        <v>78</v>
      </c>
      <c r="M5" s="46">
        <v>10</v>
      </c>
      <c r="N5" s="46">
        <v>27</v>
      </c>
      <c r="O5" s="46">
        <v>28</v>
      </c>
      <c r="P5" s="46">
        <v>7</v>
      </c>
      <c r="Q5" s="49">
        <v>3.8</v>
      </c>
      <c r="R5" s="51">
        <v>18.5</v>
      </c>
      <c r="S5" s="51">
        <v>90.9</v>
      </c>
      <c r="T5" s="51">
        <v>47</v>
      </c>
      <c r="U5" s="46">
        <v>616</v>
      </c>
      <c r="V5" s="46">
        <v>100</v>
      </c>
      <c r="W5" s="46">
        <v>183</v>
      </c>
      <c r="X5" s="46">
        <v>42</v>
      </c>
      <c r="Y5" s="46">
        <v>3</v>
      </c>
      <c r="Z5" s="46">
        <v>26</v>
      </c>
      <c r="AA5" s="46">
        <v>93</v>
      </c>
      <c r="AB5" s="46">
        <v>65</v>
      </c>
      <c r="AC5" s="46">
        <v>128</v>
      </c>
      <c r="AD5" s="50">
        <v>0.29699999999999999</v>
      </c>
      <c r="AE5" s="50">
        <v>0.36699999999999999</v>
      </c>
      <c r="AF5" s="50">
        <v>0.504</v>
      </c>
      <c r="AG5" s="50">
        <v>0.87</v>
      </c>
      <c r="AH5" s="46">
        <v>131</v>
      </c>
      <c r="AI5" s="46">
        <v>310</v>
      </c>
      <c r="AJ5" s="49">
        <v>5.4</v>
      </c>
      <c r="AK5" s="59">
        <v>3</v>
      </c>
      <c r="AL5" s="58"/>
      <c r="AM5" s="58"/>
      <c r="AN5" s="58"/>
      <c r="AO5" s="58"/>
      <c r="AY5" s="1">
        <f t="shared" si="1"/>
        <v>0</v>
      </c>
      <c r="AZ5" s="1">
        <f t="shared" si="2"/>
        <v>0</v>
      </c>
      <c r="BA5" s="1">
        <f t="shared" si="3"/>
        <v>0</v>
      </c>
      <c r="BB5" s="1">
        <f t="shared" si="4"/>
        <v>0</v>
      </c>
      <c r="BC5" s="1">
        <f t="shared" si="5"/>
        <v>1</v>
      </c>
      <c r="BD5" s="1">
        <f t="shared" si="6"/>
        <v>0</v>
      </c>
    </row>
    <row r="6" spans="1:56">
      <c r="A6" s="52" t="s">
        <v>93</v>
      </c>
      <c r="B6" s="53" t="s">
        <v>6</v>
      </c>
      <c r="C6" s="58"/>
      <c r="D6" s="58"/>
      <c r="E6" s="58"/>
      <c r="F6" s="58"/>
      <c r="G6" s="58"/>
      <c r="H6" s="58"/>
      <c r="I6" s="54">
        <f>260/8</f>
        <v>32.5</v>
      </c>
      <c r="J6" s="48">
        <f t="shared" si="0"/>
        <v>1.5118833609788744</v>
      </c>
      <c r="K6" s="53" t="s">
        <v>1</v>
      </c>
      <c r="L6" s="53" t="s">
        <v>80</v>
      </c>
      <c r="M6" s="53">
        <v>8</v>
      </c>
      <c r="N6" s="53">
        <v>28</v>
      </c>
      <c r="O6" s="53">
        <v>31</v>
      </c>
      <c r="P6" s="53">
        <v>9</v>
      </c>
      <c r="Q6" s="55">
        <v>5.2</v>
      </c>
      <c r="R6" s="57">
        <v>15</v>
      </c>
      <c r="S6" s="57">
        <v>90</v>
      </c>
      <c r="T6" s="57">
        <v>42.1</v>
      </c>
      <c r="U6" s="53">
        <v>617</v>
      </c>
      <c r="V6" s="53">
        <v>96</v>
      </c>
      <c r="W6" s="53">
        <v>178</v>
      </c>
      <c r="X6" s="53">
        <v>39</v>
      </c>
      <c r="Y6" s="53">
        <v>4</v>
      </c>
      <c r="Z6" s="53">
        <v>35</v>
      </c>
      <c r="AA6" s="53">
        <v>113</v>
      </c>
      <c r="AB6" s="53">
        <v>54</v>
      </c>
      <c r="AC6" s="53">
        <v>102</v>
      </c>
      <c r="AD6" s="56">
        <v>0.28799999999999998</v>
      </c>
      <c r="AE6" s="56">
        <v>0.34499999999999997</v>
      </c>
      <c r="AF6" s="56">
        <v>0.53500000000000003</v>
      </c>
      <c r="AG6" s="56">
        <v>0.88</v>
      </c>
      <c r="AH6" s="53">
        <v>121</v>
      </c>
      <c r="AI6" s="53">
        <v>330</v>
      </c>
      <c r="AJ6" s="55">
        <v>5.8</v>
      </c>
      <c r="AK6" s="60">
        <v>2</v>
      </c>
      <c r="AL6" s="58"/>
      <c r="AM6" s="58"/>
      <c r="AN6" s="58"/>
      <c r="AO6" s="58"/>
      <c r="AY6" s="1">
        <f t="shared" si="1"/>
        <v>0</v>
      </c>
      <c r="AZ6" s="1">
        <f t="shared" si="2"/>
        <v>0</v>
      </c>
      <c r="BA6" s="1">
        <f t="shared" si="3"/>
        <v>0</v>
      </c>
      <c r="BB6" s="1">
        <f t="shared" si="4"/>
        <v>1</v>
      </c>
      <c r="BC6" s="1">
        <f t="shared" si="5"/>
        <v>0</v>
      </c>
      <c r="BD6" s="1">
        <f t="shared" si="6"/>
        <v>0</v>
      </c>
    </row>
    <row r="7" spans="1:56">
      <c r="A7" s="52" t="s">
        <v>90</v>
      </c>
      <c r="B7" s="53" t="s">
        <v>35</v>
      </c>
      <c r="C7" s="58"/>
      <c r="D7" s="58"/>
      <c r="E7" s="58"/>
      <c r="F7" s="58"/>
      <c r="G7" s="58"/>
      <c r="H7" s="58"/>
      <c r="I7" s="54">
        <f>248/8</f>
        <v>31</v>
      </c>
      <c r="J7" s="48">
        <f t="shared" si="0"/>
        <v>1.4913616938342726</v>
      </c>
      <c r="K7" s="53" t="s">
        <v>1</v>
      </c>
      <c r="L7" s="53" t="s">
        <v>62</v>
      </c>
      <c r="M7" s="53">
        <v>8</v>
      </c>
      <c r="N7" s="53">
        <v>33</v>
      </c>
      <c r="O7" s="53">
        <v>39</v>
      </c>
      <c r="P7" s="53">
        <v>19</v>
      </c>
      <c r="Q7" s="55">
        <v>4.5999999999999996</v>
      </c>
      <c r="R7" s="57">
        <v>17.600000000000001</v>
      </c>
      <c r="S7" s="57">
        <v>92.8</v>
      </c>
      <c r="T7" s="57">
        <v>52.5</v>
      </c>
      <c r="U7" s="53">
        <v>603</v>
      </c>
      <c r="V7" s="53">
        <v>94</v>
      </c>
      <c r="W7" s="53">
        <v>187</v>
      </c>
      <c r="X7" s="53">
        <v>37</v>
      </c>
      <c r="Y7" s="53">
        <v>1</v>
      </c>
      <c r="Z7" s="53">
        <v>31</v>
      </c>
      <c r="AA7" s="53">
        <v>113</v>
      </c>
      <c r="AB7" s="53">
        <v>75</v>
      </c>
      <c r="AC7" s="53">
        <v>121</v>
      </c>
      <c r="AD7" s="56">
        <v>0.31</v>
      </c>
      <c r="AE7" s="56">
        <v>0.38700000000000001</v>
      </c>
      <c r="AF7" s="56">
        <v>0.53200000000000003</v>
      </c>
      <c r="AG7" s="56">
        <v>0.92</v>
      </c>
      <c r="AH7" s="53">
        <v>145</v>
      </c>
      <c r="AI7" s="53">
        <v>321</v>
      </c>
      <c r="AJ7" s="55">
        <v>4.3</v>
      </c>
      <c r="AK7" s="60">
        <v>2</v>
      </c>
      <c r="AL7" s="58"/>
      <c r="AM7" s="58"/>
      <c r="AN7" s="58"/>
      <c r="AO7" s="58"/>
      <c r="AY7" s="2">
        <f t="shared" si="1"/>
        <v>0</v>
      </c>
      <c r="AZ7" s="2">
        <f t="shared" si="2"/>
        <v>1</v>
      </c>
      <c r="BA7" s="2">
        <f t="shared" si="3"/>
        <v>0</v>
      </c>
      <c r="BB7" s="2">
        <f t="shared" si="4"/>
        <v>0</v>
      </c>
      <c r="BC7" s="2">
        <f t="shared" si="5"/>
        <v>0</v>
      </c>
      <c r="BD7" s="2">
        <f t="shared" si="6"/>
        <v>0</v>
      </c>
    </row>
    <row r="8" spans="1:56">
      <c r="A8" s="45" t="s">
        <v>69</v>
      </c>
      <c r="B8" s="46" t="s">
        <v>2</v>
      </c>
      <c r="C8" s="58"/>
      <c r="D8" s="58"/>
      <c r="E8" s="58"/>
      <c r="F8" s="58"/>
      <c r="G8" s="58"/>
      <c r="H8" s="58"/>
      <c r="I8" s="47">
        <f>365/12</f>
        <v>30.416666666666668</v>
      </c>
      <c r="J8" s="48">
        <f t="shared" si="0"/>
        <v>1.48311161840885</v>
      </c>
      <c r="K8" s="46" t="s">
        <v>1</v>
      </c>
      <c r="L8" s="46" t="s">
        <v>27</v>
      </c>
      <c r="M8" s="46">
        <v>12</v>
      </c>
      <c r="N8" s="46">
        <v>27</v>
      </c>
      <c r="O8" s="46">
        <v>29</v>
      </c>
      <c r="P8" s="46">
        <v>8</v>
      </c>
      <c r="Q8" s="49">
        <v>4</v>
      </c>
      <c r="R8" s="51">
        <v>13.3</v>
      </c>
      <c r="S8" s="51">
        <v>90.8</v>
      </c>
      <c r="T8" s="51">
        <v>45.9</v>
      </c>
      <c r="U8" s="46">
        <v>649</v>
      </c>
      <c r="V8" s="46">
        <v>126</v>
      </c>
      <c r="W8" s="46">
        <v>192</v>
      </c>
      <c r="X8" s="46">
        <v>45</v>
      </c>
      <c r="Y8" s="46">
        <v>5</v>
      </c>
      <c r="Z8" s="46">
        <v>30</v>
      </c>
      <c r="AA8" s="46">
        <v>95</v>
      </c>
      <c r="AB8" s="46">
        <v>77</v>
      </c>
      <c r="AC8" s="46">
        <v>77</v>
      </c>
      <c r="AD8" s="50">
        <v>0.29599999999999999</v>
      </c>
      <c r="AE8" s="50">
        <v>0.373</v>
      </c>
      <c r="AF8" s="50">
        <v>0.51800000000000002</v>
      </c>
      <c r="AG8" s="50">
        <v>0.89</v>
      </c>
      <c r="AH8" s="46">
        <v>134</v>
      </c>
      <c r="AI8" s="46">
        <v>336</v>
      </c>
      <c r="AJ8" s="49">
        <v>8.3000000000000007</v>
      </c>
      <c r="AK8" s="59">
        <v>24</v>
      </c>
      <c r="AL8" s="58"/>
      <c r="AM8" s="58"/>
      <c r="AN8" s="58"/>
      <c r="AO8" s="58"/>
      <c r="AY8" s="2">
        <f t="shared" si="1"/>
        <v>0</v>
      </c>
      <c r="AZ8" s="2">
        <f t="shared" si="2"/>
        <v>0</v>
      </c>
      <c r="BA8" s="2">
        <f t="shared" si="3"/>
        <v>0</v>
      </c>
      <c r="BB8" s="2">
        <f t="shared" si="4"/>
        <v>0</v>
      </c>
      <c r="BC8" s="2">
        <f t="shared" si="5"/>
        <v>0</v>
      </c>
      <c r="BD8" s="2">
        <f t="shared" si="6"/>
        <v>1</v>
      </c>
    </row>
    <row r="9" spans="1:56">
      <c r="A9" s="52" t="s">
        <v>89</v>
      </c>
      <c r="B9" s="53" t="s">
        <v>6</v>
      </c>
      <c r="C9" s="58"/>
      <c r="D9" s="58"/>
      <c r="E9" s="58"/>
      <c r="F9" s="58"/>
      <c r="G9" s="58"/>
      <c r="H9" s="58"/>
      <c r="I9" s="54">
        <f>300/10</f>
        <v>30</v>
      </c>
      <c r="J9" s="48">
        <f t="shared" si="0"/>
        <v>1.4771212547196624</v>
      </c>
      <c r="K9" s="53" t="s">
        <v>1</v>
      </c>
      <c r="L9" s="53" t="s">
        <v>64</v>
      </c>
      <c r="M9" s="53">
        <v>10</v>
      </c>
      <c r="N9" s="53">
        <v>26</v>
      </c>
      <c r="O9" s="53">
        <v>29</v>
      </c>
      <c r="P9" s="53">
        <v>10</v>
      </c>
      <c r="Q9" s="55">
        <v>4.5</v>
      </c>
      <c r="R9" s="57">
        <v>16.600000000000001</v>
      </c>
      <c r="S9" s="57">
        <v>92</v>
      </c>
      <c r="T9" s="57">
        <v>49.8</v>
      </c>
      <c r="U9" s="53">
        <v>637</v>
      </c>
      <c r="V9" s="53">
        <v>92</v>
      </c>
      <c r="W9" s="53">
        <v>178</v>
      </c>
      <c r="X9" s="53">
        <v>34</v>
      </c>
      <c r="Y9" s="53">
        <v>2</v>
      </c>
      <c r="Z9" s="53">
        <v>31</v>
      </c>
      <c r="AA9" s="53">
        <v>94</v>
      </c>
      <c r="AB9" s="53">
        <v>56</v>
      </c>
      <c r="AC9" s="53">
        <v>117</v>
      </c>
      <c r="AD9" s="56">
        <v>0.28000000000000003</v>
      </c>
      <c r="AE9" s="56">
        <v>0.33800000000000002</v>
      </c>
      <c r="AF9" s="56">
        <v>0.48799999999999999</v>
      </c>
      <c r="AG9" s="56">
        <v>0.82599999999999996</v>
      </c>
      <c r="AH9" s="53">
        <v>122</v>
      </c>
      <c r="AI9" s="53">
        <v>311</v>
      </c>
      <c r="AJ9" s="55">
        <v>5.7</v>
      </c>
      <c r="AK9" s="60">
        <v>10</v>
      </c>
      <c r="AL9" s="58"/>
      <c r="AM9" s="58"/>
      <c r="AN9" s="58"/>
      <c r="AO9" s="58"/>
      <c r="AY9" s="1">
        <f t="shared" si="1"/>
        <v>0</v>
      </c>
      <c r="AZ9" s="1">
        <f t="shared" si="2"/>
        <v>0</v>
      </c>
      <c r="BA9" s="1">
        <f t="shared" si="3"/>
        <v>0</v>
      </c>
      <c r="BB9" s="1">
        <f t="shared" si="4"/>
        <v>1</v>
      </c>
      <c r="BC9" s="1">
        <f t="shared" si="5"/>
        <v>0</v>
      </c>
      <c r="BD9" s="1">
        <f t="shared" si="6"/>
        <v>0</v>
      </c>
    </row>
    <row r="10" spans="1:56">
      <c r="A10" s="45" t="s">
        <v>127</v>
      </c>
      <c r="B10" s="46" t="s">
        <v>35</v>
      </c>
      <c r="C10" s="58"/>
      <c r="D10" s="58"/>
      <c r="E10" s="58"/>
      <c r="F10" s="58"/>
      <c r="G10" s="58"/>
      <c r="H10" s="58"/>
      <c r="I10" s="47">
        <v>27</v>
      </c>
      <c r="J10" s="48">
        <f t="shared" si="0"/>
        <v>1.4313637641589874</v>
      </c>
      <c r="K10" s="46" t="s">
        <v>13</v>
      </c>
      <c r="L10" s="46" t="s">
        <v>27</v>
      </c>
      <c r="M10" s="46">
        <v>6</v>
      </c>
      <c r="N10" s="46">
        <v>32</v>
      </c>
      <c r="O10" s="46">
        <v>32</v>
      </c>
      <c r="P10" s="46">
        <v>12</v>
      </c>
      <c r="Q10" s="49">
        <v>4.0999999999999996</v>
      </c>
      <c r="R10" s="51">
        <v>19.7</v>
      </c>
      <c r="S10" s="51">
        <v>90.7</v>
      </c>
      <c r="T10" s="51">
        <v>46.2</v>
      </c>
      <c r="U10" s="46">
        <v>597</v>
      </c>
      <c r="V10" s="46">
        <v>100</v>
      </c>
      <c r="W10" s="46">
        <v>176</v>
      </c>
      <c r="X10" s="46">
        <v>38</v>
      </c>
      <c r="Y10" s="46">
        <v>3</v>
      </c>
      <c r="Z10" s="46">
        <v>28</v>
      </c>
      <c r="AA10" s="46">
        <v>97</v>
      </c>
      <c r="AB10" s="46">
        <v>80</v>
      </c>
      <c r="AC10" s="46">
        <v>136</v>
      </c>
      <c r="AD10" s="50">
        <v>0.29499999999999998</v>
      </c>
      <c r="AE10" s="50">
        <v>0.38400000000000001</v>
      </c>
      <c r="AF10" s="50">
        <v>0.50900000000000001</v>
      </c>
      <c r="AG10" s="50">
        <v>0.89300000000000002</v>
      </c>
      <c r="AH10" s="46">
        <v>138</v>
      </c>
      <c r="AI10" s="46">
        <v>304</v>
      </c>
      <c r="AJ10" s="49">
        <v>4.5</v>
      </c>
      <c r="AK10" s="59">
        <v>5</v>
      </c>
      <c r="AL10" s="58"/>
      <c r="AM10" s="58"/>
      <c r="AN10" s="58"/>
      <c r="AO10" s="58"/>
      <c r="AY10" s="2">
        <f t="shared" si="1"/>
        <v>0</v>
      </c>
      <c r="AZ10" s="2">
        <f t="shared" si="2"/>
        <v>1</v>
      </c>
      <c r="BA10" s="2">
        <f t="shared" si="3"/>
        <v>0</v>
      </c>
      <c r="BB10" s="2">
        <f t="shared" si="4"/>
        <v>0</v>
      </c>
      <c r="BC10" s="2">
        <f t="shared" si="5"/>
        <v>0</v>
      </c>
      <c r="BD10" s="2">
        <f t="shared" si="6"/>
        <v>0</v>
      </c>
    </row>
    <row r="11" spans="1:56">
      <c r="A11" s="52" t="s">
        <v>82</v>
      </c>
      <c r="B11" s="53" t="s">
        <v>2</v>
      </c>
      <c r="C11" s="58"/>
      <c r="D11" s="58"/>
      <c r="E11" s="58"/>
      <c r="F11" s="58"/>
      <c r="G11" s="58"/>
      <c r="H11" s="58"/>
      <c r="I11" s="54">
        <f>188.5/7</f>
        <v>26.928571428571427</v>
      </c>
      <c r="J11" s="48">
        <f t="shared" si="0"/>
        <v>1.4302133145275548</v>
      </c>
      <c r="K11" s="53" t="s">
        <v>13</v>
      </c>
      <c r="L11" s="53" t="s">
        <v>49</v>
      </c>
      <c r="M11" s="53">
        <v>7</v>
      </c>
      <c r="N11" s="53">
        <v>28</v>
      </c>
      <c r="O11" s="53">
        <v>30</v>
      </c>
      <c r="P11" s="53">
        <v>9</v>
      </c>
      <c r="Q11" s="55">
        <v>3.4</v>
      </c>
      <c r="R11" s="57">
        <v>21.4</v>
      </c>
      <c r="S11" s="57">
        <v>92.5</v>
      </c>
      <c r="T11" s="57">
        <v>51.9</v>
      </c>
      <c r="U11" s="53">
        <v>612</v>
      </c>
      <c r="V11" s="53">
        <v>103</v>
      </c>
      <c r="W11" s="53">
        <v>179</v>
      </c>
      <c r="X11" s="53">
        <v>35</v>
      </c>
      <c r="Y11" s="53">
        <v>4</v>
      </c>
      <c r="Z11" s="53">
        <v>24</v>
      </c>
      <c r="AA11" s="53">
        <v>85</v>
      </c>
      <c r="AB11" s="53">
        <v>83</v>
      </c>
      <c r="AC11" s="53">
        <v>151</v>
      </c>
      <c r="AD11" s="56">
        <v>0.29199999999999998</v>
      </c>
      <c r="AE11" s="56">
        <v>0.379</v>
      </c>
      <c r="AF11" s="56">
        <v>0.47699999999999998</v>
      </c>
      <c r="AG11" s="56">
        <v>0.85699999999999998</v>
      </c>
      <c r="AH11" s="53">
        <v>132</v>
      </c>
      <c r="AI11" s="53">
        <v>292</v>
      </c>
      <c r="AJ11" s="55">
        <v>4.9000000000000004</v>
      </c>
      <c r="AK11" s="60">
        <v>20</v>
      </c>
      <c r="AL11" s="58"/>
      <c r="AM11" s="58"/>
      <c r="AN11" s="58"/>
      <c r="AO11" s="58"/>
      <c r="AY11" s="2">
        <f t="shared" si="1"/>
        <v>0</v>
      </c>
      <c r="AZ11" s="2">
        <f t="shared" si="2"/>
        <v>0</v>
      </c>
      <c r="BA11" s="2">
        <f t="shared" si="3"/>
        <v>0</v>
      </c>
      <c r="BB11" s="2">
        <f t="shared" si="4"/>
        <v>0</v>
      </c>
      <c r="BC11" s="2">
        <f t="shared" si="5"/>
        <v>0</v>
      </c>
      <c r="BD11" s="2">
        <f t="shared" si="6"/>
        <v>1</v>
      </c>
    </row>
    <row r="12" spans="1:56">
      <c r="A12" s="45" t="s">
        <v>81</v>
      </c>
      <c r="B12" s="46" t="s">
        <v>35</v>
      </c>
      <c r="C12" s="58"/>
      <c r="D12" s="58"/>
      <c r="E12" s="58"/>
      <c r="F12" s="58"/>
      <c r="G12" s="58"/>
      <c r="H12" s="58"/>
      <c r="I12" s="47">
        <f>130/5</f>
        <v>26</v>
      </c>
      <c r="J12" s="48">
        <f t="shared" si="0"/>
        <v>1.414973347970818</v>
      </c>
      <c r="K12" s="46" t="s">
        <v>1</v>
      </c>
      <c r="L12" s="46" t="s">
        <v>80</v>
      </c>
      <c r="M12" s="46">
        <v>5</v>
      </c>
      <c r="N12" s="46">
        <v>31</v>
      </c>
      <c r="O12" s="46">
        <v>34</v>
      </c>
      <c r="P12" s="46">
        <v>11</v>
      </c>
      <c r="Q12" s="49">
        <v>4.4000000000000004</v>
      </c>
      <c r="R12" s="51">
        <v>22.3</v>
      </c>
      <c r="S12" s="51">
        <v>91.9</v>
      </c>
      <c r="T12" s="51">
        <v>49.4</v>
      </c>
      <c r="U12" s="46">
        <v>592</v>
      </c>
      <c r="V12" s="46">
        <v>104</v>
      </c>
      <c r="W12" s="46">
        <v>173</v>
      </c>
      <c r="X12" s="46">
        <v>38</v>
      </c>
      <c r="Y12" s="46">
        <v>2</v>
      </c>
      <c r="Z12" s="46">
        <v>31</v>
      </c>
      <c r="AA12" s="46">
        <v>102</v>
      </c>
      <c r="AB12" s="46">
        <v>92</v>
      </c>
      <c r="AC12" s="46">
        <v>155</v>
      </c>
      <c r="AD12" s="50">
        <v>0.29299999999999998</v>
      </c>
      <c r="AE12" s="50">
        <v>0.38900000000000001</v>
      </c>
      <c r="AF12" s="50">
        <v>0.52100000000000002</v>
      </c>
      <c r="AG12" s="50">
        <v>0.91100000000000003</v>
      </c>
      <c r="AH12" s="46">
        <v>142</v>
      </c>
      <c r="AI12" s="46">
        <v>308</v>
      </c>
      <c r="AJ12" s="49">
        <v>5.6</v>
      </c>
      <c r="AK12" s="59">
        <v>15</v>
      </c>
      <c r="AL12" s="58"/>
      <c r="AM12" s="58"/>
      <c r="AN12" s="58"/>
      <c r="AO12" s="58"/>
      <c r="AY12" s="1">
        <f t="shared" si="1"/>
        <v>0</v>
      </c>
      <c r="AZ12" s="1">
        <f t="shared" si="2"/>
        <v>1</v>
      </c>
      <c r="BA12" s="1">
        <f t="shared" si="3"/>
        <v>0</v>
      </c>
      <c r="BB12" s="1">
        <f t="shared" si="4"/>
        <v>0</v>
      </c>
      <c r="BC12" s="1">
        <f t="shared" si="5"/>
        <v>0</v>
      </c>
      <c r="BD12" s="1">
        <f t="shared" si="6"/>
        <v>0</v>
      </c>
    </row>
    <row r="13" spans="1:56">
      <c r="A13" s="52" t="s">
        <v>131</v>
      </c>
      <c r="B13" s="53" t="s">
        <v>6</v>
      </c>
      <c r="C13" s="58"/>
      <c r="D13" s="58"/>
      <c r="E13" s="58"/>
      <c r="F13" s="58"/>
      <c r="G13" s="58"/>
      <c r="H13" s="58"/>
      <c r="I13" s="54">
        <v>26</v>
      </c>
      <c r="J13" s="48">
        <f t="shared" si="0"/>
        <v>1.414973347970818</v>
      </c>
      <c r="K13" s="53" t="s">
        <v>1</v>
      </c>
      <c r="L13" s="53" t="s">
        <v>66</v>
      </c>
      <c r="M13" s="53">
        <v>7</v>
      </c>
      <c r="N13" s="53">
        <v>30</v>
      </c>
      <c r="O13" s="53">
        <v>30</v>
      </c>
      <c r="P13" s="53">
        <v>7</v>
      </c>
      <c r="Q13" s="55">
        <v>4.4000000000000004</v>
      </c>
      <c r="R13" s="57">
        <v>23.7</v>
      </c>
      <c r="S13" s="57">
        <v>88.2</v>
      </c>
      <c r="T13" s="57">
        <v>40.299999999999997</v>
      </c>
      <c r="U13" s="53">
        <v>602</v>
      </c>
      <c r="V13" s="53">
        <v>108</v>
      </c>
      <c r="W13" s="53">
        <v>167</v>
      </c>
      <c r="X13" s="53">
        <v>37</v>
      </c>
      <c r="Y13" s="53">
        <v>3</v>
      </c>
      <c r="Z13" s="53">
        <v>31</v>
      </c>
      <c r="AA13" s="53">
        <v>89</v>
      </c>
      <c r="AB13" s="53">
        <v>81</v>
      </c>
      <c r="AC13" s="53">
        <v>166</v>
      </c>
      <c r="AD13" s="56">
        <v>0.27800000000000002</v>
      </c>
      <c r="AE13" s="56">
        <v>0.376</v>
      </c>
      <c r="AF13" s="56">
        <v>0.504</v>
      </c>
      <c r="AG13" s="56">
        <v>0.88</v>
      </c>
      <c r="AH13" s="53">
        <v>132</v>
      </c>
      <c r="AI13" s="53">
        <v>304</v>
      </c>
      <c r="AJ13" s="55">
        <v>5.3</v>
      </c>
      <c r="AK13" s="60">
        <v>8</v>
      </c>
      <c r="AL13" s="58"/>
      <c r="AM13" s="58"/>
      <c r="AN13" s="58"/>
      <c r="AO13" s="58"/>
      <c r="AY13" s="1">
        <f t="shared" si="1"/>
        <v>0</v>
      </c>
      <c r="AZ13" s="1">
        <f t="shared" si="2"/>
        <v>0</v>
      </c>
      <c r="BA13" s="1">
        <f t="shared" si="3"/>
        <v>0</v>
      </c>
      <c r="BB13" s="1">
        <f t="shared" si="4"/>
        <v>1</v>
      </c>
      <c r="BC13" s="1">
        <f t="shared" si="5"/>
        <v>0</v>
      </c>
      <c r="BD13" s="1">
        <f t="shared" si="6"/>
        <v>0</v>
      </c>
    </row>
    <row r="14" spans="1:56">
      <c r="A14" s="45" t="s">
        <v>83</v>
      </c>
      <c r="B14" s="46" t="s">
        <v>2</v>
      </c>
      <c r="C14" s="58"/>
      <c r="D14" s="58"/>
      <c r="E14" s="58"/>
      <c r="F14" s="58"/>
      <c r="G14" s="58"/>
      <c r="H14" s="58"/>
      <c r="I14" s="47">
        <f>330/13</f>
        <v>25.384615384615383</v>
      </c>
      <c r="J14" s="48">
        <f t="shared" si="0"/>
        <v>1.4045705875710506</v>
      </c>
      <c r="K14" s="46" t="s">
        <v>13</v>
      </c>
      <c r="L14" s="46" t="s">
        <v>31</v>
      </c>
      <c r="M14" s="46">
        <v>13</v>
      </c>
      <c r="N14" s="46">
        <v>26</v>
      </c>
      <c r="O14" s="46">
        <v>30</v>
      </c>
      <c r="P14" s="46">
        <v>10</v>
      </c>
      <c r="Q14" s="49">
        <v>4.9000000000000004</v>
      </c>
      <c r="R14" s="51">
        <v>21.7</v>
      </c>
      <c r="S14" s="51">
        <v>91.9</v>
      </c>
      <c r="T14" s="51">
        <v>47.9</v>
      </c>
      <c r="U14" s="46">
        <v>575</v>
      </c>
      <c r="V14" s="46">
        <v>107</v>
      </c>
      <c r="W14" s="46">
        <v>161</v>
      </c>
      <c r="X14" s="46">
        <v>34</v>
      </c>
      <c r="Y14" s="46">
        <v>3</v>
      </c>
      <c r="Z14" s="46">
        <v>34</v>
      </c>
      <c r="AA14" s="46">
        <v>95</v>
      </c>
      <c r="AB14" s="46">
        <v>105</v>
      </c>
      <c r="AC14" s="46">
        <v>150</v>
      </c>
      <c r="AD14" s="50">
        <v>0.27900000000000003</v>
      </c>
      <c r="AE14" s="50">
        <v>0.39200000000000002</v>
      </c>
      <c r="AF14" s="50">
        <v>0.52400000000000002</v>
      </c>
      <c r="AG14" s="50">
        <v>0.91600000000000004</v>
      </c>
      <c r="AH14" s="46">
        <v>142</v>
      </c>
      <c r="AI14" s="46">
        <v>302</v>
      </c>
      <c r="AJ14" s="49">
        <v>5.0999999999999996</v>
      </c>
      <c r="AK14" s="59">
        <v>14</v>
      </c>
      <c r="AL14" s="58"/>
      <c r="AM14" s="58"/>
      <c r="AN14" s="58"/>
      <c r="AO14" s="58"/>
      <c r="AY14" s="1">
        <f t="shared" si="1"/>
        <v>0</v>
      </c>
      <c r="AZ14" s="1">
        <f t="shared" si="2"/>
        <v>0</v>
      </c>
      <c r="BA14" s="1">
        <f t="shared" si="3"/>
        <v>0</v>
      </c>
      <c r="BB14" s="1">
        <f t="shared" si="4"/>
        <v>0</v>
      </c>
      <c r="BC14" s="1">
        <f t="shared" si="5"/>
        <v>0</v>
      </c>
      <c r="BD14" s="1">
        <f t="shared" si="6"/>
        <v>1</v>
      </c>
    </row>
    <row r="15" spans="1:56">
      <c r="A15" s="52" t="s">
        <v>88</v>
      </c>
      <c r="B15" s="53" t="s">
        <v>2</v>
      </c>
      <c r="C15" s="58"/>
      <c r="D15" s="58"/>
      <c r="E15" s="58"/>
      <c r="F15" s="58"/>
      <c r="G15" s="58"/>
      <c r="H15" s="58"/>
      <c r="I15" s="54">
        <f>150/6</f>
        <v>25</v>
      </c>
      <c r="J15" s="48">
        <f t="shared" si="0"/>
        <v>1.3979400086720377</v>
      </c>
      <c r="K15" s="53" t="s">
        <v>1</v>
      </c>
      <c r="L15" s="53" t="s">
        <v>0</v>
      </c>
      <c r="M15" s="53">
        <v>6</v>
      </c>
      <c r="N15" s="53">
        <v>31</v>
      </c>
      <c r="O15" s="53">
        <v>32</v>
      </c>
      <c r="P15" s="53">
        <v>8</v>
      </c>
      <c r="Q15" s="55">
        <v>5</v>
      </c>
      <c r="R15" s="57">
        <v>22.1</v>
      </c>
      <c r="S15" s="57">
        <v>89.7</v>
      </c>
      <c r="T15" s="57">
        <v>44.1</v>
      </c>
      <c r="U15" s="53">
        <v>628</v>
      </c>
      <c r="V15" s="53">
        <v>116</v>
      </c>
      <c r="W15" s="53">
        <v>169</v>
      </c>
      <c r="X15" s="53">
        <v>29</v>
      </c>
      <c r="Y15" s="53">
        <v>3</v>
      </c>
      <c r="Z15" s="53">
        <v>36</v>
      </c>
      <c r="AA15" s="53">
        <v>94</v>
      </c>
      <c r="AB15" s="53">
        <v>80</v>
      </c>
      <c r="AC15" s="53">
        <v>160</v>
      </c>
      <c r="AD15" s="56">
        <v>0.26900000000000002</v>
      </c>
      <c r="AE15" s="56">
        <v>0.36</v>
      </c>
      <c r="AF15" s="56">
        <v>0.497</v>
      </c>
      <c r="AG15" s="56">
        <v>0.85699999999999998</v>
      </c>
      <c r="AH15" s="53">
        <v>132</v>
      </c>
      <c r="AI15" s="53">
        <v>312</v>
      </c>
      <c r="AJ15" s="55">
        <v>5.6</v>
      </c>
      <c r="AK15" s="60">
        <v>10</v>
      </c>
      <c r="AL15" s="58"/>
      <c r="AM15" s="58"/>
      <c r="AN15" s="58"/>
      <c r="AO15" s="58"/>
      <c r="AY15" s="1">
        <f t="shared" si="1"/>
        <v>0</v>
      </c>
      <c r="AZ15" s="1">
        <f t="shared" si="2"/>
        <v>0</v>
      </c>
      <c r="BA15" s="1">
        <f t="shared" si="3"/>
        <v>0</v>
      </c>
      <c r="BB15" s="1">
        <f t="shared" si="4"/>
        <v>0</v>
      </c>
      <c r="BC15" s="1">
        <f t="shared" si="5"/>
        <v>0</v>
      </c>
      <c r="BD15" s="1">
        <f t="shared" si="6"/>
        <v>1</v>
      </c>
    </row>
    <row r="16" spans="1:56">
      <c r="A16" s="45" t="s">
        <v>87</v>
      </c>
      <c r="B16" s="46" t="s">
        <v>2</v>
      </c>
      <c r="C16" s="58"/>
      <c r="D16" s="58"/>
      <c r="E16" s="58"/>
      <c r="F16" s="58"/>
      <c r="G16" s="58"/>
      <c r="H16" s="58"/>
      <c r="I16" s="47">
        <f>325/13</f>
        <v>25</v>
      </c>
      <c r="J16" s="48">
        <f t="shared" si="0"/>
        <v>1.3979400086720377</v>
      </c>
      <c r="K16" s="46" t="s">
        <v>1</v>
      </c>
      <c r="L16" s="46" t="s">
        <v>15</v>
      </c>
      <c r="M16" s="46">
        <v>13</v>
      </c>
      <c r="N16" s="46">
        <v>25</v>
      </c>
      <c r="O16" s="46">
        <v>32</v>
      </c>
      <c r="P16" s="46">
        <v>12</v>
      </c>
      <c r="Q16" s="49">
        <v>6.2</v>
      </c>
      <c r="R16" s="51">
        <v>28</v>
      </c>
      <c r="S16" s="51">
        <v>94.7</v>
      </c>
      <c r="T16" s="51">
        <v>55</v>
      </c>
      <c r="U16" s="46">
        <v>592</v>
      </c>
      <c r="V16" s="46">
        <v>93</v>
      </c>
      <c r="W16" s="46">
        <v>159</v>
      </c>
      <c r="X16" s="46">
        <v>32</v>
      </c>
      <c r="Y16" s="46">
        <v>1</v>
      </c>
      <c r="Z16" s="46">
        <v>42</v>
      </c>
      <c r="AA16" s="46">
        <v>109</v>
      </c>
      <c r="AB16" s="46">
        <v>79</v>
      </c>
      <c r="AC16" s="46">
        <v>191</v>
      </c>
      <c r="AD16" s="50">
        <v>0.26800000000000002</v>
      </c>
      <c r="AE16" s="50">
        <v>0.35799999999999998</v>
      </c>
      <c r="AF16" s="50">
        <v>0.54300000000000004</v>
      </c>
      <c r="AG16" s="50">
        <v>0.90100000000000002</v>
      </c>
      <c r="AH16" s="46">
        <v>143</v>
      </c>
      <c r="AI16" s="46">
        <v>321</v>
      </c>
      <c r="AJ16" s="49">
        <v>5.4</v>
      </c>
      <c r="AK16" s="59">
        <v>5</v>
      </c>
      <c r="AL16" s="58"/>
      <c r="AM16" s="58"/>
      <c r="AN16" s="58"/>
      <c r="AO16" s="58"/>
      <c r="AY16" s="2">
        <f t="shared" si="1"/>
        <v>0</v>
      </c>
      <c r="AZ16" s="2">
        <f t="shared" si="2"/>
        <v>0</v>
      </c>
      <c r="BA16" s="2">
        <f t="shared" si="3"/>
        <v>0</v>
      </c>
      <c r="BB16" s="2">
        <f t="shared" si="4"/>
        <v>0</v>
      </c>
      <c r="BC16" s="2">
        <f t="shared" si="5"/>
        <v>0</v>
      </c>
      <c r="BD16" s="2">
        <f t="shared" si="6"/>
        <v>1</v>
      </c>
    </row>
    <row r="17" spans="1:56">
      <c r="A17" s="52" t="s">
        <v>79</v>
      </c>
      <c r="B17" s="53" t="s">
        <v>32</v>
      </c>
      <c r="C17" s="58"/>
      <c r="D17" s="58"/>
      <c r="E17" s="58"/>
      <c r="F17" s="58"/>
      <c r="G17" s="58"/>
      <c r="H17" s="58"/>
      <c r="I17" s="54">
        <f>175/7</f>
        <v>25</v>
      </c>
      <c r="J17" s="48">
        <f t="shared" si="0"/>
        <v>1.3979400086720377</v>
      </c>
      <c r="K17" s="53" t="s">
        <v>1</v>
      </c>
      <c r="L17" s="53" t="s">
        <v>78</v>
      </c>
      <c r="M17" s="53">
        <v>7</v>
      </c>
      <c r="N17" s="53">
        <v>31</v>
      </c>
      <c r="O17" s="53">
        <v>31</v>
      </c>
      <c r="P17" s="53">
        <v>9</v>
      </c>
      <c r="Q17" s="55">
        <v>3.7</v>
      </c>
      <c r="R17" s="57">
        <v>20.2</v>
      </c>
      <c r="S17" s="57">
        <v>88.2</v>
      </c>
      <c r="T17" s="57">
        <v>36.9</v>
      </c>
      <c r="U17" s="53">
        <v>622</v>
      </c>
      <c r="V17" s="53">
        <v>92</v>
      </c>
      <c r="W17" s="53">
        <v>159</v>
      </c>
      <c r="X17" s="53">
        <v>33</v>
      </c>
      <c r="Y17" s="53">
        <v>4</v>
      </c>
      <c r="Z17" s="53">
        <v>25</v>
      </c>
      <c r="AA17" s="53">
        <v>77</v>
      </c>
      <c r="AB17" s="53">
        <v>62</v>
      </c>
      <c r="AC17" s="53">
        <v>139</v>
      </c>
      <c r="AD17" s="56">
        <v>0.25600000000000001</v>
      </c>
      <c r="AE17" s="56">
        <v>0.32400000000000001</v>
      </c>
      <c r="AF17" s="56">
        <v>0.44400000000000001</v>
      </c>
      <c r="AG17" s="56">
        <v>0.76800000000000002</v>
      </c>
      <c r="AH17" s="53">
        <v>110</v>
      </c>
      <c r="AI17" s="53">
        <v>276</v>
      </c>
      <c r="AJ17" s="55">
        <v>4.5999999999999996</v>
      </c>
      <c r="AK17" s="60">
        <v>13</v>
      </c>
      <c r="AL17" s="58"/>
      <c r="AM17" s="58"/>
      <c r="AN17" s="58"/>
      <c r="AO17" s="58"/>
      <c r="AY17" s="1">
        <f t="shared" si="1"/>
        <v>0</v>
      </c>
      <c r="AZ17" s="1">
        <f t="shared" si="2"/>
        <v>0</v>
      </c>
      <c r="BA17" s="1">
        <f t="shared" si="3"/>
        <v>1</v>
      </c>
      <c r="BB17" s="1">
        <f t="shared" si="4"/>
        <v>0</v>
      </c>
      <c r="BC17" s="1">
        <f t="shared" si="5"/>
        <v>0</v>
      </c>
      <c r="BD17" s="1">
        <f t="shared" si="6"/>
        <v>0</v>
      </c>
    </row>
    <row r="18" spans="1:56">
      <c r="A18" s="45" t="s">
        <v>74</v>
      </c>
      <c r="B18" s="46" t="s">
        <v>32</v>
      </c>
      <c r="C18" s="58"/>
      <c r="D18" s="58"/>
      <c r="E18" s="58"/>
      <c r="F18" s="58"/>
      <c r="G18" s="58"/>
      <c r="H18" s="58"/>
      <c r="I18" s="47">
        <f>240/10</f>
        <v>24</v>
      </c>
      <c r="J18" s="48">
        <f t="shared" si="0"/>
        <v>1.3802112417116059</v>
      </c>
      <c r="K18" s="46" t="s">
        <v>13</v>
      </c>
      <c r="L18" s="46" t="s">
        <v>73</v>
      </c>
      <c r="M18" s="46">
        <v>10</v>
      </c>
      <c r="N18" s="46">
        <v>31</v>
      </c>
      <c r="O18" s="46">
        <v>40</v>
      </c>
      <c r="P18" s="46">
        <v>16</v>
      </c>
      <c r="Q18" s="49">
        <v>3.5</v>
      </c>
      <c r="R18" s="51">
        <v>12.6</v>
      </c>
      <c r="S18" s="51">
        <v>91.4</v>
      </c>
      <c r="T18" s="51">
        <v>49.1</v>
      </c>
      <c r="U18" s="46">
        <v>629</v>
      </c>
      <c r="V18" s="46">
        <v>91</v>
      </c>
      <c r="W18" s="46">
        <v>190</v>
      </c>
      <c r="X18" s="46">
        <v>41</v>
      </c>
      <c r="Y18" s="46">
        <v>2</v>
      </c>
      <c r="Z18" s="46">
        <v>24</v>
      </c>
      <c r="AA18" s="46">
        <v>94</v>
      </c>
      <c r="AB18" s="46">
        <v>45</v>
      </c>
      <c r="AC18" s="46">
        <v>86</v>
      </c>
      <c r="AD18" s="50">
        <v>0.30299999999999999</v>
      </c>
      <c r="AE18" s="50">
        <v>0.35199999999999998</v>
      </c>
      <c r="AF18" s="50">
        <v>0.49199999999999999</v>
      </c>
      <c r="AG18" s="50">
        <v>0.84399999999999997</v>
      </c>
      <c r="AH18" s="46">
        <v>126</v>
      </c>
      <c r="AI18" s="46">
        <v>309</v>
      </c>
      <c r="AJ18" s="49">
        <v>5</v>
      </c>
      <c r="AK18" s="59">
        <v>4</v>
      </c>
      <c r="AL18" s="58"/>
      <c r="AM18" s="58"/>
      <c r="AN18" s="58"/>
      <c r="AO18" s="58"/>
      <c r="AY18" s="2">
        <f t="shared" si="1"/>
        <v>0</v>
      </c>
      <c r="AZ18" s="2">
        <f t="shared" si="2"/>
        <v>0</v>
      </c>
      <c r="BA18" s="2">
        <f t="shared" si="3"/>
        <v>1</v>
      </c>
      <c r="BB18" s="2">
        <f t="shared" si="4"/>
        <v>0</v>
      </c>
      <c r="BC18" s="2">
        <f t="shared" si="5"/>
        <v>0</v>
      </c>
      <c r="BD18" s="2">
        <f t="shared" si="6"/>
        <v>0</v>
      </c>
    </row>
    <row r="19" spans="1:56">
      <c r="A19" s="52" t="s">
        <v>86</v>
      </c>
      <c r="B19" s="53" t="s">
        <v>32</v>
      </c>
      <c r="C19" s="58"/>
      <c r="D19" s="58"/>
      <c r="E19" s="58"/>
      <c r="F19" s="58"/>
      <c r="G19" s="58"/>
      <c r="H19" s="58"/>
      <c r="I19" s="54">
        <f>163.5/7</f>
        <v>23.357142857142858</v>
      </c>
      <c r="J19" s="48">
        <f t="shared" si="0"/>
        <v>1.368419716982048</v>
      </c>
      <c r="K19" s="53" t="s">
        <v>1</v>
      </c>
      <c r="L19" s="53" t="s">
        <v>25</v>
      </c>
      <c r="M19" s="53">
        <v>7</v>
      </c>
      <c r="N19" s="53">
        <v>28</v>
      </c>
      <c r="O19" s="53">
        <v>32</v>
      </c>
      <c r="P19" s="53">
        <v>11</v>
      </c>
      <c r="Q19" s="55">
        <v>2.6</v>
      </c>
      <c r="R19" s="57">
        <v>11.9</v>
      </c>
      <c r="S19" s="57">
        <v>86.7</v>
      </c>
      <c r="T19" s="57">
        <v>35.200000000000003</v>
      </c>
      <c r="U19" s="53">
        <v>651</v>
      </c>
      <c r="V19" s="53">
        <v>100</v>
      </c>
      <c r="W19" s="53">
        <v>200</v>
      </c>
      <c r="X19" s="53">
        <v>38</v>
      </c>
      <c r="Y19" s="53">
        <v>1</v>
      </c>
      <c r="Z19" s="53">
        <v>18</v>
      </c>
      <c r="AA19" s="53">
        <v>72</v>
      </c>
      <c r="AB19" s="53">
        <v>50</v>
      </c>
      <c r="AC19" s="53">
        <v>85</v>
      </c>
      <c r="AD19" s="56">
        <v>0.308</v>
      </c>
      <c r="AE19" s="56">
        <v>0.36</v>
      </c>
      <c r="AF19" s="56">
        <v>0.46200000000000002</v>
      </c>
      <c r="AG19" s="56">
        <v>0.82099999999999995</v>
      </c>
      <c r="AH19" s="53">
        <v>125</v>
      </c>
      <c r="AI19" s="53">
        <v>301</v>
      </c>
      <c r="AJ19" s="55">
        <v>4.7</v>
      </c>
      <c r="AK19" s="60">
        <v>29</v>
      </c>
      <c r="AL19" s="58"/>
      <c r="AM19" s="58"/>
      <c r="AN19" s="58"/>
      <c r="AO19" s="58"/>
      <c r="AY19" s="2">
        <f t="shared" si="1"/>
        <v>0</v>
      </c>
      <c r="AZ19" s="2">
        <f t="shared" si="2"/>
        <v>0</v>
      </c>
      <c r="BA19" s="2">
        <f t="shared" si="3"/>
        <v>1</v>
      </c>
      <c r="BB19" s="2">
        <f t="shared" si="4"/>
        <v>0</v>
      </c>
      <c r="BC19" s="2">
        <f t="shared" si="5"/>
        <v>0</v>
      </c>
      <c r="BD19" s="2">
        <f t="shared" si="6"/>
        <v>0</v>
      </c>
    </row>
    <row r="20" spans="1:56">
      <c r="A20" s="45" t="s">
        <v>63</v>
      </c>
      <c r="B20" s="46" t="s">
        <v>9</v>
      </c>
      <c r="C20" s="58"/>
      <c r="D20" s="58"/>
      <c r="E20" s="58"/>
      <c r="F20" s="58"/>
      <c r="G20" s="58"/>
      <c r="H20" s="58"/>
      <c r="I20" s="47">
        <f>140/6</f>
        <v>23.333333333333332</v>
      </c>
      <c r="J20" s="48">
        <f t="shared" si="0"/>
        <v>1.3679767852945943</v>
      </c>
      <c r="K20" s="46" t="s">
        <v>1</v>
      </c>
      <c r="L20" s="46" t="s">
        <v>62</v>
      </c>
      <c r="M20" s="46">
        <v>6</v>
      </c>
      <c r="N20" s="46">
        <v>29</v>
      </c>
      <c r="O20" s="46">
        <v>29</v>
      </c>
      <c r="P20" s="46">
        <v>8</v>
      </c>
      <c r="Q20" s="49">
        <v>4.5999999999999996</v>
      </c>
      <c r="R20" s="51">
        <v>29.3</v>
      </c>
      <c r="S20" s="51">
        <v>89.9</v>
      </c>
      <c r="T20" s="51">
        <v>44.9</v>
      </c>
      <c r="U20" s="46">
        <v>571</v>
      </c>
      <c r="V20" s="46">
        <v>85</v>
      </c>
      <c r="W20" s="46">
        <v>151</v>
      </c>
      <c r="X20" s="46">
        <v>30</v>
      </c>
      <c r="Y20" s="46">
        <v>4</v>
      </c>
      <c r="Z20" s="46">
        <v>28</v>
      </c>
      <c r="AA20" s="46">
        <v>87</v>
      </c>
      <c r="AB20" s="46">
        <v>29</v>
      </c>
      <c r="AC20" s="46">
        <v>179</v>
      </c>
      <c r="AD20" s="50">
        <v>0.26400000000000001</v>
      </c>
      <c r="AE20" s="50">
        <v>0.307</v>
      </c>
      <c r="AF20" s="50">
        <v>0.47699999999999998</v>
      </c>
      <c r="AG20" s="50">
        <v>0.78300000000000003</v>
      </c>
      <c r="AH20" s="46">
        <v>104</v>
      </c>
      <c r="AI20" s="46">
        <v>272</v>
      </c>
      <c r="AJ20" s="49">
        <v>4.4000000000000004</v>
      </c>
      <c r="AK20" s="59">
        <v>15</v>
      </c>
      <c r="AL20" s="58"/>
      <c r="AM20" s="58"/>
      <c r="AN20" s="58"/>
      <c r="AO20" s="58"/>
      <c r="AY20" s="2">
        <f t="shared" si="1"/>
        <v>0</v>
      </c>
      <c r="AZ20" s="2">
        <f t="shared" si="2"/>
        <v>0</v>
      </c>
      <c r="BA20" s="2">
        <f t="shared" si="3"/>
        <v>0</v>
      </c>
      <c r="BB20" s="2">
        <f t="shared" si="4"/>
        <v>0</v>
      </c>
      <c r="BC20" s="2">
        <f t="shared" si="5"/>
        <v>1</v>
      </c>
      <c r="BD20" s="2">
        <f t="shared" si="6"/>
        <v>0</v>
      </c>
    </row>
    <row r="21" spans="1:56">
      <c r="A21" s="52" t="s">
        <v>129</v>
      </c>
      <c r="B21" s="53" t="s">
        <v>9</v>
      </c>
      <c r="C21" s="58"/>
      <c r="D21" s="58"/>
      <c r="E21" s="58"/>
      <c r="F21" s="58"/>
      <c r="G21" s="58"/>
      <c r="H21" s="58"/>
      <c r="I21" s="54">
        <v>23.332999999999998</v>
      </c>
      <c r="J21" s="48">
        <f t="shared" si="0"/>
        <v>1.3679705810433938</v>
      </c>
      <c r="K21" s="53" t="s">
        <v>1</v>
      </c>
      <c r="L21" s="53" t="s">
        <v>12</v>
      </c>
      <c r="M21" s="53">
        <v>6</v>
      </c>
      <c r="N21" s="53">
        <v>29</v>
      </c>
      <c r="O21" s="53">
        <v>29</v>
      </c>
      <c r="P21" s="53">
        <v>6</v>
      </c>
      <c r="Q21" s="55">
        <v>5</v>
      </c>
      <c r="R21" s="57">
        <v>27.6</v>
      </c>
      <c r="S21" s="57">
        <v>90.9</v>
      </c>
      <c r="T21" s="57">
        <v>45.9</v>
      </c>
      <c r="U21" s="53">
        <v>614</v>
      </c>
      <c r="V21" s="53">
        <v>101</v>
      </c>
      <c r="W21" s="53">
        <v>167</v>
      </c>
      <c r="X21" s="53">
        <v>39</v>
      </c>
      <c r="Y21" s="53">
        <v>6</v>
      </c>
      <c r="Z21" s="53">
        <v>34</v>
      </c>
      <c r="AA21" s="53">
        <v>98</v>
      </c>
      <c r="AB21" s="53">
        <v>58</v>
      </c>
      <c r="AC21" s="53">
        <v>188</v>
      </c>
      <c r="AD21" s="56">
        <v>0.27200000000000002</v>
      </c>
      <c r="AE21" s="56">
        <v>0.34</v>
      </c>
      <c r="AF21" s="56">
        <v>0.52300000000000002</v>
      </c>
      <c r="AG21" s="56">
        <v>0.86299999999999999</v>
      </c>
      <c r="AH21" s="53">
        <v>112</v>
      </c>
      <c r="AI21" s="53">
        <v>321</v>
      </c>
      <c r="AJ21" s="55">
        <v>5.8</v>
      </c>
      <c r="AK21" s="60">
        <v>22</v>
      </c>
      <c r="AL21" s="58"/>
      <c r="AM21" s="58"/>
      <c r="AN21" s="58"/>
      <c r="AO21" s="58"/>
      <c r="AY21" s="2">
        <f t="shared" si="1"/>
        <v>0</v>
      </c>
      <c r="AZ21" s="2">
        <f t="shared" si="2"/>
        <v>0</v>
      </c>
      <c r="BA21" s="2">
        <f t="shared" si="3"/>
        <v>0</v>
      </c>
      <c r="BB21" s="2">
        <f t="shared" si="4"/>
        <v>0</v>
      </c>
      <c r="BC21" s="2">
        <f t="shared" si="5"/>
        <v>1</v>
      </c>
      <c r="BD21" s="2">
        <f t="shared" si="6"/>
        <v>0</v>
      </c>
    </row>
    <row r="22" spans="1:56">
      <c r="A22" s="45" t="s">
        <v>72</v>
      </c>
      <c r="B22" s="46" t="s">
        <v>53</v>
      </c>
      <c r="C22" s="58"/>
      <c r="D22" s="58"/>
      <c r="E22" s="58"/>
      <c r="F22" s="58"/>
      <c r="G22" s="58"/>
      <c r="H22" s="58"/>
      <c r="I22" s="47">
        <f>115.5/5</f>
        <v>23.1</v>
      </c>
      <c r="J22" s="48">
        <f t="shared" si="0"/>
        <v>1.3636119798921444</v>
      </c>
      <c r="K22" s="46" t="s">
        <v>1</v>
      </c>
      <c r="L22" s="46" t="s">
        <v>31</v>
      </c>
      <c r="M22" s="46">
        <v>5</v>
      </c>
      <c r="N22" s="46">
        <v>30</v>
      </c>
      <c r="O22" s="46">
        <v>32</v>
      </c>
      <c r="P22" s="46">
        <v>8</v>
      </c>
      <c r="Q22" s="49">
        <v>3.2</v>
      </c>
      <c r="R22" s="51">
        <v>19.8</v>
      </c>
      <c r="S22" s="51">
        <v>89.6</v>
      </c>
      <c r="T22" s="51">
        <v>42.1</v>
      </c>
      <c r="U22" s="46">
        <v>594</v>
      </c>
      <c r="V22" s="46">
        <v>83</v>
      </c>
      <c r="W22" s="46">
        <v>163</v>
      </c>
      <c r="X22" s="46">
        <v>34</v>
      </c>
      <c r="Y22" s="46">
        <v>4</v>
      </c>
      <c r="Z22" s="46">
        <v>21</v>
      </c>
      <c r="AA22" s="46">
        <v>81</v>
      </c>
      <c r="AB22" s="46">
        <v>42</v>
      </c>
      <c r="AC22" s="46">
        <v>129</v>
      </c>
      <c r="AD22" s="50">
        <v>0.27500000000000002</v>
      </c>
      <c r="AE22" s="50">
        <v>0.33100000000000002</v>
      </c>
      <c r="AF22" s="50">
        <v>0.45300000000000001</v>
      </c>
      <c r="AG22" s="50">
        <v>0.78300000000000003</v>
      </c>
      <c r="AH22" s="46">
        <v>111</v>
      </c>
      <c r="AI22" s="46">
        <v>269</v>
      </c>
      <c r="AJ22" s="49">
        <v>4.4000000000000004</v>
      </c>
      <c r="AK22" s="59">
        <v>11</v>
      </c>
      <c r="AL22" s="58"/>
      <c r="AM22" s="58"/>
      <c r="AN22" s="58"/>
      <c r="AO22" s="58"/>
      <c r="AY22" s="2">
        <f t="shared" si="1"/>
        <v>1</v>
      </c>
      <c r="AZ22" s="2">
        <f t="shared" si="2"/>
        <v>0</v>
      </c>
      <c r="BA22" s="2">
        <f t="shared" si="3"/>
        <v>0</v>
      </c>
      <c r="BB22" s="2">
        <f t="shared" si="4"/>
        <v>0</v>
      </c>
      <c r="BC22" s="2">
        <f t="shared" si="5"/>
        <v>0</v>
      </c>
      <c r="BD22" s="2">
        <f t="shared" si="6"/>
        <v>0</v>
      </c>
    </row>
    <row r="23" spans="1:56">
      <c r="A23" s="45" t="s">
        <v>71</v>
      </c>
      <c r="B23" s="46" t="s">
        <v>6</v>
      </c>
      <c r="C23" s="58"/>
      <c r="D23" s="58"/>
      <c r="E23" s="58"/>
      <c r="F23" s="58"/>
      <c r="G23" s="58"/>
      <c r="H23" s="58"/>
      <c r="I23" s="47">
        <f>92/4</f>
        <v>23</v>
      </c>
      <c r="J23" s="48">
        <f t="shared" si="0"/>
        <v>1.3617278360175928</v>
      </c>
      <c r="K23" s="46" t="s">
        <v>1</v>
      </c>
      <c r="L23" s="46" t="s">
        <v>70</v>
      </c>
      <c r="M23" s="46">
        <v>4</v>
      </c>
      <c r="N23" s="46">
        <v>34</v>
      </c>
      <c r="O23" s="46">
        <v>36</v>
      </c>
      <c r="P23" s="46">
        <v>11</v>
      </c>
      <c r="Q23" s="49">
        <v>4.9000000000000004</v>
      </c>
      <c r="R23" s="51">
        <v>20</v>
      </c>
      <c r="S23" s="51">
        <v>93.1</v>
      </c>
      <c r="T23" s="51">
        <v>52.8</v>
      </c>
      <c r="U23" s="46">
        <v>591</v>
      </c>
      <c r="V23" s="46">
        <v>100</v>
      </c>
      <c r="W23" s="46">
        <v>159</v>
      </c>
      <c r="X23" s="46">
        <v>34</v>
      </c>
      <c r="Y23" s="46">
        <v>2</v>
      </c>
      <c r="Z23" s="46">
        <v>34</v>
      </c>
      <c r="AA23" s="46">
        <v>98</v>
      </c>
      <c r="AB23" s="46">
        <v>88</v>
      </c>
      <c r="AC23" s="46">
        <v>138</v>
      </c>
      <c r="AD23" s="50">
        <v>0.26900000000000002</v>
      </c>
      <c r="AE23" s="50">
        <v>0.36699999999999999</v>
      </c>
      <c r="AF23" s="50">
        <v>0.505</v>
      </c>
      <c r="AG23" s="50">
        <v>0.872</v>
      </c>
      <c r="AH23" s="46">
        <v>135</v>
      </c>
      <c r="AI23" s="46">
        <v>298</v>
      </c>
      <c r="AJ23" s="49">
        <v>6</v>
      </c>
      <c r="AK23" s="59">
        <v>5</v>
      </c>
      <c r="AL23" s="58"/>
      <c r="AM23" s="58"/>
      <c r="AN23" s="58"/>
      <c r="AO23" s="58"/>
      <c r="AY23" s="1">
        <f t="shared" si="1"/>
        <v>0</v>
      </c>
      <c r="AZ23" s="1">
        <f t="shared" si="2"/>
        <v>0</v>
      </c>
      <c r="BA23" s="1">
        <f t="shared" si="3"/>
        <v>0</v>
      </c>
      <c r="BB23" s="1">
        <f t="shared" si="4"/>
        <v>1</v>
      </c>
      <c r="BC23" s="1">
        <f t="shared" si="5"/>
        <v>0</v>
      </c>
      <c r="BD23" s="1">
        <f t="shared" si="6"/>
        <v>0</v>
      </c>
    </row>
    <row r="24" spans="1:56">
      <c r="A24" s="52" t="s">
        <v>76</v>
      </c>
      <c r="B24" s="53" t="s">
        <v>2</v>
      </c>
      <c r="C24" s="58"/>
      <c r="D24" s="58"/>
      <c r="E24" s="58"/>
      <c r="F24" s="58"/>
      <c r="G24" s="58"/>
      <c r="H24" s="58"/>
      <c r="I24" s="54">
        <f>184/8</f>
        <v>23</v>
      </c>
      <c r="J24" s="48">
        <f t="shared" si="0"/>
        <v>1.3617278360175928</v>
      </c>
      <c r="K24" s="53" t="s">
        <v>40</v>
      </c>
      <c r="L24" s="53" t="s">
        <v>75</v>
      </c>
      <c r="M24" s="53">
        <v>8</v>
      </c>
      <c r="N24" s="53">
        <v>26</v>
      </c>
      <c r="O24" s="53">
        <v>32</v>
      </c>
      <c r="P24" s="53">
        <v>12</v>
      </c>
      <c r="Q24" s="55">
        <v>2.6</v>
      </c>
      <c r="R24" s="57">
        <v>17.5</v>
      </c>
      <c r="S24" s="57">
        <v>88.6</v>
      </c>
      <c r="T24" s="57">
        <v>41.1</v>
      </c>
      <c r="U24" s="53">
        <v>570</v>
      </c>
      <c r="V24" s="53">
        <v>82</v>
      </c>
      <c r="W24" s="53">
        <v>148</v>
      </c>
      <c r="X24" s="53">
        <v>28</v>
      </c>
      <c r="Y24" s="53">
        <v>4</v>
      </c>
      <c r="Z24" s="53">
        <v>17</v>
      </c>
      <c r="AA24" s="53">
        <v>67</v>
      </c>
      <c r="AB24" s="53">
        <v>67</v>
      </c>
      <c r="AC24" s="53">
        <v>113</v>
      </c>
      <c r="AD24" s="56">
        <v>0.25900000000000001</v>
      </c>
      <c r="AE24" s="56">
        <v>0.34100000000000003</v>
      </c>
      <c r="AF24" s="56">
        <v>0.41</v>
      </c>
      <c r="AG24" s="56">
        <v>0.75</v>
      </c>
      <c r="AH24" s="53">
        <v>102</v>
      </c>
      <c r="AI24" s="53">
        <v>234</v>
      </c>
      <c r="AJ24" s="55">
        <v>4.2</v>
      </c>
      <c r="AK24" s="60">
        <v>12</v>
      </c>
      <c r="AL24" s="58"/>
      <c r="AM24" s="58"/>
      <c r="AN24" s="58"/>
      <c r="AO24" s="58"/>
      <c r="AY24" s="1">
        <f t="shared" si="1"/>
        <v>0</v>
      </c>
      <c r="AZ24" s="1">
        <f t="shared" si="2"/>
        <v>0</v>
      </c>
      <c r="BA24" s="1">
        <f t="shared" si="3"/>
        <v>0</v>
      </c>
      <c r="BB24" s="1">
        <f t="shared" si="4"/>
        <v>0</v>
      </c>
      <c r="BC24" s="1">
        <f t="shared" si="5"/>
        <v>0</v>
      </c>
      <c r="BD24" s="1">
        <f t="shared" si="6"/>
        <v>1</v>
      </c>
    </row>
    <row r="25" spans="1:56">
      <c r="A25" s="52" t="s">
        <v>77</v>
      </c>
      <c r="B25" s="53" t="s">
        <v>35</v>
      </c>
      <c r="C25" s="58"/>
      <c r="D25" s="58"/>
      <c r="E25" s="58"/>
      <c r="F25" s="58"/>
      <c r="G25" s="58"/>
      <c r="H25" s="58"/>
      <c r="I25" s="54">
        <f>225/10</f>
        <v>22.5</v>
      </c>
      <c r="J25" s="48">
        <f t="shared" si="0"/>
        <v>1.3521825181113625</v>
      </c>
      <c r="K25" s="53" t="s">
        <v>40</v>
      </c>
      <c r="L25" s="53" t="s">
        <v>17</v>
      </c>
      <c r="M25" s="53">
        <v>10</v>
      </c>
      <c r="N25" s="53">
        <v>30</v>
      </c>
      <c r="O25" s="53">
        <v>38</v>
      </c>
      <c r="P25" s="53">
        <v>15</v>
      </c>
      <c r="Q25" s="55">
        <v>4.0999999999999996</v>
      </c>
      <c r="R25" s="57">
        <v>18.2</v>
      </c>
      <c r="S25" s="57">
        <v>89.4</v>
      </c>
      <c r="T25" s="57">
        <v>41.2</v>
      </c>
      <c r="U25" s="53">
        <v>573</v>
      </c>
      <c r="V25" s="53">
        <v>95</v>
      </c>
      <c r="W25" s="53">
        <v>173</v>
      </c>
      <c r="X25" s="53">
        <v>37</v>
      </c>
      <c r="Y25" s="53">
        <v>2</v>
      </c>
      <c r="Z25" s="53">
        <v>28</v>
      </c>
      <c r="AA25" s="53">
        <v>91</v>
      </c>
      <c r="AB25" s="53">
        <v>110</v>
      </c>
      <c r="AC25" s="53">
        <v>126</v>
      </c>
      <c r="AD25" s="56">
        <v>0.30199999999999999</v>
      </c>
      <c r="AE25" s="56">
        <v>0.41599999999999998</v>
      </c>
      <c r="AF25" s="56">
        <v>0.52</v>
      </c>
      <c r="AG25" s="56">
        <v>0.93700000000000006</v>
      </c>
      <c r="AH25" s="53">
        <v>148</v>
      </c>
      <c r="AI25" s="53">
        <v>298</v>
      </c>
      <c r="AJ25" s="55">
        <v>5.5</v>
      </c>
      <c r="AK25" s="60">
        <v>7</v>
      </c>
      <c r="AL25" s="58"/>
      <c r="AM25" s="58"/>
      <c r="AN25" s="58"/>
      <c r="AO25" s="58"/>
      <c r="AY25" s="2">
        <f t="shared" si="1"/>
        <v>0</v>
      </c>
      <c r="AZ25" s="2">
        <f t="shared" si="2"/>
        <v>1</v>
      </c>
      <c r="BA25" s="2">
        <f t="shared" si="3"/>
        <v>0</v>
      </c>
      <c r="BB25" s="2">
        <f t="shared" si="4"/>
        <v>0</v>
      </c>
      <c r="BC25" s="2">
        <f t="shared" si="5"/>
        <v>0</v>
      </c>
      <c r="BD25" s="2">
        <f t="shared" si="6"/>
        <v>0</v>
      </c>
    </row>
    <row r="26" spans="1:56">
      <c r="A26" s="45" t="s">
        <v>57</v>
      </c>
      <c r="B26" s="46" t="s">
        <v>2</v>
      </c>
      <c r="C26" s="58"/>
      <c r="D26" s="58"/>
      <c r="E26" s="58"/>
      <c r="F26" s="58"/>
      <c r="G26" s="58"/>
      <c r="H26" s="58"/>
      <c r="I26" s="47">
        <f>110/5</f>
        <v>22</v>
      </c>
      <c r="J26" s="48">
        <f t="shared" si="0"/>
        <v>1.3424226808222062</v>
      </c>
      <c r="K26" s="46" t="s">
        <v>1</v>
      </c>
      <c r="L26" s="46" t="s">
        <v>12</v>
      </c>
      <c r="M26" s="46">
        <v>5</v>
      </c>
      <c r="N26" s="46">
        <v>30</v>
      </c>
      <c r="O26" s="46">
        <v>34</v>
      </c>
      <c r="P26" s="46">
        <v>11</v>
      </c>
      <c r="Q26" s="49">
        <v>5</v>
      </c>
      <c r="R26" s="51">
        <v>24.2</v>
      </c>
      <c r="S26" s="51">
        <v>91.9</v>
      </c>
      <c r="T26" s="51">
        <v>50.8</v>
      </c>
      <c r="U26" s="46">
        <v>606</v>
      </c>
      <c r="V26" s="46">
        <v>91</v>
      </c>
      <c r="W26" s="46">
        <v>176</v>
      </c>
      <c r="X26" s="46">
        <v>38</v>
      </c>
      <c r="Y26" s="46">
        <v>3</v>
      </c>
      <c r="Z26" s="46">
        <v>34</v>
      </c>
      <c r="AA26" s="46">
        <v>107</v>
      </c>
      <c r="AB26" s="46">
        <v>59</v>
      </c>
      <c r="AC26" s="46">
        <v>163</v>
      </c>
      <c r="AD26" s="50">
        <v>0.28999999999999998</v>
      </c>
      <c r="AE26" s="50">
        <v>0.35299999999999998</v>
      </c>
      <c r="AF26" s="50">
        <v>0.52800000000000002</v>
      </c>
      <c r="AG26" s="50">
        <v>0.88100000000000001</v>
      </c>
      <c r="AH26" s="46">
        <v>134</v>
      </c>
      <c r="AI26" s="46">
        <v>320</v>
      </c>
      <c r="AJ26" s="49">
        <v>3.4</v>
      </c>
      <c r="AK26" s="59">
        <v>3</v>
      </c>
      <c r="AL26" s="58"/>
      <c r="AM26" s="58"/>
      <c r="AN26" s="58"/>
      <c r="AO26" s="58"/>
      <c r="AY26" s="2">
        <f t="shared" si="1"/>
        <v>0</v>
      </c>
      <c r="AZ26" s="2">
        <f t="shared" si="2"/>
        <v>0</v>
      </c>
      <c r="BA26" s="2">
        <f t="shared" si="3"/>
        <v>0</v>
      </c>
      <c r="BB26" s="2">
        <f t="shared" si="4"/>
        <v>0</v>
      </c>
      <c r="BC26" s="2">
        <f t="shared" si="5"/>
        <v>0</v>
      </c>
      <c r="BD26" s="2">
        <f t="shared" si="6"/>
        <v>1</v>
      </c>
    </row>
    <row r="27" spans="1:56">
      <c r="A27" s="52" t="s">
        <v>85</v>
      </c>
      <c r="B27" s="53" t="s">
        <v>2</v>
      </c>
      <c r="C27" s="58"/>
      <c r="D27" s="58"/>
      <c r="E27" s="58"/>
      <c r="F27" s="58"/>
      <c r="G27" s="58"/>
      <c r="H27" s="58"/>
      <c r="I27" s="54">
        <f>106/5</f>
        <v>21.2</v>
      </c>
      <c r="J27" s="48">
        <f t="shared" si="0"/>
        <v>1.3263358609287514</v>
      </c>
      <c r="K27" s="53" t="s">
        <v>1</v>
      </c>
      <c r="L27" s="53" t="s">
        <v>84</v>
      </c>
      <c r="M27" s="53">
        <v>5</v>
      </c>
      <c r="N27" s="53">
        <v>30</v>
      </c>
      <c r="O27" s="53">
        <v>34</v>
      </c>
      <c r="P27" s="53">
        <v>15</v>
      </c>
      <c r="Q27" s="55">
        <v>4.3</v>
      </c>
      <c r="R27" s="57">
        <v>25.7</v>
      </c>
      <c r="S27" s="57">
        <v>90.6</v>
      </c>
      <c r="T27" s="57">
        <v>46.2</v>
      </c>
      <c r="U27" s="53">
        <v>591</v>
      </c>
      <c r="V27" s="53">
        <v>94</v>
      </c>
      <c r="W27" s="53">
        <v>155</v>
      </c>
      <c r="X27" s="53">
        <v>31</v>
      </c>
      <c r="Y27" s="53">
        <v>3</v>
      </c>
      <c r="Z27" s="53">
        <v>29</v>
      </c>
      <c r="AA27" s="53">
        <v>89</v>
      </c>
      <c r="AB27" s="53">
        <v>69</v>
      </c>
      <c r="AC27" s="53">
        <v>173</v>
      </c>
      <c r="AD27" s="56">
        <v>0.26200000000000001</v>
      </c>
      <c r="AE27" s="56">
        <v>0.34300000000000003</v>
      </c>
      <c r="AF27" s="56">
        <v>0.47099999999999997</v>
      </c>
      <c r="AG27" s="56">
        <v>0.81399999999999995</v>
      </c>
      <c r="AH27" s="53">
        <v>118</v>
      </c>
      <c r="AI27" s="53">
        <v>279</v>
      </c>
      <c r="AJ27" s="55">
        <v>2.9</v>
      </c>
      <c r="AK27" s="60">
        <v>13</v>
      </c>
      <c r="AL27" s="58"/>
      <c r="AM27" s="58"/>
      <c r="AN27" s="58"/>
      <c r="AO27" s="58"/>
      <c r="AY27" s="1">
        <f t="shared" si="1"/>
        <v>0</v>
      </c>
      <c r="AZ27" s="1">
        <f t="shared" si="2"/>
        <v>0</v>
      </c>
      <c r="BA27" s="1">
        <f t="shared" si="3"/>
        <v>0</v>
      </c>
      <c r="BB27" s="1">
        <f t="shared" si="4"/>
        <v>0</v>
      </c>
      <c r="BC27" s="1">
        <f t="shared" si="5"/>
        <v>0</v>
      </c>
      <c r="BD27" s="1">
        <f t="shared" si="6"/>
        <v>1</v>
      </c>
    </row>
    <row r="28" spans="1:56">
      <c r="A28" s="45" t="s">
        <v>126</v>
      </c>
      <c r="B28" s="46" t="s">
        <v>53</v>
      </c>
      <c r="C28" s="58"/>
      <c r="D28" s="58"/>
      <c r="E28" s="58"/>
      <c r="F28" s="58"/>
      <c r="G28" s="58"/>
      <c r="H28" s="58"/>
      <c r="I28" s="47">
        <f>82/4</f>
        <v>20.5</v>
      </c>
      <c r="J28" s="48">
        <f t="shared" si="0"/>
        <v>1.3117538610557542</v>
      </c>
      <c r="K28" s="46" t="s">
        <v>1</v>
      </c>
      <c r="L28" s="46" t="s">
        <v>52</v>
      </c>
      <c r="M28" s="46">
        <v>4</v>
      </c>
      <c r="N28" s="46">
        <v>31</v>
      </c>
      <c r="O28" s="46">
        <v>32</v>
      </c>
      <c r="P28" s="46">
        <v>10</v>
      </c>
      <c r="Q28" s="49">
        <v>4.4000000000000004</v>
      </c>
      <c r="R28" s="51">
        <v>17.7</v>
      </c>
      <c r="S28" s="51">
        <v>90.5</v>
      </c>
      <c r="T28" s="51">
        <v>46.8</v>
      </c>
      <c r="U28" s="46">
        <v>612</v>
      </c>
      <c r="V28" s="46">
        <v>70</v>
      </c>
      <c r="W28" s="46">
        <v>165</v>
      </c>
      <c r="X28" s="46">
        <v>30</v>
      </c>
      <c r="Y28" s="46">
        <v>1</v>
      </c>
      <c r="Z28" s="46">
        <v>28</v>
      </c>
      <c r="AA28" s="46">
        <v>93</v>
      </c>
      <c r="AB28" s="46">
        <v>23</v>
      </c>
      <c r="AC28" s="46">
        <v>114</v>
      </c>
      <c r="AD28" s="50">
        <v>0.27</v>
      </c>
      <c r="AE28" s="50">
        <v>0.30199999999999999</v>
      </c>
      <c r="AF28" s="50">
        <v>0.46300000000000002</v>
      </c>
      <c r="AG28" s="50">
        <v>0.76500000000000001</v>
      </c>
      <c r="AH28" s="46">
        <v>104</v>
      </c>
      <c r="AI28" s="46">
        <v>283</v>
      </c>
      <c r="AJ28" s="49">
        <v>4.2</v>
      </c>
      <c r="AK28" s="59">
        <v>1</v>
      </c>
      <c r="AL28" s="58"/>
      <c r="AM28" s="58"/>
      <c r="AN28" s="58"/>
      <c r="AO28" s="58"/>
      <c r="AY28" s="1">
        <f t="shared" si="1"/>
        <v>1</v>
      </c>
      <c r="AZ28" s="1">
        <f t="shared" si="2"/>
        <v>0</v>
      </c>
      <c r="BA28" s="1">
        <f t="shared" si="3"/>
        <v>0</v>
      </c>
      <c r="BB28" s="1">
        <f t="shared" si="4"/>
        <v>0</v>
      </c>
      <c r="BC28" s="1">
        <f t="shared" si="5"/>
        <v>0</v>
      </c>
      <c r="BD28" s="1">
        <f t="shared" si="6"/>
        <v>0</v>
      </c>
    </row>
    <row r="29" spans="1:56">
      <c r="A29" s="52" t="s">
        <v>61</v>
      </c>
      <c r="B29" s="53" t="s">
        <v>9</v>
      </c>
      <c r="C29" s="58"/>
      <c r="D29" s="58"/>
      <c r="E29" s="58"/>
      <c r="F29" s="58"/>
      <c r="G29" s="58"/>
      <c r="H29" s="58"/>
      <c r="I29" s="54">
        <f>120/6</f>
        <v>20</v>
      </c>
      <c r="J29" s="48">
        <f t="shared" si="0"/>
        <v>1.3010299956639813</v>
      </c>
      <c r="K29" s="53" t="s">
        <v>1</v>
      </c>
      <c r="L29" s="53" t="s">
        <v>12</v>
      </c>
      <c r="M29" s="53">
        <v>6</v>
      </c>
      <c r="N29" s="53">
        <v>26</v>
      </c>
      <c r="O29" s="53">
        <v>29</v>
      </c>
      <c r="P29" s="53">
        <v>9</v>
      </c>
      <c r="Q29" s="55">
        <v>3</v>
      </c>
      <c r="R29" s="57">
        <v>18.3</v>
      </c>
      <c r="S29" s="57">
        <v>89.4</v>
      </c>
      <c r="T29" s="57">
        <v>40.9</v>
      </c>
      <c r="U29" s="53">
        <v>622</v>
      </c>
      <c r="V29" s="53">
        <v>97</v>
      </c>
      <c r="W29" s="53">
        <v>180</v>
      </c>
      <c r="X29" s="53">
        <v>39</v>
      </c>
      <c r="Y29" s="53">
        <v>2</v>
      </c>
      <c r="Z29" s="53">
        <v>21</v>
      </c>
      <c r="AA29" s="53">
        <v>89</v>
      </c>
      <c r="AB29" s="53">
        <v>59</v>
      </c>
      <c r="AC29" s="53">
        <v>126</v>
      </c>
      <c r="AD29" s="56">
        <v>0.28999999999999998</v>
      </c>
      <c r="AE29" s="56">
        <v>0.35299999999999998</v>
      </c>
      <c r="AF29" s="56">
        <v>0.45900000000000002</v>
      </c>
      <c r="AG29" s="56">
        <v>0.81200000000000006</v>
      </c>
      <c r="AH29" s="53">
        <v>115</v>
      </c>
      <c r="AI29" s="53">
        <v>285</v>
      </c>
      <c r="AJ29" s="55">
        <v>4.2</v>
      </c>
      <c r="AK29" s="60">
        <v>10</v>
      </c>
      <c r="AL29" s="58"/>
      <c r="AM29" s="58"/>
      <c r="AN29" s="58"/>
      <c r="AO29" s="58"/>
      <c r="AY29" s="2">
        <f t="shared" si="1"/>
        <v>0</v>
      </c>
      <c r="AZ29" s="2">
        <f t="shared" si="2"/>
        <v>0</v>
      </c>
      <c r="BA29" s="2">
        <f t="shared" si="3"/>
        <v>0</v>
      </c>
      <c r="BB29" s="2">
        <f t="shared" si="4"/>
        <v>0</v>
      </c>
      <c r="BC29" s="2">
        <f t="shared" si="5"/>
        <v>1</v>
      </c>
      <c r="BD29" s="2">
        <f t="shared" si="6"/>
        <v>0</v>
      </c>
    </row>
    <row r="30" spans="1:56">
      <c r="A30" s="45" t="s">
        <v>26</v>
      </c>
      <c r="B30" s="46" t="s">
        <v>6</v>
      </c>
      <c r="C30" s="58"/>
      <c r="D30" s="58"/>
      <c r="E30" s="58"/>
      <c r="F30" s="58"/>
      <c r="G30" s="58"/>
      <c r="H30" s="58"/>
      <c r="I30" s="47">
        <f>100/5</f>
        <v>20</v>
      </c>
      <c r="J30" s="48">
        <f t="shared" si="0"/>
        <v>1.3010299956639813</v>
      </c>
      <c r="K30" s="46" t="s">
        <v>1</v>
      </c>
      <c r="L30" s="46" t="s">
        <v>25</v>
      </c>
      <c r="M30" s="46">
        <v>5</v>
      </c>
      <c r="N30" s="46">
        <v>25</v>
      </c>
      <c r="O30" s="46">
        <v>28</v>
      </c>
      <c r="P30" s="46">
        <v>6</v>
      </c>
      <c r="Q30" s="49">
        <v>4.2</v>
      </c>
      <c r="R30" s="51">
        <v>14.1</v>
      </c>
      <c r="S30" s="51">
        <v>89.2</v>
      </c>
      <c r="T30" s="51">
        <v>40.200000000000003</v>
      </c>
      <c r="U30" s="46">
        <v>600</v>
      </c>
      <c r="V30" s="46">
        <v>104</v>
      </c>
      <c r="W30" s="46">
        <v>168</v>
      </c>
      <c r="X30" s="46">
        <v>42</v>
      </c>
      <c r="Y30" s="46">
        <v>3</v>
      </c>
      <c r="Z30" s="46">
        <v>29</v>
      </c>
      <c r="AA30" s="46">
        <v>99</v>
      </c>
      <c r="AB30" s="46">
        <v>88</v>
      </c>
      <c r="AC30" s="46">
        <v>99</v>
      </c>
      <c r="AD30" s="50">
        <v>0.28100000000000003</v>
      </c>
      <c r="AE30" s="50">
        <v>0.377</v>
      </c>
      <c r="AF30" s="50">
        <v>0.50700000000000001</v>
      </c>
      <c r="AG30" s="50">
        <v>0.88400000000000001</v>
      </c>
      <c r="AH30" s="46">
        <v>138</v>
      </c>
      <c r="AI30" s="46">
        <v>304</v>
      </c>
      <c r="AJ30" s="49">
        <v>6.5</v>
      </c>
      <c r="AK30" s="59">
        <v>9</v>
      </c>
      <c r="AL30" s="58"/>
      <c r="AM30" s="58"/>
      <c r="AN30" s="58" t="s">
        <v>142</v>
      </c>
      <c r="AO30" s="58" t="s">
        <v>146</v>
      </c>
      <c r="AY30" s="1">
        <f t="shared" si="1"/>
        <v>0</v>
      </c>
      <c r="AZ30" s="1">
        <f t="shared" si="2"/>
        <v>0</v>
      </c>
      <c r="BA30" s="1">
        <f t="shared" si="3"/>
        <v>0</v>
      </c>
      <c r="BB30" s="1">
        <f t="shared" si="4"/>
        <v>1</v>
      </c>
      <c r="BC30" s="1">
        <f t="shared" si="5"/>
        <v>0</v>
      </c>
      <c r="BD30" s="1">
        <f t="shared" si="6"/>
        <v>0</v>
      </c>
    </row>
    <row r="31" spans="1:56">
      <c r="A31" s="52" t="s">
        <v>128</v>
      </c>
      <c r="B31" s="53" t="s">
        <v>2</v>
      </c>
      <c r="C31" s="58"/>
      <c r="D31" s="58"/>
      <c r="E31" s="58"/>
      <c r="F31" s="58"/>
      <c r="G31" s="58"/>
      <c r="H31" s="58"/>
      <c r="I31" s="54">
        <v>20</v>
      </c>
      <c r="J31" s="48">
        <f t="shared" si="0"/>
        <v>1.3010299956639813</v>
      </c>
      <c r="K31" s="53" t="s">
        <v>1</v>
      </c>
      <c r="L31" s="53" t="s">
        <v>31</v>
      </c>
      <c r="M31" s="53">
        <v>5</v>
      </c>
      <c r="N31" s="53">
        <v>30</v>
      </c>
      <c r="O31" s="53">
        <v>30</v>
      </c>
      <c r="P31" s="53">
        <v>9</v>
      </c>
      <c r="Q31" s="55">
        <v>3.8</v>
      </c>
      <c r="R31" s="57">
        <v>23</v>
      </c>
      <c r="S31" s="57">
        <v>89.5</v>
      </c>
      <c r="T31" s="57">
        <v>42.7</v>
      </c>
      <c r="U31" s="53">
        <v>613</v>
      </c>
      <c r="V31" s="53">
        <v>81</v>
      </c>
      <c r="W31" s="53">
        <v>171</v>
      </c>
      <c r="X31" s="53">
        <v>41</v>
      </c>
      <c r="Y31" s="53">
        <v>5</v>
      </c>
      <c r="Z31" s="53">
        <v>25</v>
      </c>
      <c r="AA31" s="53">
        <v>89</v>
      </c>
      <c r="AB31" s="53">
        <v>44</v>
      </c>
      <c r="AC31" s="53">
        <v>154</v>
      </c>
      <c r="AD31" s="56">
        <v>0.27800000000000002</v>
      </c>
      <c r="AE31" s="56">
        <v>0.32900000000000001</v>
      </c>
      <c r="AF31" s="56">
        <v>0.48599999999999999</v>
      </c>
      <c r="AG31" s="56">
        <v>0.81399999999999995</v>
      </c>
      <c r="AH31" s="53">
        <v>115</v>
      </c>
      <c r="AI31" s="53">
        <v>298</v>
      </c>
      <c r="AJ31" s="55">
        <v>1.8</v>
      </c>
      <c r="AK31" s="60">
        <v>2</v>
      </c>
      <c r="AL31" s="58"/>
      <c r="AM31" s="58" t="s">
        <v>144</v>
      </c>
      <c r="AN31" s="58">
        <v>5.0999999999999996</v>
      </c>
      <c r="AO31" s="58">
        <v>25.933</v>
      </c>
      <c r="AY31" s="1">
        <f t="shared" si="1"/>
        <v>0</v>
      </c>
      <c r="AZ31" s="1">
        <f t="shared" si="2"/>
        <v>0</v>
      </c>
      <c r="BA31" s="1">
        <f t="shared" si="3"/>
        <v>0</v>
      </c>
      <c r="BB31" s="1">
        <f t="shared" si="4"/>
        <v>0</v>
      </c>
      <c r="BC31" s="1">
        <f t="shared" si="5"/>
        <v>0</v>
      </c>
      <c r="BD31" s="1">
        <f t="shared" si="6"/>
        <v>1</v>
      </c>
    </row>
    <row r="32" spans="1:56">
      <c r="A32" s="45" t="s">
        <v>130</v>
      </c>
      <c r="B32" s="46" t="s">
        <v>2</v>
      </c>
      <c r="C32" s="58"/>
      <c r="D32" s="58"/>
      <c r="E32" s="58"/>
      <c r="F32" s="58"/>
      <c r="G32" s="58"/>
      <c r="H32" s="58"/>
      <c r="I32" s="47">
        <v>19.75</v>
      </c>
      <c r="J32" s="48">
        <f t="shared" si="0"/>
        <v>1.2955670999624791</v>
      </c>
      <c r="K32" s="46" t="s">
        <v>13</v>
      </c>
      <c r="L32" s="46" t="s">
        <v>31</v>
      </c>
      <c r="M32" s="46">
        <v>4</v>
      </c>
      <c r="N32" s="46">
        <v>29</v>
      </c>
      <c r="O32" s="46">
        <v>29</v>
      </c>
      <c r="P32" s="46">
        <v>7</v>
      </c>
      <c r="Q32" s="49">
        <v>5.9</v>
      </c>
      <c r="R32" s="51">
        <v>27.8</v>
      </c>
      <c r="S32" s="51">
        <v>32.1</v>
      </c>
      <c r="T32" s="51">
        <v>51.1</v>
      </c>
      <c r="U32" s="46">
        <v>538</v>
      </c>
      <c r="V32" s="46">
        <v>91</v>
      </c>
      <c r="W32" s="46">
        <v>127</v>
      </c>
      <c r="X32" s="46">
        <v>22</v>
      </c>
      <c r="Y32" s="46">
        <v>2</v>
      </c>
      <c r="Z32" s="46">
        <v>37</v>
      </c>
      <c r="AA32" s="46">
        <v>85</v>
      </c>
      <c r="AB32" s="46">
        <v>82</v>
      </c>
      <c r="AC32" s="46">
        <v>175</v>
      </c>
      <c r="AD32" s="50">
        <v>0.23699999999999999</v>
      </c>
      <c r="AE32" s="50">
        <v>0.34300000000000003</v>
      </c>
      <c r="AF32" s="50">
        <v>0.49299999999999999</v>
      </c>
      <c r="AG32" s="50">
        <v>0.83599999999999997</v>
      </c>
      <c r="AH32" s="46">
        <v>119</v>
      </c>
      <c r="AI32" s="46">
        <v>265</v>
      </c>
      <c r="AJ32" s="49">
        <v>2.2000000000000002</v>
      </c>
      <c r="AK32" s="59">
        <v>3</v>
      </c>
      <c r="AL32" s="58"/>
      <c r="AM32" s="58"/>
      <c r="AN32" s="58"/>
      <c r="AO32" s="58"/>
      <c r="AY32" s="1">
        <f t="shared" si="1"/>
        <v>0</v>
      </c>
      <c r="AZ32" s="1">
        <f t="shared" si="2"/>
        <v>0</v>
      </c>
      <c r="BA32" s="1">
        <f t="shared" si="3"/>
        <v>0</v>
      </c>
      <c r="BB32" s="1">
        <f t="shared" si="4"/>
        <v>0</v>
      </c>
      <c r="BC32" s="1">
        <f t="shared" si="5"/>
        <v>0</v>
      </c>
      <c r="BD32" s="1">
        <f t="shared" si="6"/>
        <v>1</v>
      </c>
    </row>
    <row r="33" spans="1:56">
      <c r="A33" s="52" t="s">
        <v>42</v>
      </c>
      <c r="B33" s="53" t="s">
        <v>2</v>
      </c>
      <c r="C33" s="58"/>
      <c r="D33" s="58"/>
      <c r="E33" s="58"/>
      <c r="F33" s="58"/>
      <c r="G33" s="58"/>
      <c r="H33" s="58"/>
      <c r="I33" s="54">
        <f>78/4</f>
        <v>19.5</v>
      </c>
      <c r="J33" s="48">
        <f t="shared" si="0"/>
        <v>1.2900346113625181</v>
      </c>
      <c r="K33" s="53" t="s">
        <v>1</v>
      </c>
      <c r="L33" s="53" t="s">
        <v>4</v>
      </c>
      <c r="M33" s="53">
        <v>4</v>
      </c>
      <c r="N33" s="53">
        <v>33</v>
      </c>
      <c r="O33" s="53">
        <v>33</v>
      </c>
      <c r="P33" s="53">
        <v>10</v>
      </c>
      <c r="Q33" s="55">
        <v>2.7</v>
      </c>
      <c r="R33" s="57">
        <v>20</v>
      </c>
      <c r="S33" s="57">
        <v>87.1</v>
      </c>
      <c r="T33" s="57">
        <v>39.4</v>
      </c>
      <c r="U33" s="53">
        <v>620</v>
      </c>
      <c r="V33" s="53">
        <v>97</v>
      </c>
      <c r="W33" s="53">
        <v>179</v>
      </c>
      <c r="X33" s="53">
        <v>33</v>
      </c>
      <c r="Y33" s="53">
        <v>7</v>
      </c>
      <c r="Z33" s="53">
        <v>18</v>
      </c>
      <c r="AA33" s="53">
        <v>72</v>
      </c>
      <c r="AB33" s="53">
        <v>36</v>
      </c>
      <c r="AC33" s="53">
        <v>136</v>
      </c>
      <c r="AD33" s="56">
        <v>0.28899999999999998</v>
      </c>
      <c r="AE33" s="56">
        <v>0.34599999999999997</v>
      </c>
      <c r="AF33" s="56">
        <v>0.45100000000000001</v>
      </c>
      <c r="AG33" s="56">
        <v>0.79700000000000004</v>
      </c>
      <c r="AH33" s="53">
        <v>116</v>
      </c>
      <c r="AI33" s="53">
        <v>280</v>
      </c>
      <c r="AJ33" s="55">
        <v>5</v>
      </c>
      <c r="AK33" s="60">
        <v>42</v>
      </c>
      <c r="AL33" s="58"/>
      <c r="AM33" s="58"/>
      <c r="AN33" s="58"/>
      <c r="AO33" s="58"/>
      <c r="AY33" s="2">
        <f t="shared" si="1"/>
        <v>0</v>
      </c>
      <c r="AZ33" s="2">
        <f t="shared" si="2"/>
        <v>0</v>
      </c>
      <c r="BA33" s="2">
        <f t="shared" si="3"/>
        <v>0</v>
      </c>
      <c r="BB33" s="2">
        <f t="shared" si="4"/>
        <v>0</v>
      </c>
      <c r="BC33" s="2">
        <f t="shared" si="5"/>
        <v>0</v>
      </c>
      <c r="BD33" s="2">
        <f t="shared" si="6"/>
        <v>1</v>
      </c>
    </row>
    <row r="34" spans="1:56">
      <c r="A34" s="45" t="s">
        <v>56</v>
      </c>
      <c r="B34" s="46" t="s">
        <v>9</v>
      </c>
      <c r="C34" s="58"/>
      <c r="D34" s="58"/>
      <c r="E34" s="58"/>
      <c r="F34" s="58"/>
      <c r="G34" s="58"/>
      <c r="H34" s="58"/>
      <c r="I34" s="47">
        <v>18.5</v>
      </c>
      <c r="J34" s="48">
        <f t="shared" ref="J34:J65" si="7">LOG(I34)</f>
        <v>1.2671717284030137</v>
      </c>
      <c r="K34" s="46" t="s">
        <v>1</v>
      </c>
      <c r="L34" s="46" t="s">
        <v>27</v>
      </c>
      <c r="M34" s="46">
        <v>1</v>
      </c>
      <c r="N34" s="46">
        <v>29</v>
      </c>
      <c r="O34" s="46">
        <v>29</v>
      </c>
      <c r="P34" s="46">
        <v>7</v>
      </c>
      <c r="Q34" s="49">
        <v>3.4</v>
      </c>
      <c r="R34" s="51">
        <v>17.899999999999999</v>
      </c>
      <c r="S34" s="51">
        <v>89.9</v>
      </c>
      <c r="T34" s="51">
        <v>43.8</v>
      </c>
      <c r="U34" s="46">
        <v>652</v>
      </c>
      <c r="V34" s="46">
        <v>114</v>
      </c>
      <c r="W34" s="46">
        <v>197</v>
      </c>
      <c r="X34" s="46">
        <v>36</v>
      </c>
      <c r="Y34" s="46">
        <v>8</v>
      </c>
      <c r="Z34" s="46">
        <v>24</v>
      </c>
      <c r="AA34" s="46">
        <v>79</v>
      </c>
      <c r="AB34" s="46">
        <v>52</v>
      </c>
      <c r="AC34" s="46">
        <v>127</v>
      </c>
      <c r="AD34" s="50">
        <v>0.30299999999999999</v>
      </c>
      <c r="AE34" s="50">
        <v>0.35799999999999998</v>
      </c>
      <c r="AF34" s="50">
        <v>0.49199999999999999</v>
      </c>
      <c r="AG34" s="50">
        <v>0.85</v>
      </c>
      <c r="AH34" s="46">
        <v>122</v>
      </c>
      <c r="AI34" s="46">
        <v>321</v>
      </c>
      <c r="AJ34" s="49">
        <v>5.8</v>
      </c>
      <c r="AK34" s="59">
        <v>48</v>
      </c>
      <c r="AL34" s="58"/>
      <c r="AM34" s="58"/>
      <c r="AN34" s="58"/>
      <c r="AO34" s="58"/>
      <c r="AY34" s="2">
        <f t="shared" ref="AY34:AY68" si="8">IF(B34="C",1,0)</f>
        <v>0</v>
      </c>
      <c r="AZ34" s="2">
        <f t="shared" ref="AZ34:AZ68" si="9">IF(B34="1B",1,0)</f>
        <v>0</v>
      </c>
      <c r="BA34" s="2">
        <f t="shared" ref="BA34:BA68" si="10">IF(B34="2B",1,0)</f>
        <v>0</v>
      </c>
      <c r="BB34" s="2">
        <f t="shared" ref="BB34:BB68" si="11">IF(B34="3B",1,0)</f>
        <v>0</v>
      </c>
      <c r="BC34" s="2">
        <f t="shared" ref="BC34:BC68" si="12">IF(B34="SS",1,0)</f>
        <v>1</v>
      </c>
      <c r="BD34" s="2">
        <f t="shared" ref="BD34:BD68" si="13">IF(B34="OF",1,0)</f>
        <v>0</v>
      </c>
    </row>
    <row r="35" spans="1:56">
      <c r="A35" s="52" t="s">
        <v>55</v>
      </c>
      <c r="B35" s="53" t="s">
        <v>35</v>
      </c>
      <c r="C35" s="58"/>
      <c r="D35" s="58"/>
      <c r="E35" s="58"/>
      <c r="F35" s="58"/>
      <c r="G35" s="58"/>
      <c r="H35" s="58"/>
      <c r="I35" s="54">
        <v>18.399999999999999</v>
      </c>
      <c r="J35" s="48">
        <f t="shared" si="7"/>
        <v>1.2648178230095364</v>
      </c>
      <c r="K35" s="53" t="s">
        <v>40</v>
      </c>
      <c r="L35" s="53" t="s">
        <v>43</v>
      </c>
      <c r="M35" s="53">
        <v>1</v>
      </c>
      <c r="N35" s="53">
        <v>34</v>
      </c>
      <c r="O35" s="53">
        <v>34</v>
      </c>
      <c r="P35" s="53">
        <v>11</v>
      </c>
      <c r="Q35" s="55">
        <v>3.5</v>
      </c>
      <c r="R35" s="57">
        <v>23.5</v>
      </c>
      <c r="S35" s="57">
        <v>88.1</v>
      </c>
      <c r="T35" s="57">
        <v>40.700000000000003</v>
      </c>
      <c r="U35" s="53">
        <v>544</v>
      </c>
      <c r="V35" s="53">
        <v>79</v>
      </c>
      <c r="W35" s="53">
        <v>144</v>
      </c>
      <c r="X35" s="53">
        <v>34</v>
      </c>
      <c r="Y35" s="53">
        <v>5</v>
      </c>
      <c r="Z35" s="53">
        <v>22</v>
      </c>
      <c r="AA35" s="53">
        <v>74</v>
      </c>
      <c r="AB35" s="53">
        <v>76</v>
      </c>
      <c r="AC35" s="53">
        <v>148</v>
      </c>
      <c r="AD35" s="56">
        <v>0.26400000000000001</v>
      </c>
      <c r="AE35" s="56">
        <v>0.35799999999999998</v>
      </c>
      <c r="AF35" s="56">
        <v>0.46400000000000002</v>
      </c>
      <c r="AG35" s="56">
        <v>0.82299999999999995</v>
      </c>
      <c r="AH35" s="53">
        <v>125</v>
      </c>
      <c r="AI35" s="53">
        <v>253</v>
      </c>
      <c r="AJ35" s="55">
        <v>3.6</v>
      </c>
      <c r="AK35" s="60">
        <v>6</v>
      </c>
      <c r="AL35" s="58"/>
      <c r="AM35" s="58"/>
      <c r="AN35" s="58"/>
      <c r="AO35" s="58"/>
      <c r="AY35" s="2">
        <f t="shared" si="8"/>
        <v>0</v>
      </c>
      <c r="AZ35" s="2">
        <f t="shared" si="9"/>
        <v>1</v>
      </c>
      <c r="BA35" s="2">
        <f t="shared" si="10"/>
        <v>0</v>
      </c>
      <c r="BB35" s="2">
        <f t="shared" si="11"/>
        <v>0</v>
      </c>
      <c r="BC35" s="2">
        <f t="shared" si="12"/>
        <v>0</v>
      </c>
      <c r="BD35" s="2">
        <f t="shared" si="13"/>
        <v>0</v>
      </c>
    </row>
    <row r="36" spans="1:56">
      <c r="A36" s="45" t="s">
        <v>54</v>
      </c>
      <c r="B36" s="46" t="s">
        <v>53</v>
      </c>
      <c r="C36" s="58"/>
      <c r="D36" s="58"/>
      <c r="E36" s="58"/>
      <c r="F36" s="58"/>
      <c r="G36" s="58"/>
      <c r="H36" s="58"/>
      <c r="I36" s="47">
        <f>73/4</f>
        <v>18.25</v>
      </c>
      <c r="J36" s="48">
        <f t="shared" si="7"/>
        <v>1.2612628687924936</v>
      </c>
      <c r="K36" s="46" t="s">
        <v>5</v>
      </c>
      <c r="L36" s="46" t="s">
        <v>29</v>
      </c>
      <c r="M36" s="46">
        <v>4</v>
      </c>
      <c r="N36" s="46">
        <v>31</v>
      </c>
      <c r="O36" s="46">
        <v>33</v>
      </c>
      <c r="P36" s="46">
        <v>10</v>
      </c>
      <c r="Q36" s="49">
        <v>4.5</v>
      </c>
      <c r="R36" s="51">
        <v>23.7</v>
      </c>
      <c r="S36" s="51">
        <v>90.8</v>
      </c>
      <c r="T36" s="51">
        <v>47.1</v>
      </c>
      <c r="U36" s="46">
        <v>514</v>
      </c>
      <c r="V36" s="46">
        <v>73</v>
      </c>
      <c r="W36" s="46">
        <v>124</v>
      </c>
      <c r="X36" s="46">
        <v>24</v>
      </c>
      <c r="Y36" s="46">
        <v>1</v>
      </c>
      <c r="Z36" s="46">
        <v>27</v>
      </c>
      <c r="AA36" s="46">
        <v>80</v>
      </c>
      <c r="AB36" s="46">
        <v>91</v>
      </c>
      <c r="AC36" s="46">
        <v>145</v>
      </c>
      <c r="AD36" s="50">
        <v>0.24</v>
      </c>
      <c r="AE36" s="50">
        <v>0.35499999999999998</v>
      </c>
      <c r="AF36" s="50">
        <v>0.45100000000000001</v>
      </c>
      <c r="AG36" s="50">
        <v>0.80700000000000005</v>
      </c>
      <c r="AH36" s="46">
        <v>119</v>
      </c>
      <c r="AI36" s="46">
        <v>232</v>
      </c>
      <c r="AJ36" s="49">
        <v>3.5</v>
      </c>
      <c r="AK36" s="59">
        <v>2</v>
      </c>
      <c r="AL36" s="58"/>
      <c r="AM36" s="58"/>
      <c r="AN36" s="58"/>
      <c r="AO36" s="58"/>
      <c r="AY36" s="1">
        <f t="shared" si="8"/>
        <v>1</v>
      </c>
      <c r="AZ36" s="1">
        <f t="shared" si="9"/>
        <v>0</v>
      </c>
      <c r="BA36" s="1">
        <f t="shared" si="10"/>
        <v>0</v>
      </c>
      <c r="BB36" s="1">
        <f t="shared" si="11"/>
        <v>0</v>
      </c>
      <c r="BC36" s="1">
        <f t="shared" si="12"/>
        <v>0</v>
      </c>
      <c r="BD36" s="1">
        <f t="shared" si="13"/>
        <v>0</v>
      </c>
    </row>
    <row r="37" spans="1:56">
      <c r="A37" s="52" t="s">
        <v>67</v>
      </c>
      <c r="B37" s="53" t="s">
        <v>2</v>
      </c>
      <c r="C37" s="58"/>
      <c r="D37" s="58"/>
      <c r="E37" s="58"/>
      <c r="F37" s="58"/>
      <c r="G37" s="58"/>
      <c r="H37" s="58"/>
      <c r="I37" s="54">
        <f>108/6</f>
        <v>18</v>
      </c>
      <c r="J37" s="48">
        <f t="shared" si="7"/>
        <v>1.255272505103306</v>
      </c>
      <c r="K37" s="53" t="s">
        <v>40</v>
      </c>
      <c r="L37" s="53" t="s">
        <v>66</v>
      </c>
      <c r="M37" s="53">
        <v>6</v>
      </c>
      <c r="N37" s="53">
        <v>32</v>
      </c>
      <c r="O37" s="53">
        <v>36</v>
      </c>
      <c r="P37" s="53">
        <v>11</v>
      </c>
      <c r="Q37" s="55">
        <v>3.6</v>
      </c>
      <c r="R37" s="57">
        <v>16.7</v>
      </c>
      <c r="S37" s="57">
        <v>87.6</v>
      </c>
      <c r="T37" s="57">
        <v>37.700000000000003</v>
      </c>
      <c r="U37" s="53">
        <v>616</v>
      </c>
      <c r="V37" s="53">
        <v>105</v>
      </c>
      <c r="W37" s="53">
        <v>185</v>
      </c>
      <c r="X37" s="53">
        <v>34</v>
      </c>
      <c r="Y37" s="53">
        <v>7</v>
      </c>
      <c r="Z37" s="53">
        <v>24</v>
      </c>
      <c r="AA37" s="53">
        <v>81</v>
      </c>
      <c r="AB37" s="53">
        <v>47</v>
      </c>
      <c r="AC37" s="53">
        <v>114</v>
      </c>
      <c r="AD37" s="56">
        <v>0.3</v>
      </c>
      <c r="AE37" s="56">
        <v>0.35899999999999999</v>
      </c>
      <c r="AF37" s="56">
        <v>0.495</v>
      </c>
      <c r="AG37" s="56">
        <v>0.85399999999999998</v>
      </c>
      <c r="AH37" s="53">
        <v>114</v>
      </c>
      <c r="AI37" s="53">
        <v>305</v>
      </c>
      <c r="AJ37" s="55">
        <v>2.5</v>
      </c>
      <c r="AK37" s="60">
        <v>17</v>
      </c>
      <c r="AL37" s="58"/>
      <c r="AM37" s="58"/>
      <c r="AN37" s="58"/>
      <c r="AO37" s="58"/>
      <c r="AY37" s="1">
        <f t="shared" si="8"/>
        <v>0</v>
      </c>
      <c r="AZ37" s="1">
        <f t="shared" si="9"/>
        <v>0</v>
      </c>
      <c r="BA37" s="1">
        <f t="shared" si="10"/>
        <v>0</v>
      </c>
      <c r="BB37" s="1">
        <f t="shared" si="11"/>
        <v>0</v>
      </c>
      <c r="BC37" s="1">
        <f t="shared" si="12"/>
        <v>0</v>
      </c>
      <c r="BD37" s="1">
        <f t="shared" si="13"/>
        <v>1</v>
      </c>
    </row>
    <row r="38" spans="1:56">
      <c r="A38" s="45" t="s">
        <v>65</v>
      </c>
      <c r="B38" s="46" t="s">
        <v>35</v>
      </c>
      <c r="C38" s="58"/>
      <c r="D38" s="58"/>
      <c r="E38" s="58"/>
      <c r="F38" s="58"/>
      <c r="G38" s="58"/>
      <c r="H38" s="58"/>
      <c r="I38" s="47">
        <f>144/8</f>
        <v>18</v>
      </c>
      <c r="J38" s="48">
        <f t="shared" si="7"/>
        <v>1.255272505103306</v>
      </c>
      <c r="K38" s="46" t="s">
        <v>40</v>
      </c>
      <c r="L38" s="46" t="s">
        <v>64</v>
      </c>
      <c r="M38" s="46">
        <v>8</v>
      </c>
      <c r="N38" s="46">
        <v>28</v>
      </c>
      <c r="O38" s="46">
        <v>32</v>
      </c>
      <c r="P38" s="46">
        <v>11</v>
      </c>
      <c r="Q38" s="49">
        <v>2.9</v>
      </c>
      <c r="R38" s="51">
        <v>17.8</v>
      </c>
      <c r="S38" s="51">
        <v>90.8</v>
      </c>
      <c r="T38" s="51">
        <v>47.3</v>
      </c>
      <c r="U38" s="46">
        <v>612</v>
      </c>
      <c r="V38" s="46">
        <v>80</v>
      </c>
      <c r="W38" s="46">
        <v>170</v>
      </c>
      <c r="X38" s="46">
        <v>31</v>
      </c>
      <c r="Y38" s="46">
        <v>2</v>
      </c>
      <c r="Z38" s="46">
        <v>20</v>
      </c>
      <c r="AA38" s="46">
        <v>87</v>
      </c>
      <c r="AB38" s="46">
        <v>54</v>
      </c>
      <c r="AC38" s="46">
        <v>119</v>
      </c>
      <c r="AD38" s="50">
        <v>0.27700000000000002</v>
      </c>
      <c r="AE38" s="50">
        <v>0.33600000000000002</v>
      </c>
      <c r="AF38" s="50">
        <v>0.43099999999999999</v>
      </c>
      <c r="AG38" s="50">
        <v>0.76700000000000002</v>
      </c>
      <c r="AH38" s="46">
        <v>108</v>
      </c>
      <c r="AI38" s="46">
        <v>264</v>
      </c>
      <c r="AJ38" s="49">
        <v>1.9</v>
      </c>
      <c r="AK38" s="59">
        <v>8</v>
      </c>
      <c r="AL38" s="58"/>
      <c r="AM38" s="58"/>
      <c r="AN38" s="58"/>
      <c r="AO38" s="58"/>
      <c r="AY38" s="1">
        <f t="shared" si="8"/>
        <v>0</v>
      </c>
      <c r="AZ38" s="1">
        <f t="shared" si="9"/>
        <v>1</v>
      </c>
      <c r="BA38" s="1">
        <f t="shared" si="10"/>
        <v>0</v>
      </c>
      <c r="BB38" s="1">
        <f t="shared" si="11"/>
        <v>0</v>
      </c>
      <c r="BC38" s="1">
        <f t="shared" si="12"/>
        <v>0</v>
      </c>
      <c r="BD38" s="1">
        <f t="shared" si="13"/>
        <v>0</v>
      </c>
    </row>
    <row r="39" spans="1:56">
      <c r="A39" s="52" t="s">
        <v>60</v>
      </c>
      <c r="B39" s="53" t="s">
        <v>6</v>
      </c>
      <c r="C39" s="58"/>
      <c r="D39" s="58"/>
      <c r="E39" s="58"/>
      <c r="F39" s="58"/>
      <c r="G39" s="58"/>
      <c r="H39" s="58"/>
      <c r="I39" s="54">
        <f>34/2</f>
        <v>17</v>
      </c>
      <c r="J39" s="48">
        <f t="shared" si="7"/>
        <v>1.2304489213782739</v>
      </c>
      <c r="K39" s="53" t="s">
        <v>1</v>
      </c>
      <c r="L39" s="53" t="s">
        <v>27</v>
      </c>
      <c r="M39" s="53">
        <v>2</v>
      </c>
      <c r="N39" s="53">
        <v>36</v>
      </c>
      <c r="O39" s="53">
        <v>37</v>
      </c>
      <c r="P39" s="53">
        <v>13</v>
      </c>
      <c r="Q39" s="55">
        <v>3.3</v>
      </c>
      <c r="R39" s="57">
        <v>14.8</v>
      </c>
      <c r="S39" s="57">
        <v>90.3</v>
      </c>
      <c r="T39" s="57">
        <v>42.4</v>
      </c>
      <c r="U39" s="53">
        <v>519</v>
      </c>
      <c r="V39" s="53">
        <v>76</v>
      </c>
      <c r="W39" s="53">
        <v>151</v>
      </c>
      <c r="X39" s="53">
        <v>33</v>
      </c>
      <c r="Y39" s="53">
        <v>1</v>
      </c>
      <c r="Z39" s="53">
        <v>19</v>
      </c>
      <c r="AA39" s="53">
        <v>75</v>
      </c>
      <c r="AB39" s="53">
        <v>53</v>
      </c>
      <c r="AC39" s="53">
        <v>87</v>
      </c>
      <c r="AD39" s="56">
        <v>0.28999999999999998</v>
      </c>
      <c r="AE39" s="56">
        <v>0.36799999999999999</v>
      </c>
      <c r="AF39" s="56">
        <v>0.47</v>
      </c>
      <c r="AG39" s="56">
        <v>0.83699999999999997</v>
      </c>
      <c r="AH39" s="53">
        <v>127</v>
      </c>
      <c r="AI39" s="53">
        <v>244</v>
      </c>
      <c r="AJ39" s="55">
        <v>4.2</v>
      </c>
      <c r="AK39" s="60">
        <v>5</v>
      </c>
      <c r="AL39" s="58"/>
      <c r="AM39" s="58"/>
      <c r="AN39" s="58"/>
      <c r="AO39" s="58"/>
      <c r="AY39" s="2">
        <f t="shared" si="8"/>
        <v>0</v>
      </c>
      <c r="AZ39" s="2">
        <f t="shared" si="9"/>
        <v>0</v>
      </c>
      <c r="BA39" s="2">
        <f t="shared" si="10"/>
        <v>0</v>
      </c>
      <c r="BB39" s="2">
        <f t="shared" si="11"/>
        <v>1</v>
      </c>
      <c r="BC39" s="2">
        <f t="shared" si="12"/>
        <v>0</v>
      </c>
      <c r="BD39" s="2">
        <f t="shared" si="13"/>
        <v>0</v>
      </c>
    </row>
    <row r="40" spans="1:56">
      <c r="A40" s="45" t="s">
        <v>51</v>
      </c>
      <c r="B40" s="46" t="s">
        <v>2</v>
      </c>
      <c r="C40" s="58"/>
      <c r="D40" s="58"/>
      <c r="E40" s="58"/>
      <c r="F40" s="58"/>
      <c r="G40" s="58"/>
      <c r="H40" s="58"/>
      <c r="I40" s="47">
        <v>17</v>
      </c>
      <c r="J40" s="48">
        <f t="shared" si="7"/>
        <v>1.2304489213782739</v>
      </c>
      <c r="K40" s="46" t="s">
        <v>40</v>
      </c>
      <c r="L40" s="46" t="s">
        <v>27</v>
      </c>
      <c r="M40" s="46">
        <v>1</v>
      </c>
      <c r="N40" s="46">
        <v>26</v>
      </c>
      <c r="O40" s="46">
        <v>26</v>
      </c>
      <c r="P40" s="46">
        <v>5</v>
      </c>
      <c r="Q40" s="49">
        <v>5.5</v>
      </c>
      <c r="R40" s="51">
        <v>22.2</v>
      </c>
      <c r="S40" s="51">
        <v>90.4</v>
      </c>
      <c r="T40" s="51">
        <v>44.9</v>
      </c>
      <c r="U40" s="46">
        <v>572</v>
      </c>
      <c r="V40" s="46">
        <v>98</v>
      </c>
      <c r="W40" s="46">
        <v>147</v>
      </c>
      <c r="X40" s="46">
        <v>29</v>
      </c>
      <c r="Y40" s="46">
        <v>4</v>
      </c>
      <c r="Z40" s="46">
        <v>36</v>
      </c>
      <c r="AA40" s="46">
        <v>95</v>
      </c>
      <c r="AB40" s="46">
        <v>78</v>
      </c>
      <c r="AC40" s="46">
        <v>146</v>
      </c>
      <c r="AD40" s="50">
        <v>0.25700000000000001</v>
      </c>
      <c r="AE40" s="50">
        <v>0.34599999999999997</v>
      </c>
      <c r="AF40" s="50">
        <v>0.51100000000000001</v>
      </c>
      <c r="AG40" s="50">
        <v>0.85699999999999998</v>
      </c>
      <c r="AH40" s="46">
        <v>126</v>
      </c>
      <c r="AI40" s="46">
        <v>292</v>
      </c>
      <c r="AJ40" s="49">
        <v>4.5</v>
      </c>
      <c r="AK40" s="59">
        <v>13</v>
      </c>
      <c r="AL40" s="58"/>
      <c r="AM40" s="58"/>
      <c r="AN40" s="58"/>
      <c r="AO40" s="58"/>
      <c r="AY40" s="2">
        <f t="shared" si="8"/>
        <v>0</v>
      </c>
      <c r="AZ40" s="2">
        <f t="shared" si="9"/>
        <v>0</v>
      </c>
      <c r="BA40" s="2">
        <f t="shared" si="10"/>
        <v>0</v>
      </c>
      <c r="BB40" s="2">
        <f t="shared" si="11"/>
        <v>0</v>
      </c>
      <c r="BC40" s="2">
        <f t="shared" si="12"/>
        <v>0</v>
      </c>
      <c r="BD40" s="2">
        <f t="shared" si="13"/>
        <v>1</v>
      </c>
    </row>
    <row r="41" spans="1:56">
      <c r="A41" s="52" t="s">
        <v>59</v>
      </c>
      <c r="B41" s="53" t="s">
        <v>35</v>
      </c>
      <c r="C41" s="58"/>
      <c r="D41" s="58"/>
      <c r="E41" s="58"/>
      <c r="F41" s="58"/>
      <c r="G41" s="58"/>
      <c r="H41" s="58"/>
      <c r="I41" s="54">
        <f>50/3</f>
        <v>16.666666666666668</v>
      </c>
      <c r="J41" s="48">
        <f t="shared" si="7"/>
        <v>1.2218487496163564</v>
      </c>
      <c r="K41" s="53" t="s">
        <v>1</v>
      </c>
      <c r="L41" s="53" t="s">
        <v>29</v>
      </c>
      <c r="M41" s="53">
        <v>3</v>
      </c>
      <c r="N41" s="53">
        <v>33</v>
      </c>
      <c r="O41" s="53">
        <v>35</v>
      </c>
      <c r="P41" s="53">
        <v>8</v>
      </c>
      <c r="Q41" s="55">
        <v>4.7</v>
      </c>
      <c r="R41" s="57">
        <v>20.3</v>
      </c>
      <c r="S41" s="57">
        <v>91.7</v>
      </c>
      <c r="T41" s="57">
        <v>48.7</v>
      </c>
      <c r="U41" s="53">
        <v>634</v>
      </c>
      <c r="V41" s="53">
        <v>89</v>
      </c>
      <c r="W41" s="53">
        <v>184</v>
      </c>
      <c r="X41" s="53">
        <v>38</v>
      </c>
      <c r="Y41" s="53">
        <v>2</v>
      </c>
      <c r="Z41" s="53">
        <v>33</v>
      </c>
      <c r="AA41" s="53">
        <v>115</v>
      </c>
      <c r="AB41" s="53">
        <v>47</v>
      </c>
      <c r="AC41" s="53">
        <v>142</v>
      </c>
      <c r="AD41" s="56">
        <v>0.28999999999999998</v>
      </c>
      <c r="AE41" s="56">
        <v>0.35</v>
      </c>
      <c r="AF41" s="56">
        <v>0.51500000000000001</v>
      </c>
      <c r="AG41" s="56">
        <v>0.86499999999999999</v>
      </c>
      <c r="AH41" s="53">
        <v>135</v>
      </c>
      <c r="AI41" s="53">
        <v>326</v>
      </c>
      <c r="AJ41" s="55">
        <v>4</v>
      </c>
      <c r="AK41" s="60">
        <v>2</v>
      </c>
      <c r="AL41" s="58"/>
      <c r="AM41" s="58"/>
      <c r="AN41" s="58"/>
      <c r="AO41" s="58"/>
      <c r="AY41" s="1">
        <f t="shared" si="8"/>
        <v>0</v>
      </c>
      <c r="AZ41" s="1">
        <f t="shared" si="9"/>
        <v>1</v>
      </c>
      <c r="BA41" s="1">
        <f t="shared" si="10"/>
        <v>0</v>
      </c>
      <c r="BB41" s="1">
        <f t="shared" si="11"/>
        <v>0</v>
      </c>
      <c r="BC41" s="1">
        <f t="shared" si="12"/>
        <v>0</v>
      </c>
      <c r="BD41" s="1">
        <f t="shared" si="13"/>
        <v>0</v>
      </c>
    </row>
    <row r="42" spans="1:56">
      <c r="A42" s="45" t="s">
        <v>58</v>
      </c>
      <c r="B42" s="46" t="s">
        <v>6</v>
      </c>
      <c r="C42" s="58"/>
      <c r="D42" s="58"/>
      <c r="E42" s="58"/>
      <c r="F42" s="58"/>
      <c r="G42" s="58"/>
      <c r="H42" s="58"/>
      <c r="I42" s="47">
        <f>100/6</f>
        <v>16.666666666666668</v>
      </c>
      <c r="J42" s="48">
        <f t="shared" si="7"/>
        <v>1.2218487496163564</v>
      </c>
      <c r="K42" s="46" t="s">
        <v>1</v>
      </c>
      <c r="L42" s="46" t="s">
        <v>43</v>
      </c>
      <c r="M42" s="46">
        <v>6</v>
      </c>
      <c r="N42" s="46">
        <v>30</v>
      </c>
      <c r="O42" s="46">
        <v>36</v>
      </c>
      <c r="P42" s="46">
        <v>14</v>
      </c>
      <c r="Q42" s="49">
        <v>4.0999999999999996</v>
      </c>
      <c r="R42" s="51">
        <v>20.100000000000001</v>
      </c>
      <c r="S42" s="51">
        <v>90.1</v>
      </c>
      <c r="T42" s="51">
        <v>42.9</v>
      </c>
      <c r="U42" s="46">
        <v>607</v>
      </c>
      <c r="V42" s="46">
        <v>85</v>
      </c>
      <c r="W42" s="46">
        <v>162</v>
      </c>
      <c r="X42" s="46">
        <v>36</v>
      </c>
      <c r="Y42" s="46">
        <v>2</v>
      </c>
      <c r="Z42" s="46">
        <v>28</v>
      </c>
      <c r="AA42" s="46">
        <v>97</v>
      </c>
      <c r="AB42" s="46">
        <v>60</v>
      </c>
      <c r="AC42" s="46">
        <v>137</v>
      </c>
      <c r="AD42" s="50">
        <v>0.26600000000000001</v>
      </c>
      <c r="AE42" s="50">
        <v>0.33500000000000002</v>
      </c>
      <c r="AF42" s="50">
        <v>0.47299999999999998</v>
      </c>
      <c r="AG42" s="50">
        <v>0.80800000000000005</v>
      </c>
      <c r="AH42" s="46">
        <v>120</v>
      </c>
      <c r="AI42" s="46">
        <v>287</v>
      </c>
      <c r="AJ42" s="49">
        <v>5.0999999999999996</v>
      </c>
      <c r="AK42" s="59">
        <v>5</v>
      </c>
      <c r="AL42" s="58"/>
      <c r="AM42" s="58"/>
      <c r="AN42" s="58"/>
      <c r="AO42" s="58"/>
      <c r="AY42" s="2">
        <f t="shared" si="8"/>
        <v>0</v>
      </c>
      <c r="AZ42" s="2">
        <f t="shared" si="9"/>
        <v>0</v>
      </c>
      <c r="BA42" s="2">
        <f t="shared" si="10"/>
        <v>0</v>
      </c>
      <c r="BB42" s="2">
        <f t="shared" si="11"/>
        <v>1</v>
      </c>
      <c r="BC42" s="2">
        <f t="shared" si="12"/>
        <v>0</v>
      </c>
      <c r="BD42" s="2">
        <f t="shared" si="13"/>
        <v>0</v>
      </c>
    </row>
    <row r="43" spans="1:56">
      <c r="A43" s="52" t="s">
        <v>47</v>
      </c>
      <c r="B43" s="53" t="s">
        <v>2</v>
      </c>
      <c r="C43" s="58"/>
      <c r="D43" s="58"/>
      <c r="E43" s="58"/>
      <c r="F43" s="58"/>
      <c r="G43" s="58"/>
      <c r="H43" s="58"/>
      <c r="I43" s="54">
        <f>65/4</f>
        <v>16.25</v>
      </c>
      <c r="J43" s="48">
        <f t="shared" si="7"/>
        <v>1.2108533653148932</v>
      </c>
      <c r="K43" s="53" t="s">
        <v>1</v>
      </c>
      <c r="L43" s="53" t="s">
        <v>8</v>
      </c>
      <c r="M43" s="53">
        <v>4</v>
      </c>
      <c r="N43" s="53">
        <v>30</v>
      </c>
      <c r="O43" s="53">
        <v>31</v>
      </c>
      <c r="P43" s="53">
        <v>9</v>
      </c>
      <c r="Q43" s="55">
        <v>4</v>
      </c>
      <c r="R43" s="57">
        <v>21.2</v>
      </c>
      <c r="S43" s="57">
        <v>91.9</v>
      </c>
      <c r="T43" s="57">
        <v>49</v>
      </c>
      <c r="U43" s="53">
        <v>616</v>
      </c>
      <c r="V43" s="53">
        <v>82</v>
      </c>
      <c r="W43" s="53">
        <v>168</v>
      </c>
      <c r="X43" s="53">
        <v>28</v>
      </c>
      <c r="Y43" s="53">
        <v>3</v>
      </c>
      <c r="Z43" s="53">
        <v>27</v>
      </c>
      <c r="AA43" s="53">
        <v>91</v>
      </c>
      <c r="AB43" s="53">
        <v>54</v>
      </c>
      <c r="AC43" s="53">
        <v>143</v>
      </c>
      <c r="AD43" s="56">
        <v>0.27300000000000002</v>
      </c>
      <c r="AE43" s="56">
        <v>0.33300000000000002</v>
      </c>
      <c r="AF43" s="56">
        <v>0.46100000000000002</v>
      </c>
      <c r="AG43" s="56">
        <v>0.79400000000000004</v>
      </c>
      <c r="AH43" s="53">
        <v>114</v>
      </c>
      <c r="AI43" s="53">
        <v>284</v>
      </c>
      <c r="AJ43" s="55">
        <v>3.3</v>
      </c>
      <c r="AK43" s="60">
        <v>4</v>
      </c>
      <c r="AL43" s="58"/>
      <c r="AM43" s="58"/>
      <c r="AN43" s="58"/>
      <c r="AO43" s="58"/>
      <c r="AY43" s="1">
        <f t="shared" si="8"/>
        <v>0</v>
      </c>
      <c r="AZ43" s="1">
        <f t="shared" si="9"/>
        <v>0</v>
      </c>
      <c r="BA43" s="1">
        <f t="shared" si="10"/>
        <v>0</v>
      </c>
      <c r="BB43" s="1">
        <f t="shared" si="11"/>
        <v>0</v>
      </c>
      <c r="BC43" s="1">
        <f t="shared" si="12"/>
        <v>0</v>
      </c>
      <c r="BD43" s="1">
        <f t="shared" si="13"/>
        <v>1</v>
      </c>
    </row>
    <row r="44" spans="1:56">
      <c r="A44" s="52" t="s">
        <v>46</v>
      </c>
      <c r="B44" s="53" t="s">
        <v>2</v>
      </c>
      <c r="C44" s="58"/>
      <c r="D44" s="58"/>
      <c r="E44" s="58"/>
      <c r="F44" s="58"/>
      <c r="G44" s="58"/>
      <c r="H44" s="58"/>
      <c r="I44" s="54">
        <f>32/2</f>
        <v>16</v>
      </c>
      <c r="J44" s="48">
        <f t="shared" si="7"/>
        <v>1.2041199826559248</v>
      </c>
      <c r="K44" s="53" t="s">
        <v>40</v>
      </c>
      <c r="L44" s="53" t="s">
        <v>25</v>
      </c>
      <c r="M44" s="53">
        <v>2</v>
      </c>
      <c r="N44" s="53">
        <v>34</v>
      </c>
      <c r="O44" s="53">
        <v>35</v>
      </c>
      <c r="P44" s="53">
        <v>13</v>
      </c>
      <c r="Q44" s="55">
        <v>2.1</v>
      </c>
      <c r="R44" s="57">
        <v>10.8</v>
      </c>
      <c r="S44" s="57">
        <v>89.4</v>
      </c>
      <c r="T44" s="57">
        <v>40.200000000000003</v>
      </c>
      <c r="U44" s="53">
        <v>625</v>
      </c>
      <c r="V44" s="53">
        <v>86</v>
      </c>
      <c r="W44" s="53">
        <v>186</v>
      </c>
      <c r="X44" s="53">
        <v>39</v>
      </c>
      <c r="Y44" s="53">
        <v>3</v>
      </c>
      <c r="Z44" s="53">
        <v>14</v>
      </c>
      <c r="AA44" s="53">
        <v>81</v>
      </c>
      <c r="AB44" s="53">
        <v>54</v>
      </c>
      <c r="AC44" s="53">
        <v>74</v>
      </c>
      <c r="AD44" s="56">
        <v>0.29799999999999999</v>
      </c>
      <c r="AE44" s="56">
        <v>0.35499999999999998</v>
      </c>
      <c r="AF44" s="56">
        <v>0.44</v>
      </c>
      <c r="AG44" s="56">
        <v>0.79500000000000004</v>
      </c>
      <c r="AH44" s="53">
        <v>117</v>
      </c>
      <c r="AI44" s="53">
        <v>275</v>
      </c>
      <c r="AJ44" s="55">
        <v>3.9</v>
      </c>
      <c r="AK44" s="60">
        <v>15</v>
      </c>
      <c r="AL44" s="58"/>
      <c r="AM44" s="58"/>
      <c r="AN44" s="58"/>
      <c r="AO44" s="58"/>
      <c r="AY44" s="2">
        <f t="shared" si="8"/>
        <v>0</v>
      </c>
      <c r="AZ44" s="2">
        <f t="shared" si="9"/>
        <v>0</v>
      </c>
      <c r="BA44" s="2">
        <f t="shared" si="10"/>
        <v>0</v>
      </c>
      <c r="BB44" s="2">
        <f t="shared" si="11"/>
        <v>0</v>
      </c>
      <c r="BC44" s="2">
        <f t="shared" si="12"/>
        <v>0</v>
      </c>
      <c r="BD44" s="2">
        <f t="shared" si="13"/>
        <v>1</v>
      </c>
    </row>
    <row r="45" spans="1:56">
      <c r="A45" s="45" t="s">
        <v>50</v>
      </c>
      <c r="B45" s="46" t="s">
        <v>2</v>
      </c>
      <c r="C45" s="58"/>
      <c r="D45" s="58"/>
      <c r="E45" s="58"/>
      <c r="F45" s="58"/>
      <c r="G45" s="58"/>
      <c r="H45" s="58"/>
      <c r="I45" s="47">
        <f>80/5</f>
        <v>16</v>
      </c>
      <c r="J45" s="48">
        <f t="shared" si="7"/>
        <v>1.2041199826559248</v>
      </c>
      <c r="K45" s="46" t="s">
        <v>1</v>
      </c>
      <c r="L45" s="46" t="s">
        <v>49</v>
      </c>
      <c r="M45" s="46">
        <v>5</v>
      </c>
      <c r="N45" s="46">
        <v>32</v>
      </c>
      <c r="O45" s="46">
        <v>36</v>
      </c>
      <c r="P45" s="46">
        <v>12</v>
      </c>
      <c r="Q45" s="49">
        <v>1.9</v>
      </c>
      <c r="R45" s="51">
        <v>17.8</v>
      </c>
      <c r="S45" s="51">
        <v>89.7</v>
      </c>
      <c r="T45" s="51">
        <v>41.6</v>
      </c>
      <c r="U45" s="46">
        <v>599</v>
      </c>
      <c r="V45" s="46">
        <v>87</v>
      </c>
      <c r="W45" s="46">
        <v>171</v>
      </c>
      <c r="X45" s="46">
        <v>32</v>
      </c>
      <c r="Y45" s="46">
        <v>3</v>
      </c>
      <c r="Z45" s="46">
        <v>12</v>
      </c>
      <c r="AA45" s="46">
        <v>64</v>
      </c>
      <c r="AB45" s="46">
        <v>51</v>
      </c>
      <c r="AC45" s="46">
        <v>117</v>
      </c>
      <c r="AD45" s="50">
        <v>0.28599999999999998</v>
      </c>
      <c r="AE45" s="50">
        <v>0.34699999999999998</v>
      </c>
      <c r="AF45" s="50">
        <v>0.41299999999999998</v>
      </c>
      <c r="AG45" s="50">
        <v>0.75900000000000001</v>
      </c>
      <c r="AH45" s="46">
        <v>104</v>
      </c>
      <c r="AI45" s="46">
        <v>247</v>
      </c>
      <c r="AJ45" s="49">
        <v>5.6</v>
      </c>
      <c r="AK45" s="59">
        <v>27</v>
      </c>
      <c r="AL45" s="58"/>
      <c r="AM45" s="58"/>
      <c r="AN45" s="58"/>
      <c r="AO45" s="58"/>
      <c r="AY45" s="1">
        <f t="shared" si="8"/>
        <v>0</v>
      </c>
      <c r="AZ45" s="1">
        <f t="shared" si="9"/>
        <v>0</v>
      </c>
      <c r="BA45" s="1">
        <f t="shared" si="10"/>
        <v>0</v>
      </c>
      <c r="BB45" s="1">
        <f t="shared" si="11"/>
        <v>0</v>
      </c>
      <c r="BC45" s="1">
        <f t="shared" si="12"/>
        <v>0</v>
      </c>
      <c r="BD45" s="1">
        <f t="shared" si="13"/>
        <v>1</v>
      </c>
    </row>
    <row r="46" spans="1:56">
      <c r="A46" s="45" t="s">
        <v>45</v>
      </c>
      <c r="B46" s="46" t="s">
        <v>6</v>
      </c>
      <c r="C46" s="58"/>
      <c r="D46" s="58"/>
      <c r="E46" s="58"/>
      <c r="F46" s="58"/>
      <c r="G46" s="58"/>
      <c r="H46" s="58"/>
      <c r="I46" s="47">
        <f>64/4</f>
        <v>16</v>
      </c>
      <c r="J46" s="48">
        <f t="shared" si="7"/>
        <v>1.2041199826559248</v>
      </c>
      <c r="K46" s="46" t="s">
        <v>13</v>
      </c>
      <c r="L46" s="46" t="s">
        <v>17</v>
      </c>
      <c r="M46" s="46">
        <v>4</v>
      </c>
      <c r="N46" s="46">
        <v>31</v>
      </c>
      <c r="O46" s="46">
        <v>33</v>
      </c>
      <c r="P46" s="46">
        <v>11</v>
      </c>
      <c r="Q46" s="49">
        <v>4</v>
      </c>
      <c r="R46" s="51">
        <v>16.3</v>
      </c>
      <c r="S46" s="51">
        <v>89.4</v>
      </c>
      <c r="T46" s="51">
        <v>42</v>
      </c>
      <c r="U46" s="46">
        <v>584</v>
      </c>
      <c r="V46" s="46">
        <v>68</v>
      </c>
      <c r="W46" s="46">
        <v>145</v>
      </c>
      <c r="X46" s="46">
        <v>32</v>
      </c>
      <c r="Y46" s="46">
        <v>1</v>
      </c>
      <c r="Z46" s="46">
        <v>26</v>
      </c>
      <c r="AA46" s="46">
        <v>80</v>
      </c>
      <c r="AB46" s="46">
        <v>46</v>
      </c>
      <c r="AC46" s="46">
        <v>105</v>
      </c>
      <c r="AD46" s="50">
        <v>0.249</v>
      </c>
      <c r="AE46" s="50">
        <v>0.309</v>
      </c>
      <c r="AF46" s="50">
        <v>0.439</v>
      </c>
      <c r="AG46" s="50">
        <v>0.749</v>
      </c>
      <c r="AH46" s="46">
        <v>99</v>
      </c>
      <c r="AI46" s="46">
        <v>256</v>
      </c>
      <c r="AJ46" s="49">
        <v>1.8</v>
      </c>
      <c r="AK46" s="59">
        <v>2</v>
      </c>
      <c r="AL46" s="58"/>
      <c r="AM46" s="58"/>
      <c r="AN46" s="58"/>
      <c r="AO46" s="58"/>
      <c r="AY46" s="1">
        <f t="shared" si="8"/>
        <v>0</v>
      </c>
      <c r="AZ46" s="1">
        <f t="shared" si="9"/>
        <v>0</v>
      </c>
      <c r="BA46" s="1">
        <f t="shared" si="10"/>
        <v>0</v>
      </c>
      <c r="BB46" s="1">
        <f t="shared" si="11"/>
        <v>1</v>
      </c>
      <c r="BC46" s="1">
        <f t="shared" si="12"/>
        <v>0</v>
      </c>
      <c r="BD46" s="1">
        <f t="shared" si="13"/>
        <v>0</v>
      </c>
    </row>
    <row r="47" spans="1:56">
      <c r="A47" s="52" t="s">
        <v>41</v>
      </c>
      <c r="B47" s="53" t="s">
        <v>2</v>
      </c>
      <c r="C47" s="58"/>
      <c r="D47" s="58"/>
      <c r="E47" s="58"/>
      <c r="F47" s="58"/>
      <c r="G47" s="58"/>
      <c r="H47" s="58"/>
      <c r="I47" s="54">
        <v>15.5</v>
      </c>
      <c r="J47" s="48">
        <f t="shared" si="7"/>
        <v>1.1903316981702914</v>
      </c>
      <c r="K47" s="53" t="s">
        <v>40</v>
      </c>
      <c r="L47" s="53" t="s">
        <v>19</v>
      </c>
      <c r="M47" s="53">
        <v>1</v>
      </c>
      <c r="N47" s="53">
        <v>23</v>
      </c>
      <c r="O47" s="53">
        <v>23</v>
      </c>
      <c r="P47" s="53">
        <v>4</v>
      </c>
      <c r="Q47" s="55">
        <v>4.9000000000000004</v>
      </c>
      <c r="R47" s="57">
        <v>17.600000000000001</v>
      </c>
      <c r="S47" s="57">
        <v>91.9</v>
      </c>
      <c r="T47" s="57">
        <v>50.7</v>
      </c>
      <c r="U47" s="53">
        <v>563</v>
      </c>
      <c r="V47" s="53">
        <v>118</v>
      </c>
      <c r="W47" s="53">
        <v>169</v>
      </c>
      <c r="X47" s="53">
        <v>32</v>
      </c>
      <c r="Y47" s="53">
        <v>3</v>
      </c>
      <c r="Z47" s="53">
        <v>34</v>
      </c>
      <c r="AA47" s="53">
        <v>109</v>
      </c>
      <c r="AB47" s="53">
        <v>130</v>
      </c>
      <c r="AC47" s="53">
        <v>123</v>
      </c>
      <c r="AD47" s="56">
        <v>0.30099999999999999</v>
      </c>
      <c r="AE47" s="56">
        <v>0.432</v>
      </c>
      <c r="AF47" s="56">
        <v>0.55000000000000004</v>
      </c>
      <c r="AG47" s="56">
        <v>0.98099999999999998</v>
      </c>
      <c r="AH47" s="53">
        <v>160</v>
      </c>
      <c r="AI47" s="53">
        <v>309</v>
      </c>
      <c r="AJ47" s="55">
        <v>6.1</v>
      </c>
      <c r="AK47" s="60">
        <v>11</v>
      </c>
      <c r="AL47" s="58"/>
      <c r="AM47" s="58"/>
      <c r="AN47" s="58"/>
      <c r="AO47" s="58"/>
      <c r="AY47" s="1">
        <f t="shared" si="8"/>
        <v>0</v>
      </c>
      <c r="AZ47" s="1">
        <f t="shared" si="9"/>
        <v>0</v>
      </c>
      <c r="BA47" s="1">
        <f t="shared" si="10"/>
        <v>0</v>
      </c>
      <c r="BB47" s="1">
        <f t="shared" si="11"/>
        <v>0</v>
      </c>
      <c r="BC47" s="1">
        <f t="shared" si="12"/>
        <v>0</v>
      </c>
      <c r="BD47" s="1">
        <f t="shared" si="13"/>
        <v>1</v>
      </c>
    </row>
    <row r="48" spans="1:56">
      <c r="A48" s="45" t="s">
        <v>120</v>
      </c>
      <c r="B48" s="46" t="s">
        <v>6</v>
      </c>
      <c r="C48" s="58"/>
      <c r="D48" s="58"/>
      <c r="E48" s="58"/>
      <c r="F48" s="58"/>
      <c r="G48" s="58"/>
      <c r="H48" s="58"/>
      <c r="I48" s="47">
        <f>90/6</f>
        <v>15</v>
      </c>
      <c r="J48" s="48">
        <f t="shared" si="7"/>
        <v>1.1760912590556813</v>
      </c>
      <c r="K48" s="46" t="s">
        <v>1</v>
      </c>
      <c r="L48" s="46" t="s">
        <v>15</v>
      </c>
      <c r="M48" s="46">
        <v>6</v>
      </c>
      <c r="N48" s="46">
        <v>32</v>
      </c>
      <c r="O48" s="46">
        <v>33</v>
      </c>
      <c r="P48" s="46">
        <v>11</v>
      </c>
      <c r="Q48" s="49">
        <v>1.8</v>
      </c>
      <c r="R48" s="51">
        <v>14.6</v>
      </c>
      <c r="S48" s="51">
        <v>91.2</v>
      </c>
      <c r="T48" s="51">
        <v>47.7</v>
      </c>
      <c r="U48" s="46">
        <v>603</v>
      </c>
      <c r="V48" s="46">
        <v>92</v>
      </c>
      <c r="W48" s="46">
        <v>181</v>
      </c>
      <c r="X48" s="46">
        <v>29</v>
      </c>
      <c r="Y48" s="46">
        <v>4</v>
      </c>
      <c r="Z48" s="46">
        <v>12</v>
      </c>
      <c r="AA48" s="46">
        <v>67</v>
      </c>
      <c r="AB48" s="46">
        <v>52</v>
      </c>
      <c r="AC48" s="46">
        <v>97</v>
      </c>
      <c r="AD48" s="50">
        <v>0.3</v>
      </c>
      <c r="AE48" s="50">
        <v>0.35599999999999998</v>
      </c>
      <c r="AF48" s="50">
        <v>0.42199999999999999</v>
      </c>
      <c r="AG48" s="50">
        <v>0.77800000000000002</v>
      </c>
      <c r="AH48" s="46">
        <v>101</v>
      </c>
      <c r="AI48" s="46">
        <v>254</v>
      </c>
      <c r="AJ48" s="49">
        <v>3.3</v>
      </c>
      <c r="AK48" s="59">
        <v>11</v>
      </c>
      <c r="AL48" s="58"/>
      <c r="AM48" s="58"/>
      <c r="AN48" s="58"/>
      <c r="AO48" s="58"/>
      <c r="AY48" s="2">
        <f t="shared" si="8"/>
        <v>0</v>
      </c>
      <c r="AZ48" s="2">
        <f t="shared" si="9"/>
        <v>0</v>
      </c>
      <c r="BA48" s="2">
        <f t="shared" si="10"/>
        <v>0</v>
      </c>
      <c r="BB48" s="2">
        <f t="shared" si="11"/>
        <v>1</v>
      </c>
      <c r="BC48" s="2">
        <f t="shared" si="12"/>
        <v>0</v>
      </c>
      <c r="BD48" s="2">
        <f t="shared" si="13"/>
        <v>0</v>
      </c>
    </row>
    <row r="49" spans="1:56">
      <c r="A49" s="52" t="s">
        <v>38</v>
      </c>
      <c r="B49" s="53" t="s">
        <v>32</v>
      </c>
      <c r="C49" s="58"/>
      <c r="D49" s="58"/>
      <c r="E49" s="58"/>
      <c r="F49" s="58"/>
      <c r="G49" s="58"/>
      <c r="H49" s="58"/>
      <c r="I49" s="54">
        <f>60/4</f>
        <v>15</v>
      </c>
      <c r="J49" s="48">
        <f t="shared" si="7"/>
        <v>1.1760912590556813</v>
      </c>
      <c r="K49" s="53" t="s">
        <v>1</v>
      </c>
      <c r="L49" s="53" t="s">
        <v>27</v>
      </c>
      <c r="M49" s="53">
        <v>4</v>
      </c>
      <c r="N49" s="53">
        <v>31</v>
      </c>
      <c r="O49" s="53">
        <v>31</v>
      </c>
      <c r="P49" s="53">
        <v>8</v>
      </c>
      <c r="Q49" s="55">
        <v>2.9</v>
      </c>
      <c r="R49" s="57">
        <v>27.5</v>
      </c>
      <c r="S49" s="57">
        <v>87.5</v>
      </c>
      <c r="T49" s="57">
        <v>38.200000000000003</v>
      </c>
      <c r="U49" s="53">
        <v>523</v>
      </c>
      <c r="V49" s="53">
        <v>82</v>
      </c>
      <c r="W49" s="53">
        <v>137</v>
      </c>
      <c r="X49" s="53">
        <v>32</v>
      </c>
      <c r="Y49" s="53">
        <v>6</v>
      </c>
      <c r="Z49" s="53">
        <v>17</v>
      </c>
      <c r="AA49" s="53">
        <v>67</v>
      </c>
      <c r="AB49" s="53">
        <v>55</v>
      </c>
      <c r="AC49" s="53">
        <v>162</v>
      </c>
      <c r="AD49" s="56">
        <v>0.26100000000000001</v>
      </c>
      <c r="AE49" s="56">
        <v>0.33700000000000002</v>
      </c>
      <c r="AF49" s="56">
        <v>0.443</v>
      </c>
      <c r="AG49" s="56">
        <v>0.77900000000000003</v>
      </c>
      <c r="AH49" s="53">
        <v>109</v>
      </c>
      <c r="AI49" s="53">
        <v>232</v>
      </c>
      <c r="AJ49" s="55">
        <v>3.3</v>
      </c>
      <c r="AK49" s="60">
        <v>13</v>
      </c>
      <c r="AL49" s="58"/>
      <c r="AM49" s="58"/>
      <c r="AN49" s="58"/>
      <c r="AO49" s="58"/>
      <c r="AY49" s="2">
        <f t="shared" si="8"/>
        <v>0</v>
      </c>
      <c r="AZ49" s="2">
        <f t="shared" si="9"/>
        <v>0</v>
      </c>
      <c r="BA49" s="2">
        <f t="shared" si="10"/>
        <v>1</v>
      </c>
      <c r="BB49" s="2">
        <f t="shared" si="11"/>
        <v>0</v>
      </c>
      <c r="BC49" s="2">
        <f t="shared" si="12"/>
        <v>0</v>
      </c>
      <c r="BD49" s="2">
        <f t="shared" si="13"/>
        <v>0</v>
      </c>
    </row>
    <row r="50" spans="1:56">
      <c r="A50" s="52" t="s">
        <v>33</v>
      </c>
      <c r="B50" s="53" t="s">
        <v>32</v>
      </c>
      <c r="C50" s="58"/>
      <c r="D50" s="58"/>
      <c r="E50" s="58"/>
      <c r="F50" s="58"/>
      <c r="G50" s="58"/>
      <c r="H50" s="58"/>
      <c r="I50" s="54">
        <f>70/5</f>
        <v>14</v>
      </c>
      <c r="J50" s="48">
        <f t="shared" si="7"/>
        <v>1.146128035678238</v>
      </c>
      <c r="K50" s="53" t="s">
        <v>1</v>
      </c>
      <c r="L50" s="53" t="s">
        <v>31</v>
      </c>
      <c r="M50" s="53">
        <v>5</v>
      </c>
      <c r="N50" s="53">
        <v>29</v>
      </c>
      <c r="O50" s="53">
        <v>32</v>
      </c>
      <c r="P50" s="53">
        <v>10</v>
      </c>
      <c r="Q50" s="55">
        <v>1.9</v>
      </c>
      <c r="R50" s="57">
        <v>13.8</v>
      </c>
      <c r="S50" s="57">
        <v>88.1</v>
      </c>
      <c r="T50" s="57">
        <v>37.299999999999997</v>
      </c>
      <c r="U50" s="53">
        <v>638</v>
      </c>
      <c r="V50" s="53">
        <v>88</v>
      </c>
      <c r="W50" s="53">
        <v>182</v>
      </c>
      <c r="X50" s="53">
        <v>29</v>
      </c>
      <c r="Y50" s="53">
        <v>6</v>
      </c>
      <c r="Z50" s="53">
        <v>13</v>
      </c>
      <c r="AA50" s="53">
        <v>60</v>
      </c>
      <c r="AB50" s="53">
        <v>36</v>
      </c>
      <c r="AC50" s="53">
        <v>95</v>
      </c>
      <c r="AD50" s="56">
        <v>0.28499999999999998</v>
      </c>
      <c r="AE50" s="56">
        <v>0.33</v>
      </c>
      <c r="AF50" s="56">
        <v>0.41</v>
      </c>
      <c r="AG50" s="56">
        <v>0.74</v>
      </c>
      <c r="AH50" s="53">
        <v>99</v>
      </c>
      <c r="AI50" s="53">
        <v>261</v>
      </c>
      <c r="AJ50" s="55">
        <v>3.5</v>
      </c>
      <c r="AK50" s="60">
        <v>25</v>
      </c>
      <c r="AL50" s="58"/>
      <c r="AM50" s="58"/>
      <c r="AN50" s="58"/>
      <c r="AO50" s="58"/>
      <c r="AY50" s="1">
        <f t="shared" si="8"/>
        <v>0</v>
      </c>
      <c r="AZ50" s="1">
        <f t="shared" si="9"/>
        <v>0</v>
      </c>
      <c r="BA50" s="1">
        <f t="shared" si="10"/>
        <v>1</v>
      </c>
      <c r="BB50" s="1">
        <f t="shared" si="11"/>
        <v>0</v>
      </c>
      <c r="BC50" s="1">
        <f t="shared" si="12"/>
        <v>0</v>
      </c>
      <c r="BD50" s="1">
        <f t="shared" si="13"/>
        <v>0</v>
      </c>
    </row>
    <row r="51" spans="1:56">
      <c r="A51" s="45" t="s">
        <v>30</v>
      </c>
      <c r="B51" s="46" t="s">
        <v>6</v>
      </c>
      <c r="C51" s="58"/>
      <c r="D51" s="58"/>
      <c r="E51" s="58"/>
      <c r="F51" s="58"/>
      <c r="G51" s="58"/>
      <c r="H51" s="58"/>
      <c r="I51" s="47">
        <f>70/5</f>
        <v>14</v>
      </c>
      <c r="J51" s="48">
        <f t="shared" si="7"/>
        <v>1.146128035678238</v>
      </c>
      <c r="K51" s="46" t="s">
        <v>5</v>
      </c>
      <c r="L51" s="46" t="s">
        <v>29</v>
      </c>
      <c r="M51" s="46">
        <v>5</v>
      </c>
      <c r="N51" s="46">
        <v>25</v>
      </c>
      <c r="O51" s="46">
        <v>27</v>
      </c>
      <c r="P51" s="46">
        <v>6</v>
      </c>
      <c r="Q51" s="49">
        <v>3</v>
      </c>
      <c r="R51" s="51">
        <v>29.7</v>
      </c>
      <c r="S51" s="51">
        <v>91.1</v>
      </c>
      <c r="T51" s="51">
        <v>44.4</v>
      </c>
      <c r="U51" s="46">
        <v>609</v>
      </c>
      <c r="V51" s="46">
        <v>88</v>
      </c>
      <c r="W51" s="46">
        <v>159</v>
      </c>
      <c r="X51" s="46">
        <v>35</v>
      </c>
      <c r="Y51" s="46">
        <v>5</v>
      </c>
      <c r="Z51" s="46">
        <v>21</v>
      </c>
      <c r="AA51" s="46">
        <v>75</v>
      </c>
      <c r="AB51" s="46">
        <v>75</v>
      </c>
      <c r="AC51" s="46">
        <v>206</v>
      </c>
      <c r="AD51" s="50">
        <v>0.26100000000000001</v>
      </c>
      <c r="AE51" s="50">
        <v>0.34599999999999997</v>
      </c>
      <c r="AF51" s="50">
        <v>0.439</v>
      </c>
      <c r="AG51" s="50">
        <v>0.78400000000000003</v>
      </c>
      <c r="AH51" s="46">
        <v>113</v>
      </c>
      <c r="AI51" s="46">
        <v>267</v>
      </c>
      <c r="AJ51" s="49">
        <v>3.8</v>
      </c>
      <c r="AK51" s="59">
        <v>8</v>
      </c>
      <c r="AL51" s="58"/>
      <c r="AM51" s="58"/>
      <c r="AN51" s="58"/>
      <c r="AO51" s="58"/>
      <c r="AY51" s="2">
        <f t="shared" si="8"/>
        <v>0</v>
      </c>
      <c r="AZ51" s="2">
        <f t="shared" si="9"/>
        <v>0</v>
      </c>
      <c r="BA51" s="2">
        <f t="shared" si="10"/>
        <v>0</v>
      </c>
      <c r="BB51" s="2">
        <f t="shared" si="11"/>
        <v>1</v>
      </c>
      <c r="BC51" s="2">
        <f t="shared" si="12"/>
        <v>0</v>
      </c>
      <c r="BD51" s="2">
        <f t="shared" si="13"/>
        <v>0</v>
      </c>
    </row>
    <row r="52" spans="1:56">
      <c r="A52" s="45" t="s">
        <v>39</v>
      </c>
      <c r="B52" s="46" t="s">
        <v>9</v>
      </c>
      <c r="C52" s="61"/>
      <c r="D52" s="61"/>
      <c r="E52" s="61"/>
      <c r="F52" s="61"/>
      <c r="G52" s="61"/>
      <c r="H52" s="61"/>
      <c r="I52" s="47">
        <f>28/2</f>
        <v>14</v>
      </c>
      <c r="J52" s="48">
        <f t="shared" si="7"/>
        <v>1.146128035678238</v>
      </c>
      <c r="K52" s="46" t="s">
        <v>13</v>
      </c>
      <c r="L52" s="46" t="s">
        <v>31</v>
      </c>
      <c r="M52" s="46">
        <v>2</v>
      </c>
      <c r="N52" s="46">
        <v>31</v>
      </c>
      <c r="O52" s="46">
        <v>32</v>
      </c>
      <c r="P52" s="46">
        <v>10</v>
      </c>
      <c r="Q52" s="49">
        <v>3.3</v>
      </c>
      <c r="R52" s="51">
        <v>14.3</v>
      </c>
      <c r="S52" s="51">
        <v>85.9</v>
      </c>
      <c r="T52" s="51">
        <v>29.4</v>
      </c>
      <c r="U52" s="46">
        <v>588</v>
      </c>
      <c r="V52" s="46">
        <v>78</v>
      </c>
      <c r="W52" s="46">
        <v>152</v>
      </c>
      <c r="X52" s="46">
        <v>27</v>
      </c>
      <c r="Y52" s="46">
        <v>4</v>
      </c>
      <c r="Z52" s="46">
        <v>21</v>
      </c>
      <c r="AA52" s="46">
        <v>82</v>
      </c>
      <c r="AB52" s="46">
        <v>39</v>
      </c>
      <c r="AC52" s="46">
        <v>92</v>
      </c>
      <c r="AD52" s="50">
        <v>0.25900000000000001</v>
      </c>
      <c r="AE52" s="50">
        <v>0.31</v>
      </c>
      <c r="AF52" s="50">
        <v>0.42699999999999999</v>
      </c>
      <c r="AG52" s="50">
        <v>0.73699999999999999</v>
      </c>
      <c r="AH52" s="46">
        <v>97</v>
      </c>
      <c r="AI52" s="46">
        <v>251</v>
      </c>
      <c r="AJ52" s="49">
        <v>2.9</v>
      </c>
      <c r="AK52" s="59">
        <v>6</v>
      </c>
      <c r="AL52" s="58"/>
      <c r="AM52" s="58"/>
      <c r="AN52" s="58"/>
      <c r="AO52" s="58"/>
      <c r="AY52" s="1">
        <f t="shared" si="8"/>
        <v>0</v>
      </c>
      <c r="AZ52" s="1">
        <f t="shared" si="9"/>
        <v>0</v>
      </c>
      <c r="BA52" s="1">
        <f t="shared" si="10"/>
        <v>0</v>
      </c>
      <c r="BB52" s="1">
        <f t="shared" si="11"/>
        <v>0</v>
      </c>
      <c r="BC52" s="1">
        <f t="shared" si="12"/>
        <v>1</v>
      </c>
      <c r="BD52" s="1">
        <f t="shared" si="13"/>
        <v>0</v>
      </c>
    </row>
    <row r="53" spans="1:56">
      <c r="A53" s="52" t="s">
        <v>68</v>
      </c>
      <c r="B53" s="53" t="s">
        <v>2</v>
      </c>
      <c r="C53" s="58"/>
      <c r="D53" s="58"/>
      <c r="E53" s="58"/>
      <c r="F53" s="58"/>
      <c r="G53" s="58"/>
      <c r="H53" s="58"/>
      <c r="I53" s="54">
        <f>83/6</f>
        <v>13.833333333333334</v>
      </c>
      <c r="J53" s="48">
        <f t="shared" si="7"/>
        <v>1.1409268419924303</v>
      </c>
      <c r="K53" s="53" t="s">
        <v>1</v>
      </c>
      <c r="L53" s="53" t="s">
        <v>64</v>
      </c>
      <c r="M53" s="53">
        <v>6</v>
      </c>
      <c r="N53" s="53">
        <v>26</v>
      </c>
      <c r="O53" s="53">
        <v>31</v>
      </c>
      <c r="P53" s="53">
        <v>9</v>
      </c>
      <c r="Q53" s="55">
        <v>3.8</v>
      </c>
      <c r="R53" s="57">
        <v>26.8</v>
      </c>
      <c r="S53" s="57">
        <v>89.4</v>
      </c>
      <c r="T53" s="57">
        <v>45</v>
      </c>
      <c r="U53" s="53">
        <v>565</v>
      </c>
      <c r="V53" s="53">
        <v>81</v>
      </c>
      <c r="W53" s="53">
        <v>143</v>
      </c>
      <c r="X53" s="53">
        <v>32</v>
      </c>
      <c r="Y53" s="53">
        <v>2</v>
      </c>
      <c r="Z53" s="53">
        <v>24</v>
      </c>
      <c r="AA53" s="53">
        <v>79</v>
      </c>
      <c r="AB53" s="53">
        <v>63</v>
      </c>
      <c r="AC53" s="53">
        <v>170</v>
      </c>
      <c r="AD53" s="56">
        <v>0.254</v>
      </c>
      <c r="AE53" s="56">
        <v>0.33</v>
      </c>
      <c r="AF53" s="56">
        <v>0.44600000000000001</v>
      </c>
      <c r="AG53" s="56">
        <v>0.77500000000000002</v>
      </c>
      <c r="AH53" s="53">
        <v>111</v>
      </c>
      <c r="AI53" s="53">
        <v>252</v>
      </c>
      <c r="AJ53" s="55">
        <v>2</v>
      </c>
      <c r="AK53" s="60">
        <v>17</v>
      </c>
      <c r="AL53" s="58"/>
      <c r="AM53" s="58"/>
      <c r="AN53" s="58"/>
      <c r="AO53" s="58"/>
      <c r="AY53" s="2">
        <f t="shared" si="8"/>
        <v>0</v>
      </c>
      <c r="AZ53" s="2">
        <f t="shared" si="9"/>
        <v>0</v>
      </c>
      <c r="BA53" s="2">
        <f t="shared" si="10"/>
        <v>0</v>
      </c>
      <c r="BB53" s="2">
        <f t="shared" si="11"/>
        <v>0</v>
      </c>
      <c r="BC53" s="2">
        <f t="shared" si="12"/>
        <v>0</v>
      </c>
      <c r="BD53" s="2">
        <f t="shared" si="13"/>
        <v>1</v>
      </c>
    </row>
    <row r="54" spans="1:56" s="12" customFormat="1">
      <c r="A54" s="52" t="s">
        <v>23</v>
      </c>
      <c r="B54" s="53" t="s">
        <v>2</v>
      </c>
      <c r="C54" s="58"/>
      <c r="D54" s="58"/>
      <c r="E54" s="58"/>
      <c r="F54" s="58"/>
      <c r="G54" s="58"/>
      <c r="H54" s="58"/>
      <c r="I54" s="54">
        <f>53/4</f>
        <v>13.25</v>
      </c>
      <c r="J54" s="48">
        <f t="shared" si="7"/>
        <v>1.1222158782728267</v>
      </c>
      <c r="K54" s="53" t="s">
        <v>1</v>
      </c>
      <c r="L54" s="53" t="s">
        <v>22</v>
      </c>
      <c r="M54" s="53">
        <v>4</v>
      </c>
      <c r="N54" s="53">
        <v>31</v>
      </c>
      <c r="O54" s="53">
        <v>31</v>
      </c>
      <c r="P54" s="53">
        <v>10</v>
      </c>
      <c r="Q54" s="55">
        <v>3.4</v>
      </c>
      <c r="R54" s="57">
        <v>23.4</v>
      </c>
      <c r="S54" s="57">
        <v>90.1</v>
      </c>
      <c r="T54" s="57">
        <v>44.1</v>
      </c>
      <c r="U54" s="53">
        <v>585</v>
      </c>
      <c r="V54" s="53">
        <v>77</v>
      </c>
      <c r="W54" s="53">
        <v>158</v>
      </c>
      <c r="X54" s="53">
        <v>24</v>
      </c>
      <c r="Y54" s="53">
        <v>3</v>
      </c>
      <c r="Z54" s="53">
        <v>22</v>
      </c>
      <c r="AA54" s="53">
        <v>81</v>
      </c>
      <c r="AB54" s="53">
        <v>41</v>
      </c>
      <c r="AC54" s="53">
        <v>149</v>
      </c>
      <c r="AD54" s="56">
        <v>0.27</v>
      </c>
      <c r="AE54" s="56">
        <v>0.32500000000000001</v>
      </c>
      <c r="AF54" s="56">
        <v>0.43099999999999999</v>
      </c>
      <c r="AG54" s="56">
        <v>0.75600000000000001</v>
      </c>
      <c r="AH54" s="53">
        <v>105</v>
      </c>
      <c r="AI54" s="53">
        <v>252</v>
      </c>
      <c r="AJ54" s="55">
        <v>1.9</v>
      </c>
      <c r="AK54" s="60">
        <v>8</v>
      </c>
      <c r="AL54" s="61"/>
      <c r="AM54" s="61"/>
      <c r="AN54" s="61"/>
      <c r="AO54" s="61"/>
      <c r="AY54" s="1">
        <f t="shared" si="8"/>
        <v>0</v>
      </c>
      <c r="AZ54" s="1">
        <f t="shared" si="9"/>
        <v>0</v>
      </c>
      <c r="BA54" s="1">
        <f t="shared" si="10"/>
        <v>0</v>
      </c>
      <c r="BB54" s="1">
        <f t="shared" si="11"/>
        <v>0</v>
      </c>
      <c r="BC54" s="1">
        <f t="shared" si="12"/>
        <v>0</v>
      </c>
      <c r="BD54" s="1">
        <f t="shared" si="13"/>
        <v>1</v>
      </c>
    </row>
    <row r="55" spans="1:56">
      <c r="A55" s="45" t="s">
        <v>24</v>
      </c>
      <c r="B55" s="46" t="s">
        <v>2</v>
      </c>
      <c r="C55" s="58"/>
      <c r="D55" s="58"/>
      <c r="E55" s="58"/>
      <c r="F55" s="58"/>
      <c r="G55" s="58"/>
      <c r="H55" s="58"/>
      <c r="I55" s="47">
        <f>26.5/2</f>
        <v>13.25</v>
      </c>
      <c r="J55" s="48">
        <f t="shared" si="7"/>
        <v>1.1222158782728267</v>
      </c>
      <c r="K55" s="46" t="s">
        <v>1</v>
      </c>
      <c r="L55" s="46" t="s">
        <v>4</v>
      </c>
      <c r="M55" s="46">
        <v>2</v>
      </c>
      <c r="N55" s="46">
        <v>33</v>
      </c>
      <c r="O55" s="46">
        <v>33</v>
      </c>
      <c r="P55" s="46">
        <v>7</v>
      </c>
      <c r="Q55" s="49">
        <v>3.6</v>
      </c>
      <c r="R55" s="51">
        <v>22</v>
      </c>
      <c r="S55" s="51">
        <v>88.9</v>
      </c>
      <c r="T55" s="51">
        <v>40.200000000000003</v>
      </c>
      <c r="U55" s="46">
        <v>537</v>
      </c>
      <c r="V55" s="46">
        <v>87</v>
      </c>
      <c r="W55" s="46">
        <v>131</v>
      </c>
      <c r="X55" s="46">
        <v>27</v>
      </c>
      <c r="Y55" s="46">
        <v>3</v>
      </c>
      <c r="Z55" s="46">
        <v>22</v>
      </c>
      <c r="AA55" s="46">
        <v>74</v>
      </c>
      <c r="AB55" s="46">
        <v>64</v>
      </c>
      <c r="AC55" s="46">
        <v>138</v>
      </c>
      <c r="AD55" s="50">
        <v>0.24399999999999999</v>
      </c>
      <c r="AE55" s="50">
        <v>0.34399999999999997</v>
      </c>
      <c r="AF55" s="50">
        <v>0.43099999999999999</v>
      </c>
      <c r="AG55" s="50">
        <v>0.77600000000000002</v>
      </c>
      <c r="AH55" s="46">
        <v>114</v>
      </c>
      <c r="AI55" s="46">
        <v>232</v>
      </c>
      <c r="AJ55" s="49">
        <v>2.5</v>
      </c>
      <c r="AK55" s="59">
        <v>7</v>
      </c>
      <c r="AL55" s="58"/>
      <c r="AM55" s="58"/>
      <c r="AN55" s="58"/>
      <c r="AO55" s="58"/>
      <c r="AY55" s="1">
        <f t="shared" si="8"/>
        <v>0</v>
      </c>
      <c r="AZ55" s="1">
        <f t="shared" si="9"/>
        <v>0</v>
      </c>
      <c r="BA55" s="1">
        <f t="shared" si="10"/>
        <v>0</v>
      </c>
      <c r="BB55" s="1">
        <f t="shared" si="11"/>
        <v>0</v>
      </c>
      <c r="BC55" s="1">
        <f t="shared" si="12"/>
        <v>0</v>
      </c>
      <c r="BD55" s="1">
        <f t="shared" si="13"/>
        <v>1</v>
      </c>
    </row>
    <row r="56" spans="1:56">
      <c r="A56" s="52" t="s">
        <v>37</v>
      </c>
      <c r="B56" s="53" t="s">
        <v>2</v>
      </c>
      <c r="C56" s="58"/>
      <c r="D56" s="58"/>
      <c r="E56" s="58"/>
      <c r="F56" s="58"/>
      <c r="G56" s="58"/>
      <c r="H56" s="58"/>
      <c r="I56" s="54">
        <f>100/8</f>
        <v>12.5</v>
      </c>
      <c r="J56" s="48">
        <f t="shared" si="7"/>
        <v>1.0969100130080565</v>
      </c>
      <c r="K56" s="53" t="s">
        <v>1</v>
      </c>
      <c r="L56" s="53" t="s">
        <v>8</v>
      </c>
      <c r="M56" s="53">
        <v>8</v>
      </c>
      <c r="N56" s="53">
        <v>21</v>
      </c>
      <c r="O56" s="53">
        <v>24</v>
      </c>
      <c r="P56" s="53">
        <v>4</v>
      </c>
      <c r="Q56" s="55">
        <v>6</v>
      </c>
      <c r="R56" s="57">
        <v>25.9</v>
      </c>
      <c r="S56" s="57">
        <v>91.9</v>
      </c>
      <c r="T56" s="57">
        <v>51.9</v>
      </c>
      <c r="U56" s="53">
        <v>622</v>
      </c>
      <c r="V56" s="53">
        <v>132</v>
      </c>
      <c r="W56" s="53">
        <v>175</v>
      </c>
      <c r="X56" s="53">
        <v>32</v>
      </c>
      <c r="Y56" s="53">
        <v>3</v>
      </c>
      <c r="Z56" s="53">
        <v>43</v>
      </c>
      <c r="AA56" s="53">
        <v>101</v>
      </c>
      <c r="AB56" s="53">
        <v>85</v>
      </c>
      <c r="AC56" s="53">
        <v>187</v>
      </c>
      <c r="AD56" s="56">
        <v>0.28100000000000003</v>
      </c>
      <c r="AE56" s="56">
        <v>0.376</v>
      </c>
      <c r="AF56" s="56">
        <v>0.54900000000000004</v>
      </c>
      <c r="AG56" s="56">
        <v>0.92500000000000004</v>
      </c>
      <c r="AH56" s="53">
        <v>138</v>
      </c>
      <c r="AI56" s="53">
        <v>342</v>
      </c>
      <c r="AJ56" s="55">
        <v>6.1</v>
      </c>
      <c r="AK56" s="60">
        <v>32</v>
      </c>
      <c r="AL56" s="58"/>
      <c r="AM56" s="58"/>
      <c r="AN56" s="58"/>
      <c r="AO56" s="58"/>
      <c r="AY56" s="2">
        <f t="shared" si="8"/>
        <v>0</v>
      </c>
      <c r="AZ56" s="2">
        <f t="shared" si="9"/>
        <v>0</v>
      </c>
      <c r="BA56" s="2">
        <f t="shared" si="10"/>
        <v>0</v>
      </c>
      <c r="BB56" s="2">
        <f t="shared" si="11"/>
        <v>0</v>
      </c>
      <c r="BC56" s="2">
        <f t="shared" si="12"/>
        <v>0</v>
      </c>
      <c r="BD56" s="2">
        <f t="shared" si="13"/>
        <v>1</v>
      </c>
    </row>
    <row r="57" spans="1:56">
      <c r="A57" s="45" t="s">
        <v>44</v>
      </c>
      <c r="B57" s="46" t="s">
        <v>9</v>
      </c>
      <c r="C57" s="58"/>
      <c r="D57" s="58"/>
      <c r="E57" s="58"/>
      <c r="F57" s="58"/>
      <c r="G57" s="58"/>
      <c r="H57" s="58"/>
      <c r="I57" s="47">
        <f>75/6</f>
        <v>12.5</v>
      </c>
      <c r="J57" s="48">
        <f t="shared" si="7"/>
        <v>1.0969100130080565</v>
      </c>
      <c r="K57" s="46" t="s">
        <v>13</v>
      </c>
      <c r="L57" s="46" t="s">
        <v>43</v>
      </c>
      <c r="M57" s="46">
        <v>6</v>
      </c>
      <c r="N57" s="46">
        <v>29</v>
      </c>
      <c r="O57" s="46">
        <v>35</v>
      </c>
      <c r="P57" s="46">
        <v>11</v>
      </c>
      <c r="Q57" s="49">
        <v>2.4</v>
      </c>
      <c r="R57" s="51">
        <v>20</v>
      </c>
      <c r="S57" s="51">
        <v>88.7</v>
      </c>
      <c r="T57" s="51">
        <v>40.6</v>
      </c>
      <c r="U57" s="46">
        <v>548</v>
      </c>
      <c r="V57" s="46">
        <v>66</v>
      </c>
      <c r="W57" s="46">
        <v>140</v>
      </c>
      <c r="X57" s="46">
        <v>30</v>
      </c>
      <c r="Y57" s="46">
        <v>5</v>
      </c>
      <c r="Z57" s="46">
        <v>15</v>
      </c>
      <c r="AA57" s="46">
        <v>73</v>
      </c>
      <c r="AB57" s="46">
        <v>53</v>
      </c>
      <c r="AC57" s="46">
        <v>122</v>
      </c>
      <c r="AD57" s="50">
        <v>0.254</v>
      </c>
      <c r="AE57" s="50">
        <v>0.32200000000000001</v>
      </c>
      <c r="AF57" s="50">
        <v>0.40500000000000003</v>
      </c>
      <c r="AG57" s="50">
        <v>0.72699999999999998</v>
      </c>
      <c r="AH57" s="46">
        <v>100</v>
      </c>
      <c r="AI57" s="46">
        <v>222</v>
      </c>
      <c r="AJ57" s="49">
        <v>3.4</v>
      </c>
      <c r="AK57" s="59">
        <v>5</v>
      </c>
      <c r="AL57" s="58"/>
      <c r="AM57" s="58"/>
      <c r="AN57" s="58"/>
      <c r="AO57" s="58"/>
      <c r="AY57" s="2">
        <f t="shared" si="8"/>
        <v>0</v>
      </c>
      <c r="AZ57" s="2">
        <f t="shared" si="9"/>
        <v>0</v>
      </c>
      <c r="BA57" s="2">
        <f t="shared" si="10"/>
        <v>0</v>
      </c>
      <c r="BB57" s="2">
        <f t="shared" si="11"/>
        <v>0</v>
      </c>
      <c r="BC57" s="2">
        <f t="shared" si="12"/>
        <v>1</v>
      </c>
      <c r="BD57" s="2">
        <f t="shared" si="13"/>
        <v>0</v>
      </c>
    </row>
    <row r="58" spans="1:56">
      <c r="A58" s="45" t="s">
        <v>28</v>
      </c>
      <c r="B58" s="46" t="s">
        <v>2</v>
      </c>
      <c r="C58" s="58"/>
      <c r="D58" s="58"/>
      <c r="E58" s="58"/>
      <c r="F58" s="58"/>
      <c r="G58" s="58"/>
      <c r="H58" s="58"/>
      <c r="I58" s="47">
        <f>60/5</f>
        <v>12</v>
      </c>
      <c r="J58" s="48">
        <f t="shared" si="7"/>
        <v>1.0791812460476249</v>
      </c>
      <c r="K58" s="46" t="s">
        <v>1</v>
      </c>
      <c r="L58" s="46" t="s">
        <v>27</v>
      </c>
      <c r="M58" s="46">
        <v>5</v>
      </c>
      <c r="N58" s="46">
        <v>31</v>
      </c>
      <c r="O58" s="46">
        <v>34</v>
      </c>
      <c r="P58" s="46">
        <v>10</v>
      </c>
      <c r="Q58" s="49">
        <v>3.6</v>
      </c>
      <c r="R58" s="51">
        <v>17.399999999999999</v>
      </c>
      <c r="S58" s="51">
        <v>89.7</v>
      </c>
      <c r="T58" s="51">
        <v>44.7</v>
      </c>
      <c r="U58" s="46">
        <v>573</v>
      </c>
      <c r="V58" s="46">
        <v>90</v>
      </c>
      <c r="W58" s="46">
        <v>161</v>
      </c>
      <c r="X58" s="46">
        <v>35</v>
      </c>
      <c r="Y58" s="46">
        <v>6</v>
      </c>
      <c r="Z58" s="46">
        <v>23</v>
      </c>
      <c r="AA58" s="46">
        <v>75</v>
      </c>
      <c r="AB58" s="46">
        <v>45</v>
      </c>
      <c r="AC58" s="46">
        <v>110</v>
      </c>
      <c r="AD58" s="50">
        <v>0.28100000000000003</v>
      </c>
      <c r="AE58" s="50">
        <v>0.33800000000000002</v>
      </c>
      <c r="AF58" s="50">
        <v>0.48199999999999998</v>
      </c>
      <c r="AG58" s="50">
        <v>0.81899999999999995</v>
      </c>
      <c r="AH58" s="46">
        <v>116</v>
      </c>
      <c r="AI58" s="46">
        <v>276</v>
      </c>
      <c r="AJ58" s="49">
        <v>4.0999999999999996</v>
      </c>
      <c r="AK58" s="59">
        <v>22</v>
      </c>
      <c r="AL58" s="58"/>
      <c r="AM58" s="58"/>
      <c r="AN58" s="58"/>
      <c r="AO58" s="58"/>
      <c r="AY58" s="2">
        <f t="shared" si="8"/>
        <v>0</v>
      </c>
      <c r="AZ58" s="2">
        <f t="shared" si="9"/>
        <v>0</v>
      </c>
      <c r="BA58" s="2">
        <f t="shared" si="10"/>
        <v>0</v>
      </c>
      <c r="BB58" s="2">
        <f t="shared" si="11"/>
        <v>0</v>
      </c>
      <c r="BC58" s="2">
        <f t="shared" si="12"/>
        <v>0</v>
      </c>
      <c r="BD58" s="2">
        <f t="shared" si="13"/>
        <v>1</v>
      </c>
    </row>
    <row r="59" spans="1:56">
      <c r="A59" s="52" t="s">
        <v>21</v>
      </c>
      <c r="B59" s="53" t="s">
        <v>6</v>
      </c>
      <c r="C59" s="58"/>
      <c r="D59" s="58"/>
      <c r="E59" s="58"/>
      <c r="F59" s="58"/>
      <c r="G59" s="58"/>
      <c r="H59" s="58"/>
      <c r="I59" s="54">
        <v>12</v>
      </c>
      <c r="J59" s="48">
        <f t="shared" si="7"/>
        <v>1.0791812460476249</v>
      </c>
      <c r="K59" s="53" t="s">
        <v>5</v>
      </c>
      <c r="L59" s="53" t="s">
        <v>20</v>
      </c>
      <c r="M59" s="53">
        <v>1</v>
      </c>
      <c r="N59" s="53">
        <v>29</v>
      </c>
      <c r="O59" s="53">
        <v>29</v>
      </c>
      <c r="P59" s="53">
        <v>9</v>
      </c>
      <c r="Q59" s="55">
        <v>4.0999999999999996</v>
      </c>
      <c r="R59" s="57">
        <v>12.2</v>
      </c>
      <c r="S59" s="57">
        <v>89</v>
      </c>
      <c r="T59" s="57">
        <v>37.6</v>
      </c>
      <c r="U59" s="53">
        <v>586</v>
      </c>
      <c r="V59" s="53">
        <v>100</v>
      </c>
      <c r="W59" s="53">
        <v>163</v>
      </c>
      <c r="X59" s="53">
        <v>40</v>
      </c>
      <c r="Y59" s="53">
        <v>5</v>
      </c>
      <c r="Z59" s="53">
        <v>27</v>
      </c>
      <c r="AA59" s="53">
        <v>89</v>
      </c>
      <c r="AB59" s="53">
        <v>67</v>
      </c>
      <c r="AC59" s="53">
        <v>81</v>
      </c>
      <c r="AD59" s="56">
        <v>0.27800000000000002</v>
      </c>
      <c r="AE59" s="56">
        <v>0.35399999999999998</v>
      </c>
      <c r="AF59" s="56">
        <v>0.501</v>
      </c>
      <c r="AG59" s="56">
        <v>0.85499999999999998</v>
      </c>
      <c r="AH59" s="53">
        <v>126</v>
      </c>
      <c r="AI59" s="53">
        <v>294</v>
      </c>
      <c r="AJ59" s="55">
        <v>5.7</v>
      </c>
      <c r="AK59" s="60">
        <v>25</v>
      </c>
      <c r="AL59" s="58"/>
      <c r="AM59" s="58"/>
      <c r="AN59" s="58"/>
      <c r="AO59" s="58"/>
      <c r="AY59" s="1">
        <f t="shared" si="8"/>
        <v>0</v>
      </c>
      <c r="AZ59" s="1">
        <f t="shared" si="9"/>
        <v>0</v>
      </c>
      <c r="BA59" s="1">
        <f t="shared" si="10"/>
        <v>0</v>
      </c>
      <c r="BB59" s="1">
        <f t="shared" si="11"/>
        <v>1</v>
      </c>
      <c r="BC59" s="1">
        <f t="shared" si="12"/>
        <v>0</v>
      </c>
      <c r="BD59" s="1">
        <f t="shared" si="13"/>
        <v>0</v>
      </c>
    </row>
    <row r="60" spans="1:56">
      <c r="A60" s="45" t="s">
        <v>36</v>
      </c>
      <c r="B60" s="46" t="s">
        <v>35</v>
      </c>
      <c r="C60" s="58"/>
      <c r="D60" s="58"/>
      <c r="E60" s="58"/>
      <c r="F60" s="58"/>
      <c r="G60" s="58"/>
      <c r="H60" s="58"/>
      <c r="I60" s="47">
        <v>12</v>
      </c>
      <c r="J60" s="48">
        <f t="shared" si="7"/>
        <v>1.0791812460476249</v>
      </c>
      <c r="K60" s="46" t="s">
        <v>13</v>
      </c>
      <c r="L60" s="46" t="s">
        <v>34</v>
      </c>
      <c r="M60" s="46">
        <v>1</v>
      </c>
      <c r="N60" s="46">
        <v>28</v>
      </c>
      <c r="O60" s="46">
        <v>28</v>
      </c>
      <c r="P60" s="46">
        <v>6</v>
      </c>
      <c r="Q60" s="49">
        <v>6</v>
      </c>
      <c r="R60" s="51">
        <v>23.4</v>
      </c>
      <c r="S60" s="51">
        <v>92.6</v>
      </c>
      <c r="T60" s="51">
        <v>52.1</v>
      </c>
      <c r="U60" s="46">
        <v>577</v>
      </c>
      <c r="V60" s="46">
        <v>91</v>
      </c>
      <c r="W60" s="46">
        <v>146</v>
      </c>
      <c r="X60" s="46">
        <v>28</v>
      </c>
      <c r="Y60" s="46">
        <v>0</v>
      </c>
      <c r="Z60" s="46">
        <v>40</v>
      </c>
      <c r="AA60" s="46">
        <v>105</v>
      </c>
      <c r="AB60" s="46">
        <v>77</v>
      </c>
      <c r="AC60" s="46">
        <v>156</v>
      </c>
      <c r="AD60" s="50">
        <v>0.252</v>
      </c>
      <c r="AE60" s="50">
        <v>0.34799999999999998</v>
      </c>
      <c r="AF60" s="50">
        <v>0.51100000000000001</v>
      </c>
      <c r="AG60" s="50">
        <v>0.85899999999999999</v>
      </c>
      <c r="AH60" s="46">
        <v>134</v>
      </c>
      <c r="AI60" s="46">
        <v>295</v>
      </c>
      <c r="AJ60" s="49">
        <v>5.0999999999999996</v>
      </c>
      <c r="AK60" s="59">
        <v>2</v>
      </c>
      <c r="AL60" s="58"/>
      <c r="AM60" s="58"/>
      <c r="AN60" s="58"/>
      <c r="AO60" s="58"/>
      <c r="AY60" s="1">
        <f t="shared" si="8"/>
        <v>0</v>
      </c>
      <c r="AZ60" s="1">
        <f t="shared" si="9"/>
        <v>1</v>
      </c>
      <c r="BA60" s="1">
        <f t="shared" si="10"/>
        <v>0</v>
      </c>
      <c r="BB60" s="1">
        <f t="shared" si="11"/>
        <v>0</v>
      </c>
      <c r="BC60" s="1">
        <f t="shared" si="12"/>
        <v>0</v>
      </c>
      <c r="BD60" s="1">
        <f t="shared" si="13"/>
        <v>0</v>
      </c>
    </row>
    <row r="61" spans="1:56">
      <c r="A61" s="52" t="s">
        <v>18</v>
      </c>
      <c r="B61" s="53" t="s">
        <v>6</v>
      </c>
      <c r="C61" s="58"/>
      <c r="D61" s="58"/>
      <c r="E61" s="58"/>
      <c r="F61" s="58"/>
      <c r="G61" s="58"/>
      <c r="H61" s="58"/>
      <c r="I61" s="54">
        <f>66/6</f>
        <v>11</v>
      </c>
      <c r="J61" s="48">
        <f t="shared" si="7"/>
        <v>1.0413926851582251</v>
      </c>
      <c r="K61" s="53" t="s">
        <v>1</v>
      </c>
      <c r="L61" s="53" t="s">
        <v>17</v>
      </c>
      <c r="M61" s="53">
        <v>6</v>
      </c>
      <c r="N61" s="53">
        <v>26</v>
      </c>
      <c r="O61" s="53">
        <v>30</v>
      </c>
      <c r="P61" s="53">
        <v>8</v>
      </c>
      <c r="Q61" s="55">
        <v>4.8</v>
      </c>
      <c r="R61" s="57">
        <v>25.8</v>
      </c>
      <c r="S61" s="57">
        <v>88.7</v>
      </c>
      <c r="T61" s="57">
        <v>39.299999999999997</v>
      </c>
      <c r="U61" s="53">
        <v>570</v>
      </c>
      <c r="V61" s="53">
        <v>82</v>
      </c>
      <c r="W61" s="53">
        <v>144</v>
      </c>
      <c r="X61" s="53">
        <v>25</v>
      </c>
      <c r="Y61" s="53">
        <v>2</v>
      </c>
      <c r="Z61" s="53">
        <v>31</v>
      </c>
      <c r="AA61" s="53">
        <v>89</v>
      </c>
      <c r="AB61" s="53">
        <v>64</v>
      </c>
      <c r="AC61" s="53">
        <v>167</v>
      </c>
      <c r="AD61" s="56">
        <v>0.252</v>
      </c>
      <c r="AE61" s="56">
        <v>0.33400000000000002</v>
      </c>
      <c r="AF61" s="56">
        <v>0.46600000000000003</v>
      </c>
      <c r="AG61" s="56">
        <v>0.8</v>
      </c>
      <c r="AH61" s="53">
        <v>108</v>
      </c>
      <c r="AI61" s="53">
        <v>266</v>
      </c>
      <c r="AJ61" s="55">
        <v>2.2999999999999998</v>
      </c>
      <c r="AK61" s="60">
        <v>5</v>
      </c>
      <c r="AL61" s="58"/>
      <c r="AM61" s="58"/>
      <c r="AN61" s="58"/>
      <c r="AO61" s="58"/>
      <c r="AY61" s="2">
        <f t="shared" si="8"/>
        <v>0</v>
      </c>
      <c r="AZ61" s="2">
        <f t="shared" si="9"/>
        <v>0</v>
      </c>
      <c r="BA61" s="2">
        <f t="shared" si="10"/>
        <v>0</v>
      </c>
      <c r="BB61" s="2">
        <f t="shared" si="11"/>
        <v>1</v>
      </c>
      <c r="BC61" s="2">
        <f t="shared" si="12"/>
        <v>0</v>
      </c>
      <c r="BD61" s="2">
        <f t="shared" si="13"/>
        <v>0</v>
      </c>
    </row>
    <row r="62" spans="1:56">
      <c r="A62" s="45" t="s">
        <v>14</v>
      </c>
      <c r="B62" s="46" t="s">
        <v>6</v>
      </c>
      <c r="C62" s="58"/>
      <c r="D62" s="58"/>
      <c r="E62" s="58"/>
      <c r="F62" s="58"/>
      <c r="G62" s="58"/>
      <c r="H62" s="58"/>
      <c r="I62" s="47">
        <v>10.75</v>
      </c>
      <c r="J62" s="48">
        <f t="shared" si="7"/>
        <v>1.0314084642516241</v>
      </c>
      <c r="K62" s="46" t="s">
        <v>13</v>
      </c>
      <c r="L62" s="46" t="s">
        <v>12</v>
      </c>
      <c r="M62" s="46">
        <v>1</v>
      </c>
      <c r="N62" s="46">
        <v>25</v>
      </c>
      <c r="O62" s="46">
        <v>25</v>
      </c>
      <c r="P62" s="46">
        <v>5</v>
      </c>
      <c r="Q62" s="49">
        <v>4.8</v>
      </c>
      <c r="R62" s="51">
        <v>21.6</v>
      </c>
      <c r="S62" s="51">
        <v>92.4</v>
      </c>
      <c r="T62" s="51">
        <v>50.2</v>
      </c>
      <c r="U62" s="46">
        <v>633</v>
      </c>
      <c r="V62" s="46">
        <v>105</v>
      </c>
      <c r="W62" s="46">
        <v>177</v>
      </c>
      <c r="X62" s="46">
        <v>43</v>
      </c>
      <c r="Y62" s="46">
        <v>2</v>
      </c>
      <c r="Z62" s="46">
        <v>33</v>
      </c>
      <c r="AA62" s="46">
        <v>108</v>
      </c>
      <c r="AB62" s="46">
        <v>53</v>
      </c>
      <c r="AC62" s="46">
        <v>150</v>
      </c>
      <c r="AD62" s="50">
        <v>0.27900000000000003</v>
      </c>
      <c r="AE62" s="50">
        <v>0.33800000000000002</v>
      </c>
      <c r="AF62" s="50">
        <v>0.50900000000000001</v>
      </c>
      <c r="AG62" s="50">
        <v>0.84699999999999998</v>
      </c>
      <c r="AH62" s="46">
        <v>120</v>
      </c>
      <c r="AI62" s="46">
        <v>323</v>
      </c>
      <c r="AJ62" s="49">
        <v>3.2</v>
      </c>
      <c r="AK62" s="59">
        <v>6</v>
      </c>
      <c r="AL62" s="58"/>
      <c r="AM62" s="58"/>
      <c r="AN62" s="58"/>
      <c r="AO62" s="58"/>
      <c r="AY62" s="1">
        <f t="shared" si="8"/>
        <v>0</v>
      </c>
      <c r="AZ62" s="1">
        <f t="shared" si="9"/>
        <v>0</v>
      </c>
      <c r="BA62" s="1">
        <f t="shared" si="10"/>
        <v>0</v>
      </c>
      <c r="BB62" s="1">
        <f t="shared" si="11"/>
        <v>1</v>
      </c>
      <c r="BC62" s="1">
        <f t="shared" si="12"/>
        <v>0</v>
      </c>
      <c r="BD62" s="1">
        <f t="shared" si="13"/>
        <v>0</v>
      </c>
    </row>
    <row r="63" spans="1:56">
      <c r="A63" s="52" t="s">
        <v>11</v>
      </c>
      <c r="B63" s="53" t="s">
        <v>2</v>
      </c>
      <c r="C63" s="58"/>
      <c r="D63" s="58"/>
      <c r="E63" s="58"/>
      <c r="F63" s="58"/>
      <c r="G63" s="58"/>
      <c r="H63" s="58"/>
      <c r="I63" s="54">
        <f>52/5</f>
        <v>10.4</v>
      </c>
      <c r="J63" s="48">
        <f t="shared" si="7"/>
        <v>1.0170333392987803</v>
      </c>
      <c r="K63" s="53" t="s">
        <v>1</v>
      </c>
      <c r="L63" s="53" t="s">
        <v>0</v>
      </c>
      <c r="M63" s="53">
        <v>5</v>
      </c>
      <c r="N63" s="53">
        <v>27</v>
      </c>
      <c r="O63" s="53">
        <v>30</v>
      </c>
      <c r="P63" s="53">
        <v>8</v>
      </c>
      <c r="Q63" s="55">
        <v>4.8</v>
      </c>
      <c r="R63" s="57">
        <v>26.5</v>
      </c>
      <c r="S63" s="57">
        <v>90.7</v>
      </c>
      <c r="T63" s="57">
        <v>46.4</v>
      </c>
      <c r="U63" s="53">
        <v>556</v>
      </c>
      <c r="V63" s="53">
        <v>75</v>
      </c>
      <c r="W63" s="53">
        <v>136</v>
      </c>
      <c r="X63" s="53">
        <v>33</v>
      </c>
      <c r="Y63" s="53">
        <v>4</v>
      </c>
      <c r="Z63" s="53">
        <v>29</v>
      </c>
      <c r="AA63" s="53">
        <v>81</v>
      </c>
      <c r="AB63" s="53">
        <v>34</v>
      </c>
      <c r="AC63" s="53">
        <v>158</v>
      </c>
      <c r="AD63" s="56">
        <v>0.245</v>
      </c>
      <c r="AE63" s="56">
        <v>0.29299999999999998</v>
      </c>
      <c r="AF63" s="56">
        <v>0.47299999999999998</v>
      </c>
      <c r="AG63" s="56">
        <v>0.76500000000000001</v>
      </c>
      <c r="AH63" s="53">
        <v>103</v>
      </c>
      <c r="AI63" s="53">
        <v>263</v>
      </c>
      <c r="AJ63" s="55">
        <v>2</v>
      </c>
      <c r="AK63" s="60">
        <v>4</v>
      </c>
      <c r="AL63" s="58"/>
      <c r="AM63" s="58"/>
      <c r="AN63" s="58"/>
      <c r="AO63" s="58"/>
      <c r="AY63" s="2">
        <f t="shared" si="8"/>
        <v>0</v>
      </c>
      <c r="AZ63" s="2">
        <f t="shared" si="9"/>
        <v>0</v>
      </c>
      <c r="BA63" s="2">
        <f t="shared" si="10"/>
        <v>0</v>
      </c>
      <c r="BB63" s="2">
        <f t="shared" si="11"/>
        <v>0</v>
      </c>
      <c r="BC63" s="2">
        <f t="shared" si="12"/>
        <v>0</v>
      </c>
      <c r="BD63" s="2">
        <f t="shared" si="13"/>
        <v>1</v>
      </c>
    </row>
    <row r="64" spans="1:56">
      <c r="A64" s="45" t="s">
        <v>48</v>
      </c>
      <c r="B64" s="46" t="s">
        <v>2</v>
      </c>
      <c r="C64" s="58"/>
      <c r="D64" s="58"/>
      <c r="E64" s="58"/>
      <c r="F64" s="58"/>
      <c r="G64" s="58"/>
      <c r="H64" s="58"/>
      <c r="I64" s="47">
        <v>10.175000000000001</v>
      </c>
      <c r="J64" s="48">
        <f t="shared" si="7"/>
        <v>1.0075344178972576</v>
      </c>
      <c r="K64" s="46" t="s">
        <v>1</v>
      </c>
      <c r="L64" s="46" t="s">
        <v>15</v>
      </c>
      <c r="M64" s="46">
        <v>1</v>
      </c>
      <c r="N64" s="46">
        <v>30</v>
      </c>
      <c r="O64" s="46">
        <v>30</v>
      </c>
      <c r="P64" s="46">
        <v>6</v>
      </c>
      <c r="Q64" s="49">
        <v>6.4</v>
      </c>
      <c r="R64" s="51">
        <v>29.7</v>
      </c>
      <c r="S64" s="51">
        <v>95.6</v>
      </c>
      <c r="T64" s="51">
        <v>57.6</v>
      </c>
      <c r="U64" s="46">
        <v>586</v>
      </c>
      <c r="V64" s="46">
        <v>114</v>
      </c>
      <c r="W64" s="46">
        <v>162</v>
      </c>
      <c r="X64" s="46">
        <v>26</v>
      </c>
      <c r="Y64" s="46">
        <v>1</v>
      </c>
      <c r="Z64" s="46">
        <v>45</v>
      </c>
      <c r="AA64" s="46">
        <v>104</v>
      </c>
      <c r="AB64" s="46">
        <v>102</v>
      </c>
      <c r="AC64" s="46">
        <v>208</v>
      </c>
      <c r="AD64" s="50">
        <v>0.27600000000000002</v>
      </c>
      <c r="AE64" s="50">
        <v>0.38600000000000001</v>
      </c>
      <c r="AF64" s="50">
        <v>0.55400000000000005</v>
      </c>
      <c r="AG64" s="50">
        <v>0.94</v>
      </c>
      <c r="AH64" s="46">
        <v>150</v>
      </c>
      <c r="AI64" s="46">
        <v>325</v>
      </c>
      <c r="AJ64" s="49">
        <v>7.5</v>
      </c>
      <c r="AK64" s="59">
        <v>7</v>
      </c>
      <c r="AL64" s="58"/>
      <c r="AM64" s="58"/>
      <c r="AN64" s="58"/>
      <c r="AO64" s="58"/>
      <c r="AY64" s="2">
        <f t="shared" si="8"/>
        <v>0</v>
      </c>
      <c r="AZ64" s="2">
        <f t="shared" si="9"/>
        <v>0</v>
      </c>
      <c r="BA64" s="2">
        <f t="shared" si="10"/>
        <v>0</v>
      </c>
      <c r="BB64" s="2">
        <f t="shared" si="11"/>
        <v>0</v>
      </c>
      <c r="BC64" s="2">
        <f t="shared" si="12"/>
        <v>0</v>
      </c>
      <c r="BD64" s="2">
        <f t="shared" si="13"/>
        <v>1</v>
      </c>
    </row>
    <row r="65" spans="1:56">
      <c r="A65" s="52" t="s">
        <v>10</v>
      </c>
      <c r="B65" s="53" t="s">
        <v>9</v>
      </c>
      <c r="C65" s="58"/>
      <c r="D65" s="58"/>
      <c r="E65" s="58"/>
      <c r="F65" s="58"/>
      <c r="G65" s="58"/>
      <c r="H65" s="58"/>
      <c r="I65" s="54">
        <v>10.1</v>
      </c>
      <c r="J65" s="48">
        <f t="shared" si="7"/>
        <v>1.0043213737826426</v>
      </c>
      <c r="K65" s="53" t="s">
        <v>1</v>
      </c>
      <c r="L65" s="53" t="s">
        <v>8</v>
      </c>
      <c r="M65" s="53">
        <v>1</v>
      </c>
      <c r="N65" s="53">
        <v>28</v>
      </c>
      <c r="O65" s="53">
        <v>28</v>
      </c>
      <c r="P65" s="53">
        <v>6</v>
      </c>
      <c r="Q65" s="55">
        <v>2.9</v>
      </c>
      <c r="R65" s="57">
        <v>23.7</v>
      </c>
      <c r="S65" s="57">
        <v>88.6</v>
      </c>
      <c r="T65" s="57">
        <v>39.799999999999997</v>
      </c>
      <c r="U65" s="53">
        <v>585</v>
      </c>
      <c r="V65" s="53">
        <v>81</v>
      </c>
      <c r="W65" s="53">
        <v>146</v>
      </c>
      <c r="X65" s="53">
        <v>31</v>
      </c>
      <c r="Y65" s="53">
        <v>3</v>
      </c>
      <c r="Z65" s="53">
        <v>19</v>
      </c>
      <c r="AA65" s="53">
        <v>77</v>
      </c>
      <c r="AB65" s="53">
        <v>59</v>
      </c>
      <c r="AC65" s="53">
        <v>155</v>
      </c>
      <c r="AD65" s="56">
        <v>0.249</v>
      </c>
      <c r="AE65" s="56">
        <v>0.31900000000000001</v>
      </c>
      <c r="AF65" s="56">
        <v>0.40899999999999997</v>
      </c>
      <c r="AG65" s="56">
        <v>0.72699999999999998</v>
      </c>
      <c r="AH65" s="53">
        <v>89</v>
      </c>
      <c r="AI65" s="53">
        <v>239</v>
      </c>
      <c r="AJ65" s="55">
        <v>2.1</v>
      </c>
      <c r="AK65" s="60">
        <v>10</v>
      </c>
      <c r="AL65" s="58"/>
      <c r="AM65" s="58"/>
      <c r="AN65" s="58"/>
      <c r="AO65" s="58"/>
      <c r="AY65" s="1">
        <f t="shared" si="8"/>
        <v>0</v>
      </c>
      <c r="AZ65" s="1">
        <f t="shared" si="9"/>
        <v>0</v>
      </c>
      <c r="BA65" s="1">
        <f t="shared" si="10"/>
        <v>0</v>
      </c>
      <c r="BB65" s="1">
        <f t="shared" si="11"/>
        <v>0</v>
      </c>
      <c r="BC65" s="1">
        <f t="shared" si="12"/>
        <v>1</v>
      </c>
      <c r="BD65" s="1">
        <f t="shared" si="13"/>
        <v>0</v>
      </c>
    </row>
    <row r="66" spans="1:56">
      <c r="A66" s="45" t="s">
        <v>3</v>
      </c>
      <c r="B66" s="46" t="s">
        <v>2</v>
      </c>
      <c r="C66" s="58"/>
      <c r="D66" s="58"/>
      <c r="E66" s="58"/>
      <c r="F66" s="58"/>
      <c r="G66" s="58"/>
      <c r="H66" s="58"/>
      <c r="I66" s="47">
        <v>10</v>
      </c>
      <c r="J66" s="48">
        <f t="shared" ref="J66:J68" si="14">LOG(I66)</f>
        <v>1</v>
      </c>
      <c r="K66" s="46" t="s">
        <v>1</v>
      </c>
      <c r="L66" s="46" t="s">
        <v>0</v>
      </c>
      <c r="M66" s="46">
        <v>1</v>
      </c>
      <c r="N66" s="46">
        <v>29</v>
      </c>
      <c r="O66" s="46">
        <v>29</v>
      </c>
      <c r="P66" s="46">
        <v>6</v>
      </c>
      <c r="Q66" s="49">
        <v>5.4</v>
      </c>
      <c r="R66" s="51">
        <v>29.6</v>
      </c>
      <c r="S66" s="51">
        <v>91.9</v>
      </c>
      <c r="T66" s="51">
        <v>47.9</v>
      </c>
      <c r="U66" s="46">
        <v>567</v>
      </c>
      <c r="V66" s="46">
        <v>88</v>
      </c>
      <c r="W66" s="46">
        <v>148</v>
      </c>
      <c r="X66" s="46">
        <v>30</v>
      </c>
      <c r="Y66" s="46">
        <v>3</v>
      </c>
      <c r="Z66" s="46">
        <v>34</v>
      </c>
      <c r="AA66" s="46">
        <v>94</v>
      </c>
      <c r="AB66" s="46">
        <v>48</v>
      </c>
      <c r="AC66" s="46">
        <v>184</v>
      </c>
      <c r="AD66" s="50">
        <v>0.26</v>
      </c>
      <c r="AE66" s="50">
        <v>0.32</v>
      </c>
      <c r="AF66" s="50">
        <v>0.501</v>
      </c>
      <c r="AG66" s="50">
        <v>0.82199999999999995</v>
      </c>
      <c r="AH66" s="46">
        <v>120</v>
      </c>
      <c r="AI66" s="46">
        <v>284</v>
      </c>
      <c r="AJ66" s="49">
        <v>2.5</v>
      </c>
      <c r="AK66" s="59">
        <v>9</v>
      </c>
      <c r="AL66" s="58"/>
      <c r="AM66" s="58"/>
      <c r="AN66" s="58"/>
      <c r="AO66" s="58"/>
      <c r="AY66" s="1">
        <f t="shared" si="8"/>
        <v>0</v>
      </c>
      <c r="AZ66" s="1">
        <f t="shared" si="9"/>
        <v>0</v>
      </c>
      <c r="BA66" s="1">
        <f t="shared" si="10"/>
        <v>0</v>
      </c>
      <c r="BB66" s="1">
        <f t="shared" si="11"/>
        <v>0</v>
      </c>
      <c r="BC66" s="1">
        <f t="shared" si="12"/>
        <v>0</v>
      </c>
      <c r="BD66" s="1">
        <f t="shared" si="13"/>
        <v>1</v>
      </c>
    </row>
    <row r="67" spans="1:56">
      <c r="A67" s="52" t="s">
        <v>7</v>
      </c>
      <c r="B67" s="53" t="s">
        <v>6</v>
      </c>
      <c r="C67" s="58"/>
      <c r="D67" s="58"/>
      <c r="E67" s="58"/>
      <c r="F67" s="58"/>
      <c r="G67" s="58"/>
      <c r="H67" s="58"/>
      <c r="I67" s="54">
        <f>20/2</f>
        <v>10</v>
      </c>
      <c r="J67" s="48">
        <f t="shared" si="14"/>
        <v>1</v>
      </c>
      <c r="K67" s="53" t="s">
        <v>5</v>
      </c>
      <c r="L67" s="53" t="s">
        <v>4</v>
      </c>
      <c r="M67" s="53">
        <v>2</v>
      </c>
      <c r="N67" s="53">
        <v>33</v>
      </c>
      <c r="O67" s="53">
        <v>33</v>
      </c>
      <c r="P67" s="53">
        <v>11</v>
      </c>
      <c r="Q67" s="55">
        <v>3.2</v>
      </c>
      <c r="R67" s="57">
        <v>19.600000000000001</v>
      </c>
      <c r="S67" s="57">
        <v>87.1</v>
      </c>
      <c r="T67" s="57">
        <v>31.3</v>
      </c>
      <c r="U67" s="53">
        <v>561</v>
      </c>
      <c r="V67" s="53">
        <v>72</v>
      </c>
      <c r="W67" s="53">
        <v>144</v>
      </c>
      <c r="X67" s="53">
        <v>31</v>
      </c>
      <c r="Y67" s="53">
        <v>5</v>
      </c>
      <c r="Z67" s="53">
        <v>20</v>
      </c>
      <c r="AA67" s="53">
        <v>77</v>
      </c>
      <c r="AB67" s="53">
        <v>42</v>
      </c>
      <c r="AC67" s="53">
        <v>120</v>
      </c>
      <c r="AD67" s="56">
        <v>0.25600000000000001</v>
      </c>
      <c r="AE67" s="56">
        <v>0.309</v>
      </c>
      <c r="AF67" s="56">
        <v>0.436</v>
      </c>
      <c r="AG67" s="56">
        <v>0.745</v>
      </c>
      <c r="AH67" s="53">
        <v>99</v>
      </c>
      <c r="AI67" s="53">
        <v>245</v>
      </c>
      <c r="AJ67" s="55">
        <v>1.7</v>
      </c>
      <c r="AK67" s="60">
        <v>3</v>
      </c>
      <c r="AL67" s="58"/>
      <c r="AM67" s="58"/>
      <c r="AN67" s="58"/>
      <c r="AO67" s="58"/>
      <c r="AY67" s="1">
        <f t="shared" si="8"/>
        <v>0</v>
      </c>
      <c r="AZ67" s="1">
        <f t="shared" si="9"/>
        <v>0</v>
      </c>
      <c r="BA67" s="1">
        <f t="shared" si="10"/>
        <v>0</v>
      </c>
      <c r="BB67" s="1">
        <f t="shared" si="11"/>
        <v>1</v>
      </c>
      <c r="BC67" s="1">
        <f t="shared" si="12"/>
        <v>0</v>
      </c>
      <c r="BD67" s="1">
        <f t="shared" si="13"/>
        <v>0</v>
      </c>
    </row>
    <row r="68" spans="1:56">
      <c r="A68" s="45" t="s">
        <v>16</v>
      </c>
      <c r="B68" s="46" t="s">
        <v>2</v>
      </c>
      <c r="C68" s="58"/>
      <c r="D68" s="58"/>
      <c r="E68" s="58"/>
      <c r="F68" s="58"/>
      <c r="G68" s="58"/>
      <c r="H68" s="58"/>
      <c r="I68" s="47">
        <f>70/7</f>
        <v>10</v>
      </c>
      <c r="J68" s="48">
        <f t="shared" si="14"/>
        <v>1</v>
      </c>
      <c r="K68" s="46" t="s">
        <v>5</v>
      </c>
      <c r="L68" s="46" t="s">
        <v>15</v>
      </c>
      <c r="M68" s="46">
        <v>7</v>
      </c>
      <c r="N68" s="46">
        <v>29</v>
      </c>
      <c r="O68" s="46">
        <v>32</v>
      </c>
      <c r="P68" s="46">
        <v>9</v>
      </c>
      <c r="Q68" s="49">
        <v>3.3</v>
      </c>
      <c r="R68" s="51">
        <v>21</v>
      </c>
      <c r="S68" s="51">
        <v>89.3</v>
      </c>
      <c r="T68" s="51">
        <v>41</v>
      </c>
      <c r="U68" s="46">
        <v>531</v>
      </c>
      <c r="V68" s="46">
        <v>80</v>
      </c>
      <c r="W68" s="46">
        <v>124</v>
      </c>
      <c r="X68" s="46">
        <v>22</v>
      </c>
      <c r="Y68" s="46">
        <v>3</v>
      </c>
      <c r="Z68" s="46">
        <v>20</v>
      </c>
      <c r="AA68" s="46">
        <v>68</v>
      </c>
      <c r="AB68" s="46">
        <v>77</v>
      </c>
      <c r="AC68" s="46">
        <v>130</v>
      </c>
      <c r="AD68" s="50">
        <v>0.23300000000000001</v>
      </c>
      <c r="AE68" s="50">
        <v>0.33</v>
      </c>
      <c r="AF68" s="50">
        <v>0.39900000000000002</v>
      </c>
      <c r="AG68" s="50">
        <v>0.72899999999999998</v>
      </c>
      <c r="AH68" s="46">
        <v>98</v>
      </c>
      <c r="AI68" s="46">
        <v>212</v>
      </c>
      <c r="AJ68" s="49">
        <v>2.7</v>
      </c>
      <c r="AK68" s="59">
        <v>12</v>
      </c>
      <c r="AL68" s="58"/>
      <c r="AM68" s="58"/>
      <c r="AN68" s="58"/>
      <c r="AO68" s="58"/>
      <c r="AY68" s="1">
        <f t="shared" si="8"/>
        <v>0</v>
      </c>
      <c r="AZ68" s="1">
        <f t="shared" si="9"/>
        <v>0</v>
      </c>
      <c r="BA68" s="1">
        <f t="shared" si="10"/>
        <v>0</v>
      </c>
      <c r="BB68" s="1">
        <f t="shared" si="11"/>
        <v>0</v>
      </c>
      <c r="BC68" s="1">
        <f t="shared" si="12"/>
        <v>0</v>
      </c>
      <c r="BD68" s="1">
        <f t="shared" si="13"/>
        <v>1</v>
      </c>
    </row>
    <row r="70" spans="1:56">
      <c r="B70" t="s">
        <v>139</v>
      </c>
      <c r="I70" s="31">
        <f>AVERAGE(I2:I68)</f>
        <v>19.570483243125032</v>
      </c>
      <c r="J70" s="32">
        <f t="shared" ref="J70:AK70" si="15">AVERAGE(J2:J68)</f>
        <v>1.2646634801562611</v>
      </c>
      <c r="K70" s="31"/>
      <c r="L70" s="31"/>
      <c r="M70" s="8">
        <f t="shared" si="15"/>
        <v>5.4029850746268657</v>
      </c>
      <c r="N70" s="10">
        <f t="shared" si="15"/>
        <v>29.28358208955224</v>
      </c>
      <c r="O70" s="10">
        <f t="shared" si="15"/>
        <v>31.447761194029852</v>
      </c>
      <c r="P70" s="33">
        <f t="shared" si="15"/>
        <v>9.4179104477611943</v>
      </c>
      <c r="Q70" s="8">
        <f t="shared" si="15"/>
        <v>4.008955223880597</v>
      </c>
      <c r="R70" s="32">
        <f t="shared" si="15"/>
        <v>20.428358208955224</v>
      </c>
      <c r="S70" s="32">
        <f t="shared" si="15"/>
        <v>89.3641791044776</v>
      </c>
      <c r="T70" s="32">
        <f t="shared" si="15"/>
        <v>44.508955223880598</v>
      </c>
      <c r="U70" s="32">
        <f t="shared" si="15"/>
        <v>593.62686567164178</v>
      </c>
      <c r="V70" s="32">
        <f t="shared" si="15"/>
        <v>92.641791044776113</v>
      </c>
      <c r="W70" s="32">
        <f t="shared" si="15"/>
        <v>163.83582089552237</v>
      </c>
      <c r="X70" s="32">
        <f t="shared" si="15"/>
        <v>33.462686567164177</v>
      </c>
      <c r="Y70" s="32">
        <f t="shared" si="15"/>
        <v>3.2985074626865671</v>
      </c>
      <c r="Z70" s="32">
        <f t="shared" si="15"/>
        <v>26.82089552238806</v>
      </c>
      <c r="AA70" s="32">
        <f t="shared" si="15"/>
        <v>87.835820895522389</v>
      </c>
      <c r="AB70" s="32">
        <f t="shared" si="15"/>
        <v>64.28358208955224</v>
      </c>
      <c r="AC70" s="32">
        <f t="shared" si="15"/>
        <v>135.9402985074627</v>
      </c>
      <c r="AD70" s="34">
        <f t="shared" si="15"/>
        <v>0.27528358208955217</v>
      </c>
      <c r="AE70" s="34">
        <f t="shared" si="15"/>
        <v>0.34998507462686562</v>
      </c>
      <c r="AF70" s="34">
        <f t="shared" si="15"/>
        <v>0.47895522388059708</v>
      </c>
      <c r="AG70" s="34">
        <f t="shared" si="15"/>
        <v>0.82885074626865674</v>
      </c>
      <c r="AH70" s="32">
        <f t="shared" si="15"/>
        <v>120.95522388059702</v>
      </c>
      <c r="AI70" s="32">
        <f t="shared" si="15"/>
        <v>284.58208955223881</v>
      </c>
      <c r="AJ70" s="32">
        <f t="shared" si="15"/>
        <v>4.3044776119402997</v>
      </c>
      <c r="AK70" s="32">
        <f t="shared" si="15"/>
        <v>11.552238805970148</v>
      </c>
    </row>
    <row r="71" spans="1:56">
      <c r="B71" t="s">
        <v>70</v>
      </c>
      <c r="I71">
        <f>MIN(Table1[Avgsalary])</f>
        <v>10</v>
      </c>
      <c r="J71">
        <f>MIN(Table1[lsalary])</f>
        <v>1</v>
      </c>
      <c r="K71">
        <f>MIN(Table1[Bat/Throws])</f>
        <v>0</v>
      </c>
      <c r="L71">
        <f>MIN(Table1[Team])</f>
        <v>0</v>
      </c>
      <c r="M71">
        <f>MIN(Table1[Year(signed)])</f>
        <v>1</v>
      </c>
      <c r="N71">
        <f>MIN(Table1[Signed Age])</f>
        <v>21</v>
      </c>
      <c r="O71">
        <f>MIN(Table1[Present Age])</f>
        <v>23</v>
      </c>
      <c r="P71">
        <f>MIN(Table1[Totsea])</f>
        <v>4</v>
      </c>
      <c r="Q71">
        <f>MIN(Table1[HR%])</f>
        <v>1.8</v>
      </c>
      <c r="R71">
        <f>MIN(Table1[SO%])</f>
        <v>10.8</v>
      </c>
      <c r="S71">
        <f>MIN(Table1[EV])</f>
        <v>32.1</v>
      </c>
      <c r="T71">
        <f>MIN(Table1[HARDH%])</f>
        <v>29.4</v>
      </c>
      <c r="U71">
        <f>MIN(Table1[AB])</f>
        <v>514</v>
      </c>
      <c r="V71">
        <f>MIN(Table1[R])</f>
        <v>66</v>
      </c>
      <c r="W71">
        <f>MIN(Table1[H])</f>
        <v>124</v>
      </c>
      <c r="X71">
        <f>MIN(Table1[2B])</f>
        <v>22</v>
      </c>
      <c r="Y71">
        <f>MIN(Table1[3B])</f>
        <v>0</v>
      </c>
      <c r="Z71">
        <f>MIN(Table1[HR])</f>
        <v>12</v>
      </c>
      <c r="AA71">
        <f>MIN(Table1[RBI])</f>
        <v>60</v>
      </c>
      <c r="AB71">
        <f>MIN(Table1[BB])</f>
        <v>23</v>
      </c>
      <c r="AC71">
        <f>MIN(Table1[SO])</f>
        <v>74</v>
      </c>
      <c r="AD71">
        <f>MIN(Table1[BA])</f>
        <v>0.23300000000000001</v>
      </c>
      <c r="AE71">
        <f>MIN(Table1[OBP])</f>
        <v>0.29299999999999998</v>
      </c>
      <c r="AF71">
        <f>MIN(Table1[SLG])</f>
        <v>0.39900000000000002</v>
      </c>
      <c r="AG71">
        <f>MIN(Table1[OPS])</f>
        <v>0.72699999999999998</v>
      </c>
      <c r="AH71">
        <f>MIN(Table1[OPS+])</f>
        <v>89</v>
      </c>
      <c r="AI71">
        <f>MIN(Table1[TB])</f>
        <v>212</v>
      </c>
      <c r="AJ71">
        <f>MIN(Table1[WAR])</f>
        <v>1.7</v>
      </c>
      <c r="AK71">
        <f>MIN(Table1[SB])</f>
        <v>1</v>
      </c>
    </row>
    <row r="72" spans="1:56">
      <c r="B72" t="s">
        <v>141</v>
      </c>
      <c r="I72">
        <f>MAX(Table1[Avgsalary])</f>
        <v>36.285714285714285</v>
      </c>
      <c r="J72">
        <f>MAX(Table1[lsalary])</f>
        <v>1.5597356766056811</v>
      </c>
      <c r="K72">
        <f>MAX(Table1[Bat/Throws])</f>
        <v>0</v>
      </c>
      <c r="L72">
        <f>MAX(Table1[Team])</f>
        <v>0</v>
      </c>
      <c r="M72">
        <f>MAX(Table1[Year(signed)])</f>
        <v>13</v>
      </c>
      <c r="N72">
        <f>MAX(Table1[Signed Age])</f>
        <v>36</v>
      </c>
      <c r="O72">
        <f>MAX(Table1[Present Age])</f>
        <v>40</v>
      </c>
      <c r="P72">
        <f>MAX(Table1[Totsea])</f>
        <v>19</v>
      </c>
      <c r="Q72">
        <f>MAX(Table1[HR%])</f>
        <v>6.4</v>
      </c>
      <c r="R72">
        <f>MAX(Table1[SO%])</f>
        <v>29.7</v>
      </c>
      <c r="S72">
        <f>MAX(Table1[EV])</f>
        <v>95.6</v>
      </c>
      <c r="T72">
        <f>MAX(Table1[HARDH%])</f>
        <v>57.6</v>
      </c>
      <c r="U72">
        <f>MAX(Table1[AB])</f>
        <v>652</v>
      </c>
      <c r="V72">
        <f>MAX(Table1[R])</f>
        <v>132</v>
      </c>
      <c r="W72">
        <f>MAX(Table1[H])</f>
        <v>200</v>
      </c>
      <c r="X72">
        <f>MAX(Table1[2B])</f>
        <v>45</v>
      </c>
      <c r="Y72">
        <f>MAX(Table1[3B])</f>
        <v>8</v>
      </c>
      <c r="Z72">
        <f>MAX(Table1[HR])</f>
        <v>45</v>
      </c>
      <c r="AA72">
        <f>MAX(Table1[RBI])</f>
        <v>115</v>
      </c>
      <c r="AB72">
        <f>MAX(Table1[BB])</f>
        <v>130</v>
      </c>
      <c r="AC72">
        <f>MAX(Table1[SO])</f>
        <v>208</v>
      </c>
      <c r="AD72">
        <f>MAX(Table1[BA])</f>
        <v>0.31</v>
      </c>
      <c r="AE72">
        <f>MAX(Table1[OBP])</f>
        <v>0.432</v>
      </c>
      <c r="AF72">
        <f>MAX(Table1[SLG])</f>
        <v>0.58299999999999996</v>
      </c>
      <c r="AG72">
        <f>MAX(Table1[OPS])</f>
        <v>1.002</v>
      </c>
      <c r="AH72">
        <f>MAX(Table1[OPS+])</f>
        <v>176</v>
      </c>
      <c r="AI72">
        <f>MAX(Table1[TB])</f>
        <v>342</v>
      </c>
      <c r="AJ72">
        <f>MAX(Table1[WAR])</f>
        <v>9.6</v>
      </c>
      <c r="AK72">
        <f>MAX(Table1[SB])</f>
        <v>48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4855-6582-4419-9ED2-5030853841E9}">
  <dimension ref="A1:AK84"/>
  <sheetViews>
    <sheetView zoomScaleNormal="100" workbookViewId="0">
      <pane ySplit="1" topLeftCell="A2" activePane="bottomLeft" state="frozen"/>
      <selection pane="bottomLeft" activeCell="J2" sqref="J2"/>
    </sheetView>
  </sheetViews>
  <sheetFormatPr defaultRowHeight="14.5"/>
  <cols>
    <col min="1" max="1" width="17" bestFit="1" customWidth="1"/>
    <col min="2" max="2" width="3.90625" bestFit="1" customWidth="1"/>
    <col min="3" max="3" width="9" bestFit="1" customWidth="1"/>
    <col min="4" max="4" width="6.26953125" bestFit="1" customWidth="1"/>
    <col min="5" max="5" width="10.453125" bestFit="1" customWidth="1"/>
    <col min="6" max="6" width="5.453125" bestFit="1" customWidth="1"/>
    <col min="7" max="7" width="11.1796875" bestFit="1" customWidth="1"/>
    <col min="8" max="8" width="9.90625" bestFit="1" customWidth="1"/>
    <col min="9" max="9" width="10.81640625" bestFit="1" customWidth="1"/>
    <col min="10" max="10" width="6.36328125" bestFit="1" customWidth="1"/>
    <col min="11" max="11" width="10.453125" bestFit="1" customWidth="1"/>
    <col min="12" max="12" width="6.36328125" bestFit="1" customWidth="1"/>
    <col min="13" max="13" width="11.1796875" bestFit="1" customWidth="1"/>
    <col min="14" max="14" width="9.90625" bestFit="1" customWidth="1"/>
    <col min="15" max="15" width="10.81640625" bestFit="1" customWidth="1"/>
    <col min="16" max="16" width="7.453125" bestFit="1" customWidth="1"/>
    <col min="17" max="19" width="6.36328125" bestFit="1" customWidth="1"/>
    <col min="20" max="20" width="8.453125" bestFit="1" customWidth="1"/>
    <col min="21" max="27" width="6.36328125" bestFit="1" customWidth="1"/>
    <col min="28" max="28" width="6.36328125" style="8" bestFit="1" customWidth="1"/>
    <col min="29" max="29" width="6.453125" style="10" customWidth="1"/>
    <col min="30" max="30" width="6.36328125" style="10" bestFit="1" customWidth="1"/>
    <col min="31" max="31" width="8.453125" style="10" bestFit="1" customWidth="1"/>
  </cols>
  <sheetData>
    <row r="1" spans="1:37">
      <c r="A1" s="3" t="s">
        <v>119</v>
      </c>
      <c r="B1" s="3" t="s">
        <v>118</v>
      </c>
      <c r="C1" s="3" t="s">
        <v>138</v>
      </c>
      <c r="D1" s="3" t="s">
        <v>35</v>
      </c>
      <c r="E1" s="3" t="s">
        <v>32</v>
      </c>
      <c r="F1" s="3" t="s">
        <v>6</v>
      </c>
      <c r="G1" s="3" t="s">
        <v>9</v>
      </c>
      <c r="H1" s="3" t="s">
        <v>2</v>
      </c>
      <c r="I1" s="6" t="s">
        <v>117</v>
      </c>
      <c r="J1" s="11" t="s">
        <v>116</v>
      </c>
      <c r="K1" s="3" t="s">
        <v>115</v>
      </c>
      <c r="L1" s="3" t="s">
        <v>114</v>
      </c>
      <c r="M1" s="3" t="s">
        <v>121</v>
      </c>
      <c r="N1" s="3" t="s">
        <v>113</v>
      </c>
      <c r="O1" s="3" t="s">
        <v>112</v>
      </c>
      <c r="P1" s="3" t="s">
        <v>111</v>
      </c>
      <c r="Q1" s="5" t="s">
        <v>122</v>
      </c>
      <c r="R1" s="9" t="s">
        <v>123</v>
      </c>
      <c r="S1" s="9" t="s">
        <v>125</v>
      </c>
      <c r="T1" s="9" t="s">
        <v>124</v>
      </c>
      <c r="U1" s="3" t="s">
        <v>101</v>
      </c>
      <c r="V1" s="3" t="s">
        <v>107</v>
      </c>
      <c r="W1" s="3" t="s">
        <v>110</v>
      </c>
      <c r="X1" s="3" t="s">
        <v>32</v>
      </c>
      <c r="Y1" s="3" t="s">
        <v>6</v>
      </c>
      <c r="Z1" s="3" t="s">
        <v>108</v>
      </c>
      <c r="AA1" s="3" t="s">
        <v>109</v>
      </c>
      <c r="AB1" s="3" t="s">
        <v>98</v>
      </c>
      <c r="AC1" s="3" t="s">
        <v>100</v>
      </c>
      <c r="AD1" s="4" t="s">
        <v>104</v>
      </c>
      <c r="AE1" s="4" t="s">
        <v>97</v>
      </c>
      <c r="AF1" s="4" t="s">
        <v>96</v>
      </c>
      <c r="AG1" s="4" t="s">
        <v>105</v>
      </c>
      <c r="AH1" s="3" t="s">
        <v>103</v>
      </c>
      <c r="AI1" s="3" t="s">
        <v>102</v>
      </c>
      <c r="AJ1" s="5" t="s">
        <v>106</v>
      </c>
      <c r="AK1" s="3" t="s">
        <v>99</v>
      </c>
    </row>
    <row r="2" spans="1:37">
      <c r="A2" s="16" t="s">
        <v>94</v>
      </c>
      <c r="B2" s="17" t="s">
        <v>6</v>
      </c>
      <c r="C2" s="17">
        <f t="shared" ref="C2:C65" si="0">IF(B2="C",1,0)</f>
        <v>0</v>
      </c>
      <c r="D2" s="17">
        <f t="shared" ref="D2:D65" si="1">IF(B2="1B",1,0)</f>
        <v>0</v>
      </c>
      <c r="E2" s="17">
        <f t="shared" ref="E2:E65" si="2">IF(B2="2B",1,0)</f>
        <v>0</v>
      </c>
      <c r="F2" s="17">
        <f t="shared" ref="F2:F65" si="3">IF(B2="3B",1,0)</f>
        <v>1</v>
      </c>
      <c r="G2" s="17">
        <f t="shared" ref="G2:G65" si="4">IF(B2="SS",1,0)</f>
        <v>0</v>
      </c>
      <c r="H2" s="17">
        <f t="shared" ref="H2:H65" si="5">IF(B2="OF",1,0)</f>
        <v>0</v>
      </c>
      <c r="I2" s="18">
        <f>254/7</f>
        <v>36.285714285714285</v>
      </c>
      <c r="J2" s="19">
        <f t="shared" ref="J2:J33" si="6">LOG(I2)</f>
        <v>1.5597356766056811</v>
      </c>
      <c r="K2" s="17" t="s">
        <v>1</v>
      </c>
      <c r="L2" s="17" t="s">
        <v>84</v>
      </c>
      <c r="M2" s="17">
        <v>7</v>
      </c>
      <c r="N2" s="17">
        <v>30</v>
      </c>
      <c r="O2" s="17">
        <v>32</v>
      </c>
      <c r="P2" s="17">
        <v>9</v>
      </c>
      <c r="Q2" s="20">
        <v>3.4</v>
      </c>
      <c r="R2" s="21">
        <v>15.5</v>
      </c>
      <c r="S2" s="21">
        <v>90.9</v>
      </c>
      <c r="T2" s="21">
        <v>45.5</v>
      </c>
      <c r="U2" s="17">
        <v>605</v>
      </c>
      <c r="V2" s="17">
        <v>99</v>
      </c>
      <c r="W2" s="17">
        <v>174</v>
      </c>
      <c r="X2" s="17">
        <v>42</v>
      </c>
      <c r="Y2" s="17">
        <v>3</v>
      </c>
      <c r="Z2" s="17">
        <v>24</v>
      </c>
      <c r="AA2" s="17">
        <v>96</v>
      </c>
      <c r="AB2" s="17">
        <v>75</v>
      </c>
      <c r="AC2" s="17">
        <v>108</v>
      </c>
      <c r="AD2" s="22">
        <v>0.28699999999999998</v>
      </c>
      <c r="AE2" s="22">
        <v>0.36899999999999999</v>
      </c>
      <c r="AF2" s="22">
        <v>0.48399999999999999</v>
      </c>
      <c r="AG2" s="22">
        <v>0.85399999999999998</v>
      </c>
      <c r="AH2" s="17">
        <v>126</v>
      </c>
      <c r="AI2" s="17">
        <v>293</v>
      </c>
      <c r="AJ2" s="20">
        <v>5.0999999999999996</v>
      </c>
      <c r="AK2" s="23">
        <v>7</v>
      </c>
    </row>
    <row r="3" spans="1:37">
      <c r="A3" s="24" t="s">
        <v>95</v>
      </c>
      <c r="B3" s="25" t="s">
        <v>2</v>
      </c>
      <c r="C3" s="25">
        <f t="shared" si="0"/>
        <v>0</v>
      </c>
      <c r="D3" s="25">
        <f t="shared" si="1"/>
        <v>0</v>
      </c>
      <c r="E3" s="25">
        <f t="shared" si="2"/>
        <v>0</v>
      </c>
      <c r="F3" s="25">
        <f t="shared" si="3"/>
        <v>0</v>
      </c>
      <c r="G3" s="25">
        <f t="shared" si="4"/>
        <v>0</v>
      </c>
      <c r="H3" s="25">
        <f t="shared" si="5"/>
        <v>1</v>
      </c>
      <c r="I3" s="26">
        <f>426.5/12</f>
        <v>35.541666666666664</v>
      </c>
      <c r="J3" s="19">
        <f t="shared" si="6"/>
        <v>1.5507377894559169</v>
      </c>
      <c r="K3" s="25" t="s">
        <v>1</v>
      </c>
      <c r="L3" s="25" t="s">
        <v>84</v>
      </c>
      <c r="M3" s="25">
        <v>12</v>
      </c>
      <c r="N3" s="25">
        <v>27</v>
      </c>
      <c r="O3" s="25">
        <f>29+1</f>
        <v>30</v>
      </c>
      <c r="P3" s="25">
        <f>21-11+1</f>
        <v>11</v>
      </c>
      <c r="Q3" s="27">
        <v>5.5</v>
      </c>
      <c r="R3" s="28">
        <v>21.5</v>
      </c>
      <c r="S3" s="28">
        <v>91.9</v>
      </c>
      <c r="T3" s="28">
        <v>49</v>
      </c>
      <c r="U3" s="25">
        <v>586</v>
      </c>
      <c r="V3" s="25">
        <v>122</v>
      </c>
      <c r="W3" s="25">
        <v>178</v>
      </c>
      <c r="X3" s="25">
        <v>34</v>
      </c>
      <c r="Y3" s="25">
        <v>6</v>
      </c>
      <c r="Z3" s="25">
        <v>39</v>
      </c>
      <c r="AA3" s="25">
        <v>103</v>
      </c>
      <c r="AB3" s="25">
        <v>109</v>
      </c>
      <c r="AC3" s="25">
        <v>153</v>
      </c>
      <c r="AD3" s="29">
        <v>0.30499999999999999</v>
      </c>
      <c r="AE3" s="29">
        <v>0.41899999999999998</v>
      </c>
      <c r="AF3" s="29">
        <v>0.58299999999999996</v>
      </c>
      <c r="AG3" s="29">
        <v>1.002</v>
      </c>
      <c r="AH3" s="25">
        <v>176</v>
      </c>
      <c r="AI3" s="25">
        <v>341</v>
      </c>
      <c r="AJ3" s="27">
        <v>9.6</v>
      </c>
      <c r="AK3" s="30">
        <v>26</v>
      </c>
    </row>
    <row r="4" spans="1:37">
      <c r="A4" s="16" t="s">
        <v>92</v>
      </c>
      <c r="B4" s="17" t="s">
        <v>9</v>
      </c>
      <c r="C4" s="17">
        <f t="shared" si="0"/>
        <v>0</v>
      </c>
      <c r="D4" s="17">
        <f t="shared" si="1"/>
        <v>0</v>
      </c>
      <c r="E4" s="17">
        <f t="shared" si="2"/>
        <v>0</v>
      </c>
      <c r="F4" s="17">
        <f t="shared" si="3"/>
        <v>0</v>
      </c>
      <c r="G4" s="17">
        <f t="shared" si="4"/>
        <v>1</v>
      </c>
      <c r="H4" s="17">
        <f t="shared" si="5"/>
        <v>0</v>
      </c>
      <c r="I4" s="18">
        <f>341/10</f>
        <v>34.1</v>
      </c>
      <c r="J4" s="19">
        <f t="shared" si="6"/>
        <v>1.5327543789924978</v>
      </c>
      <c r="K4" s="17" t="s">
        <v>5</v>
      </c>
      <c r="L4" s="17" t="s">
        <v>4</v>
      </c>
      <c r="M4" s="17">
        <v>10</v>
      </c>
      <c r="N4" s="17">
        <v>27</v>
      </c>
      <c r="O4" s="17">
        <v>28</v>
      </c>
      <c r="P4" s="17">
        <v>7</v>
      </c>
      <c r="Q4" s="20">
        <v>3.9</v>
      </c>
      <c r="R4" s="21">
        <v>14.7</v>
      </c>
      <c r="S4" s="21">
        <v>90</v>
      </c>
      <c r="T4" s="21">
        <v>42.5</v>
      </c>
      <c r="U4" s="17">
        <v>645</v>
      </c>
      <c r="V4" s="17">
        <v>104</v>
      </c>
      <c r="W4" s="17">
        <v>180</v>
      </c>
      <c r="X4" s="17">
        <v>37</v>
      </c>
      <c r="Y4" s="17">
        <v>3</v>
      </c>
      <c r="Z4" s="17">
        <v>28</v>
      </c>
      <c r="AA4" s="17">
        <v>85</v>
      </c>
      <c r="AB4" s="17">
        <v>61</v>
      </c>
      <c r="AC4" s="17">
        <v>106</v>
      </c>
      <c r="AD4" s="22">
        <v>0.27800000000000002</v>
      </c>
      <c r="AE4" s="22">
        <v>0.34300000000000003</v>
      </c>
      <c r="AF4" s="22">
        <v>0.47799999999999998</v>
      </c>
      <c r="AG4" s="22">
        <v>0.82099999999999995</v>
      </c>
      <c r="AH4" s="17">
        <v>116</v>
      </c>
      <c r="AI4" s="17">
        <v>308</v>
      </c>
      <c r="AJ4" s="20">
        <v>5.6</v>
      </c>
      <c r="AK4" s="23">
        <v>20</v>
      </c>
    </row>
    <row r="5" spans="1:37">
      <c r="A5" s="24" t="s">
        <v>93</v>
      </c>
      <c r="B5" s="25" t="s">
        <v>6</v>
      </c>
      <c r="C5" s="25">
        <f t="shared" si="0"/>
        <v>0</v>
      </c>
      <c r="D5" s="25">
        <f t="shared" si="1"/>
        <v>0</v>
      </c>
      <c r="E5" s="25">
        <f t="shared" si="2"/>
        <v>0</v>
      </c>
      <c r="F5" s="25">
        <f t="shared" si="3"/>
        <v>1</v>
      </c>
      <c r="G5" s="25">
        <f t="shared" si="4"/>
        <v>0</v>
      </c>
      <c r="H5" s="25">
        <f t="shared" si="5"/>
        <v>0</v>
      </c>
      <c r="I5" s="26">
        <f>260/8</f>
        <v>32.5</v>
      </c>
      <c r="J5" s="19">
        <f t="shared" si="6"/>
        <v>1.5118833609788744</v>
      </c>
      <c r="K5" s="25" t="s">
        <v>1</v>
      </c>
      <c r="L5" s="25" t="s">
        <v>80</v>
      </c>
      <c r="M5" s="25">
        <v>8</v>
      </c>
      <c r="N5" s="25">
        <v>28</v>
      </c>
      <c r="O5" s="25">
        <v>31</v>
      </c>
      <c r="P5" s="25">
        <v>9</v>
      </c>
      <c r="Q5" s="27">
        <v>5.2</v>
      </c>
      <c r="R5" s="28">
        <v>15</v>
      </c>
      <c r="S5" s="28">
        <v>90</v>
      </c>
      <c r="T5" s="28">
        <v>42.1</v>
      </c>
      <c r="U5" s="25">
        <v>617</v>
      </c>
      <c r="V5" s="25">
        <v>96</v>
      </c>
      <c r="W5" s="25">
        <v>178</v>
      </c>
      <c r="X5" s="25">
        <v>39</v>
      </c>
      <c r="Y5" s="25">
        <v>4</v>
      </c>
      <c r="Z5" s="25">
        <v>35</v>
      </c>
      <c r="AA5" s="25">
        <v>113</v>
      </c>
      <c r="AB5" s="25">
        <v>54</v>
      </c>
      <c r="AC5" s="25">
        <v>102</v>
      </c>
      <c r="AD5" s="29">
        <v>0.28799999999999998</v>
      </c>
      <c r="AE5" s="29">
        <v>0.34499999999999997</v>
      </c>
      <c r="AF5" s="29">
        <v>0.53500000000000003</v>
      </c>
      <c r="AG5" s="29">
        <v>0.88</v>
      </c>
      <c r="AH5" s="25">
        <v>121</v>
      </c>
      <c r="AI5" s="25">
        <v>330</v>
      </c>
      <c r="AJ5" s="27">
        <v>5.8</v>
      </c>
      <c r="AK5" s="30">
        <v>2</v>
      </c>
    </row>
    <row r="6" spans="1:37">
      <c r="A6" s="16" t="s">
        <v>91</v>
      </c>
      <c r="B6" s="17" t="s">
        <v>9</v>
      </c>
      <c r="C6" s="17">
        <f t="shared" si="0"/>
        <v>0</v>
      </c>
      <c r="D6" s="17">
        <f t="shared" si="1"/>
        <v>0</v>
      </c>
      <c r="E6" s="17">
        <f t="shared" si="2"/>
        <v>0</v>
      </c>
      <c r="F6" s="17">
        <f t="shared" si="3"/>
        <v>0</v>
      </c>
      <c r="G6" s="17">
        <f t="shared" si="4"/>
        <v>1</v>
      </c>
      <c r="H6" s="17">
        <f t="shared" si="5"/>
        <v>0</v>
      </c>
      <c r="I6" s="18">
        <f>325/10</f>
        <v>32.5</v>
      </c>
      <c r="J6" s="19">
        <f t="shared" si="6"/>
        <v>1.5118833609788744</v>
      </c>
      <c r="K6" s="17" t="s">
        <v>40</v>
      </c>
      <c r="L6" s="17" t="s">
        <v>78</v>
      </c>
      <c r="M6" s="17">
        <v>10</v>
      </c>
      <c r="N6" s="17">
        <v>27</v>
      </c>
      <c r="O6" s="17">
        <v>28</v>
      </c>
      <c r="P6" s="17">
        <v>7</v>
      </c>
      <c r="Q6" s="20">
        <v>3.8</v>
      </c>
      <c r="R6" s="21">
        <v>18.5</v>
      </c>
      <c r="S6" s="21">
        <v>90.9</v>
      </c>
      <c r="T6" s="21">
        <v>47</v>
      </c>
      <c r="U6" s="17">
        <v>616</v>
      </c>
      <c r="V6" s="17">
        <v>100</v>
      </c>
      <c r="W6" s="17">
        <v>183</v>
      </c>
      <c r="X6" s="17">
        <v>42</v>
      </c>
      <c r="Y6" s="17">
        <v>3</v>
      </c>
      <c r="Z6" s="17">
        <v>26</v>
      </c>
      <c r="AA6" s="17">
        <v>93</v>
      </c>
      <c r="AB6" s="17">
        <v>65</v>
      </c>
      <c r="AC6" s="17">
        <v>128</v>
      </c>
      <c r="AD6" s="22">
        <v>0.29699999999999999</v>
      </c>
      <c r="AE6" s="22">
        <v>0.36699999999999999</v>
      </c>
      <c r="AF6" s="22">
        <v>0.504</v>
      </c>
      <c r="AG6" s="22">
        <v>0.87</v>
      </c>
      <c r="AH6" s="17">
        <v>131</v>
      </c>
      <c r="AI6" s="17">
        <v>310</v>
      </c>
      <c r="AJ6" s="20">
        <v>5.4</v>
      </c>
      <c r="AK6" s="23">
        <v>3</v>
      </c>
    </row>
    <row r="7" spans="1:37">
      <c r="A7" s="24" t="s">
        <v>90</v>
      </c>
      <c r="B7" s="25" t="s">
        <v>35</v>
      </c>
      <c r="C7" s="25">
        <f t="shared" si="0"/>
        <v>0</v>
      </c>
      <c r="D7" s="25">
        <f t="shared" si="1"/>
        <v>1</v>
      </c>
      <c r="E7" s="25">
        <f t="shared" si="2"/>
        <v>0</v>
      </c>
      <c r="F7" s="25">
        <f t="shared" si="3"/>
        <v>0</v>
      </c>
      <c r="G7" s="25">
        <f t="shared" si="4"/>
        <v>0</v>
      </c>
      <c r="H7" s="25">
        <f t="shared" si="5"/>
        <v>0</v>
      </c>
      <c r="I7" s="26">
        <f>248/8</f>
        <v>31</v>
      </c>
      <c r="J7" s="19">
        <f t="shared" si="6"/>
        <v>1.4913616938342726</v>
      </c>
      <c r="K7" s="25" t="s">
        <v>1</v>
      </c>
      <c r="L7" s="25" t="s">
        <v>62</v>
      </c>
      <c r="M7" s="25">
        <v>8</v>
      </c>
      <c r="N7" s="25">
        <v>33</v>
      </c>
      <c r="O7" s="25">
        <v>39</v>
      </c>
      <c r="P7" s="25">
        <v>19</v>
      </c>
      <c r="Q7" s="27">
        <v>4.5999999999999996</v>
      </c>
      <c r="R7" s="28">
        <v>17.600000000000001</v>
      </c>
      <c r="S7" s="28">
        <v>92.8</v>
      </c>
      <c r="T7" s="28">
        <v>52.5</v>
      </c>
      <c r="U7" s="25">
        <v>603</v>
      </c>
      <c r="V7" s="25">
        <v>94</v>
      </c>
      <c r="W7" s="25">
        <v>187</v>
      </c>
      <c r="X7" s="25">
        <v>37</v>
      </c>
      <c r="Y7" s="25">
        <v>1</v>
      </c>
      <c r="Z7" s="25">
        <v>31</v>
      </c>
      <c r="AA7" s="25">
        <v>113</v>
      </c>
      <c r="AB7" s="25">
        <v>75</v>
      </c>
      <c r="AC7" s="25">
        <v>121</v>
      </c>
      <c r="AD7" s="29">
        <v>0.31</v>
      </c>
      <c r="AE7" s="29">
        <v>0.38700000000000001</v>
      </c>
      <c r="AF7" s="29">
        <v>0.53200000000000003</v>
      </c>
      <c r="AG7" s="29">
        <v>0.92</v>
      </c>
      <c r="AH7" s="25">
        <v>145</v>
      </c>
      <c r="AI7" s="25">
        <v>321</v>
      </c>
      <c r="AJ7" s="27">
        <v>4.3</v>
      </c>
      <c r="AK7" s="30">
        <v>2</v>
      </c>
    </row>
    <row r="8" spans="1:37">
      <c r="A8" s="16" t="s">
        <v>69</v>
      </c>
      <c r="B8" s="17" t="s">
        <v>2</v>
      </c>
      <c r="C8" s="17">
        <f t="shared" si="0"/>
        <v>0</v>
      </c>
      <c r="D8" s="17">
        <f t="shared" si="1"/>
        <v>0</v>
      </c>
      <c r="E8" s="17">
        <f t="shared" si="2"/>
        <v>0</v>
      </c>
      <c r="F8" s="17">
        <f t="shared" si="3"/>
        <v>0</v>
      </c>
      <c r="G8" s="17">
        <f t="shared" si="4"/>
        <v>0</v>
      </c>
      <c r="H8" s="17">
        <f t="shared" si="5"/>
        <v>1</v>
      </c>
      <c r="I8" s="18">
        <f>365/12</f>
        <v>30.416666666666668</v>
      </c>
      <c r="J8" s="19">
        <f t="shared" si="6"/>
        <v>1.48311161840885</v>
      </c>
      <c r="K8" s="17" t="s">
        <v>1</v>
      </c>
      <c r="L8" s="17" t="s">
        <v>27</v>
      </c>
      <c r="M8" s="17">
        <v>12</v>
      </c>
      <c r="N8" s="17">
        <v>27</v>
      </c>
      <c r="O8" s="17">
        <v>29</v>
      </c>
      <c r="P8" s="17">
        <v>8</v>
      </c>
      <c r="Q8" s="20">
        <v>4</v>
      </c>
      <c r="R8" s="21">
        <v>13.3</v>
      </c>
      <c r="S8" s="21">
        <v>90.8</v>
      </c>
      <c r="T8" s="21">
        <v>45.9</v>
      </c>
      <c r="U8" s="17">
        <v>649</v>
      </c>
      <c r="V8" s="17">
        <v>126</v>
      </c>
      <c r="W8" s="17">
        <v>192</v>
      </c>
      <c r="X8" s="17">
        <v>45</v>
      </c>
      <c r="Y8" s="17">
        <v>5</v>
      </c>
      <c r="Z8" s="17">
        <v>30</v>
      </c>
      <c r="AA8" s="17">
        <v>95</v>
      </c>
      <c r="AB8" s="17">
        <v>77</v>
      </c>
      <c r="AC8" s="17">
        <v>77</v>
      </c>
      <c r="AD8" s="22">
        <v>0.29599999999999999</v>
      </c>
      <c r="AE8" s="22">
        <v>0.373</v>
      </c>
      <c r="AF8" s="22">
        <v>0.51800000000000002</v>
      </c>
      <c r="AG8" s="22">
        <v>0.89</v>
      </c>
      <c r="AH8" s="17">
        <v>134</v>
      </c>
      <c r="AI8" s="17">
        <v>336</v>
      </c>
      <c r="AJ8" s="20">
        <v>8.3000000000000007</v>
      </c>
      <c r="AK8" s="23">
        <v>24</v>
      </c>
    </row>
    <row r="9" spans="1:37">
      <c r="A9" s="24" t="s">
        <v>89</v>
      </c>
      <c r="B9" s="25" t="s">
        <v>6</v>
      </c>
      <c r="C9" s="25">
        <f t="shared" si="0"/>
        <v>0</v>
      </c>
      <c r="D9" s="25">
        <f t="shared" si="1"/>
        <v>0</v>
      </c>
      <c r="E9" s="25">
        <f t="shared" si="2"/>
        <v>0</v>
      </c>
      <c r="F9" s="25">
        <f t="shared" si="3"/>
        <v>1</v>
      </c>
      <c r="G9" s="25">
        <f t="shared" si="4"/>
        <v>0</v>
      </c>
      <c r="H9" s="25">
        <f t="shared" si="5"/>
        <v>0</v>
      </c>
      <c r="I9" s="26">
        <f>300/10</f>
        <v>30</v>
      </c>
      <c r="J9" s="19">
        <f t="shared" si="6"/>
        <v>1.4771212547196624</v>
      </c>
      <c r="K9" s="25" t="s">
        <v>1</v>
      </c>
      <c r="L9" s="25" t="s">
        <v>64</v>
      </c>
      <c r="M9" s="25">
        <v>10</v>
      </c>
      <c r="N9" s="25">
        <v>26</v>
      </c>
      <c r="O9" s="25">
        <v>29</v>
      </c>
      <c r="P9" s="25">
        <v>10</v>
      </c>
      <c r="Q9" s="27">
        <v>4.5</v>
      </c>
      <c r="R9" s="28">
        <v>16.600000000000001</v>
      </c>
      <c r="S9" s="28">
        <v>92</v>
      </c>
      <c r="T9" s="28">
        <v>49.8</v>
      </c>
      <c r="U9" s="25">
        <v>637</v>
      </c>
      <c r="V9" s="25">
        <v>92</v>
      </c>
      <c r="W9" s="25">
        <v>178</v>
      </c>
      <c r="X9" s="25">
        <v>34</v>
      </c>
      <c r="Y9" s="25">
        <v>2</v>
      </c>
      <c r="Z9" s="25">
        <v>31</v>
      </c>
      <c r="AA9" s="25">
        <v>94</v>
      </c>
      <c r="AB9" s="25">
        <v>56</v>
      </c>
      <c r="AC9" s="25">
        <v>117</v>
      </c>
      <c r="AD9" s="29">
        <v>0.28000000000000003</v>
      </c>
      <c r="AE9" s="29">
        <v>0.33800000000000002</v>
      </c>
      <c r="AF9" s="29">
        <v>0.48799999999999999</v>
      </c>
      <c r="AG9" s="29">
        <v>0.82599999999999996</v>
      </c>
      <c r="AH9" s="25">
        <v>122</v>
      </c>
      <c r="AI9" s="25">
        <v>311</v>
      </c>
      <c r="AJ9" s="27">
        <v>5.7</v>
      </c>
      <c r="AK9" s="30">
        <v>10</v>
      </c>
    </row>
    <row r="10" spans="1:37">
      <c r="A10" s="16" t="s">
        <v>127</v>
      </c>
      <c r="B10" s="17" t="s">
        <v>35</v>
      </c>
      <c r="C10" s="17">
        <f t="shared" si="0"/>
        <v>0</v>
      </c>
      <c r="D10" s="17">
        <f t="shared" si="1"/>
        <v>1</v>
      </c>
      <c r="E10" s="17">
        <f t="shared" si="2"/>
        <v>0</v>
      </c>
      <c r="F10" s="17">
        <f t="shared" si="3"/>
        <v>0</v>
      </c>
      <c r="G10" s="17">
        <f t="shared" si="4"/>
        <v>0</v>
      </c>
      <c r="H10" s="17">
        <f t="shared" si="5"/>
        <v>0</v>
      </c>
      <c r="I10" s="18">
        <v>27</v>
      </c>
      <c r="J10" s="19">
        <f t="shared" si="6"/>
        <v>1.4313637641589874</v>
      </c>
      <c r="K10" s="17" t="s">
        <v>13</v>
      </c>
      <c r="L10" s="17" t="s">
        <v>27</v>
      </c>
      <c r="M10" s="17">
        <v>6</v>
      </c>
      <c r="N10" s="17">
        <v>32</v>
      </c>
      <c r="O10" s="17">
        <v>32</v>
      </c>
      <c r="P10" s="17">
        <v>12</v>
      </c>
      <c r="Q10" s="20">
        <v>4.0999999999999996</v>
      </c>
      <c r="R10" s="21">
        <v>19.7</v>
      </c>
      <c r="S10" s="21">
        <v>90.7</v>
      </c>
      <c r="T10" s="21">
        <v>46.2</v>
      </c>
      <c r="U10" s="17">
        <v>597</v>
      </c>
      <c r="V10" s="17">
        <v>100</v>
      </c>
      <c r="W10" s="17">
        <v>176</v>
      </c>
      <c r="X10" s="17">
        <v>38</v>
      </c>
      <c r="Y10" s="17">
        <v>3</v>
      </c>
      <c r="Z10" s="17">
        <v>28</v>
      </c>
      <c r="AA10" s="17">
        <v>97</v>
      </c>
      <c r="AB10" s="17">
        <v>80</v>
      </c>
      <c r="AC10" s="17">
        <v>136</v>
      </c>
      <c r="AD10" s="22">
        <v>0.29499999999999998</v>
      </c>
      <c r="AE10" s="22">
        <v>0.38400000000000001</v>
      </c>
      <c r="AF10" s="22">
        <v>0.50900000000000001</v>
      </c>
      <c r="AG10" s="22">
        <v>0.89300000000000002</v>
      </c>
      <c r="AH10" s="17">
        <v>138</v>
      </c>
      <c r="AI10" s="17">
        <v>304</v>
      </c>
      <c r="AJ10" s="20">
        <v>4.5</v>
      </c>
      <c r="AK10" s="23">
        <v>5</v>
      </c>
    </row>
    <row r="11" spans="1:37">
      <c r="A11" s="24" t="s">
        <v>82</v>
      </c>
      <c r="B11" s="25" t="s">
        <v>2</v>
      </c>
      <c r="C11" s="25">
        <f t="shared" si="0"/>
        <v>0</v>
      </c>
      <c r="D11" s="25">
        <f t="shared" si="1"/>
        <v>0</v>
      </c>
      <c r="E11" s="25">
        <f t="shared" si="2"/>
        <v>0</v>
      </c>
      <c r="F11" s="25">
        <f t="shared" si="3"/>
        <v>0</v>
      </c>
      <c r="G11" s="25">
        <f t="shared" si="4"/>
        <v>0</v>
      </c>
      <c r="H11" s="25">
        <f t="shared" si="5"/>
        <v>1</v>
      </c>
      <c r="I11" s="26">
        <f>188.5/7</f>
        <v>26.928571428571427</v>
      </c>
      <c r="J11" s="19">
        <f t="shared" si="6"/>
        <v>1.4302133145275548</v>
      </c>
      <c r="K11" s="25" t="s">
        <v>13</v>
      </c>
      <c r="L11" s="25" t="s">
        <v>49</v>
      </c>
      <c r="M11" s="25">
        <v>7</v>
      </c>
      <c r="N11" s="25">
        <v>28</v>
      </c>
      <c r="O11" s="25">
        <v>30</v>
      </c>
      <c r="P11" s="25">
        <v>9</v>
      </c>
      <c r="Q11" s="27">
        <v>3.4</v>
      </c>
      <c r="R11" s="28">
        <v>21.4</v>
      </c>
      <c r="S11" s="28">
        <v>92.5</v>
      </c>
      <c r="T11" s="28">
        <v>51.9</v>
      </c>
      <c r="U11" s="25">
        <v>612</v>
      </c>
      <c r="V11" s="25">
        <v>103</v>
      </c>
      <c r="W11" s="25">
        <v>179</v>
      </c>
      <c r="X11" s="25">
        <v>35</v>
      </c>
      <c r="Y11" s="25">
        <v>4</v>
      </c>
      <c r="Z11" s="25">
        <v>24</v>
      </c>
      <c r="AA11" s="25">
        <v>85</v>
      </c>
      <c r="AB11" s="25">
        <v>83</v>
      </c>
      <c r="AC11" s="25">
        <v>151</v>
      </c>
      <c r="AD11" s="29">
        <v>0.29199999999999998</v>
      </c>
      <c r="AE11" s="29">
        <v>0.379</v>
      </c>
      <c r="AF11" s="29">
        <v>0.47699999999999998</v>
      </c>
      <c r="AG11" s="29">
        <v>0.85699999999999998</v>
      </c>
      <c r="AH11" s="25">
        <v>132</v>
      </c>
      <c r="AI11" s="25">
        <v>292</v>
      </c>
      <c r="AJ11" s="27">
        <v>4.9000000000000004</v>
      </c>
      <c r="AK11" s="30">
        <v>20</v>
      </c>
    </row>
    <row r="12" spans="1:37">
      <c r="A12" s="16" t="s">
        <v>81</v>
      </c>
      <c r="B12" s="17" t="s">
        <v>35</v>
      </c>
      <c r="C12" s="17">
        <f t="shared" si="0"/>
        <v>0</v>
      </c>
      <c r="D12" s="17">
        <f t="shared" si="1"/>
        <v>1</v>
      </c>
      <c r="E12" s="17">
        <f t="shared" si="2"/>
        <v>0</v>
      </c>
      <c r="F12" s="17">
        <f t="shared" si="3"/>
        <v>0</v>
      </c>
      <c r="G12" s="17">
        <f t="shared" si="4"/>
        <v>0</v>
      </c>
      <c r="H12" s="17">
        <f t="shared" si="5"/>
        <v>0</v>
      </c>
      <c r="I12" s="18">
        <f>130/5</f>
        <v>26</v>
      </c>
      <c r="J12" s="19">
        <f t="shared" si="6"/>
        <v>1.414973347970818</v>
      </c>
      <c r="K12" s="17" t="s">
        <v>1</v>
      </c>
      <c r="L12" s="17" t="s">
        <v>80</v>
      </c>
      <c r="M12" s="17">
        <v>5</v>
      </c>
      <c r="N12" s="17">
        <v>31</v>
      </c>
      <c r="O12" s="17">
        <v>34</v>
      </c>
      <c r="P12" s="17">
        <v>11</v>
      </c>
      <c r="Q12" s="20">
        <v>4.4000000000000004</v>
      </c>
      <c r="R12" s="21">
        <v>22.3</v>
      </c>
      <c r="S12" s="21">
        <v>91.9</v>
      </c>
      <c r="T12" s="21">
        <v>49.4</v>
      </c>
      <c r="U12" s="17">
        <v>592</v>
      </c>
      <c r="V12" s="17">
        <v>104</v>
      </c>
      <c r="W12" s="17">
        <v>173</v>
      </c>
      <c r="X12" s="17">
        <v>38</v>
      </c>
      <c r="Y12" s="17">
        <v>2</v>
      </c>
      <c r="Z12" s="17">
        <v>31</v>
      </c>
      <c r="AA12" s="17">
        <v>102</v>
      </c>
      <c r="AB12" s="17">
        <v>92</v>
      </c>
      <c r="AC12" s="17">
        <v>155</v>
      </c>
      <c r="AD12" s="22">
        <v>0.29299999999999998</v>
      </c>
      <c r="AE12" s="22">
        <v>0.38900000000000001</v>
      </c>
      <c r="AF12" s="22">
        <v>0.52100000000000002</v>
      </c>
      <c r="AG12" s="22">
        <v>0.91100000000000003</v>
      </c>
      <c r="AH12" s="17">
        <v>142</v>
      </c>
      <c r="AI12" s="17">
        <v>308</v>
      </c>
      <c r="AJ12" s="20">
        <v>5.6</v>
      </c>
      <c r="AK12" s="23">
        <v>15</v>
      </c>
    </row>
    <row r="13" spans="1:37">
      <c r="A13" s="24" t="s">
        <v>131</v>
      </c>
      <c r="B13" s="25" t="s">
        <v>6</v>
      </c>
      <c r="C13" s="25">
        <f t="shared" si="0"/>
        <v>0</v>
      </c>
      <c r="D13" s="25">
        <f t="shared" si="1"/>
        <v>0</v>
      </c>
      <c r="E13" s="25">
        <f t="shared" si="2"/>
        <v>0</v>
      </c>
      <c r="F13" s="25">
        <f t="shared" si="3"/>
        <v>1</v>
      </c>
      <c r="G13" s="25">
        <f t="shared" si="4"/>
        <v>0</v>
      </c>
      <c r="H13" s="25">
        <f t="shared" si="5"/>
        <v>0</v>
      </c>
      <c r="I13" s="26">
        <v>26</v>
      </c>
      <c r="J13" s="19">
        <f t="shared" si="6"/>
        <v>1.414973347970818</v>
      </c>
      <c r="K13" s="25" t="s">
        <v>1</v>
      </c>
      <c r="L13" s="25" t="s">
        <v>66</v>
      </c>
      <c r="M13" s="25">
        <v>7</v>
      </c>
      <c r="N13" s="25">
        <v>30</v>
      </c>
      <c r="O13" s="25">
        <v>30</v>
      </c>
      <c r="P13" s="25">
        <v>7</v>
      </c>
      <c r="Q13" s="27">
        <v>4.4000000000000004</v>
      </c>
      <c r="R13" s="28">
        <v>23.7</v>
      </c>
      <c r="S13" s="28">
        <v>88.2</v>
      </c>
      <c r="T13" s="28">
        <v>40.299999999999997</v>
      </c>
      <c r="U13" s="25">
        <v>602</v>
      </c>
      <c r="V13" s="25">
        <v>108</v>
      </c>
      <c r="W13" s="25">
        <v>167</v>
      </c>
      <c r="X13" s="25">
        <v>37</v>
      </c>
      <c r="Y13" s="25">
        <v>3</v>
      </c>
      <c r="Z13" s="25">
        <v>31</v>
      </c>
      <c r="AA13" s="25">
        <v>89</v>
      </c>
      <c r="AB13" s="25">
        <v>81</v>
      </c>
      <c r="AC13" s="25">
        <v>166</v>
      </c>
      <c r="AD13" s="29">
        <v>0.27800000000000002</v>
      </c>
      <c r="AE13" s="29">
        <v>0.376</v>
      </c>
      <c r="AF13" s="29">
        <v>0.504</v>
      </c>
      <c r="AG13" s="29">
        <v>0.88</v>
      </c>
      <c r="AH13" s="25">
        <v>132</v>
      </c>
      <c r="AI13" s="25">
        <v>304</v>
      </c>
      <c r="AJ13" s="27">
        <v>5.3</v>
      </c>
      <c r="AK13" s="30">
        <v>8</v>
      </c>
    </row>
    <row r="14" spans="1:37">
      <c r="A14" s="16" t="s">
        <v>83</v>
      </c>
      <c r="B14" s="17" t="s">
        <v>2</v>
      </c>
      <c r="C14" s="17">
        <f t="shared" si="0"/>
        <v>0</v>
      </c>
      <c r="D14" s="17">
        <f t="shared" si="1"/>
        <v>0</v>
      </c>
      <c r="E14" s="17">
        <f t="shared" si="2"/>
        <v>0</v>
      </c>
      <c r="F14" s="17">
        <f t="shared" si="3"/>
        <v>0</v>
      </c>
      <c r="G14" s="17">
        <f t="shared" si="4"/>
        <v>0</v>
      </c>
      <c r="H14" s="17">
        <f t="shared" si="5"/>
        <v>1</v>
      </c>
      <c r="I14" s="18">
        <f>330/13</f>
        <v>25.384615384615383</v>
      </c>
      <c r="J14" s="19">
        <f t="shared" si="6"/>
        <v>1.4045705875710506</v>
      </c>
      <c r="K14" s="17" t="s">
        <v>13</v>
      </c>
      <c r="L14" s="17" t="s">
        <v>31</v>
      </c>
      <c r="M14" s="17">
        <v>13</v>
      </c>
      <c r="N14" s="17">
        <v>26</v>
      </c>
      <c r="O14" s="17">
        <v>30</v>
      </c>
      <c r="P14" s="17">
        <v>10</v>
      </c>
      <c r="Q14" s="20">
        <v>4.9000000000000004</v>
      </c>
      <c r="R14" s="21">
        <v>21.7</v>
      </c>
      <c r="S14" s="21">
        <v>91.9</v>
      </c>
      <c r="T14" s="21">
        <v>47.9</v>
      </c>
      <c r="U14" s="17">
        <v>575</v>
      </c>
      <c r="V14" s="17">
        <v>107</v>
      </c>
      <c r="W14" s="17">
        <v>161</v>
      </c>
      <c r="X14" s="17">
        <v>34</v>
      </c>
      <c r="Y14" s="17">
        <v>3</v>
      </c>
      <c r="Z14" s="17">
        <v>34</v>
      </c>
      <c r="AA14" s="17">
        <v>95</v>
      </c>
      <c r="AB14" s="17">
        <v>105</v>
      </c>
      <c r="AC14" s="17">
        <v>150</v>
      </c>
      <c r="AD14" s="22">
        <v>0.27900000000000003</v>
      </c>
      <c r="AE14" s="22">
        <v>0.39200000000000002</v>
      </c>
      <c r="AF14" s="22">
        <v>0.52400000000000002</v>
      </c>
      <c r="AG14" s="22">
        <v>0.91600000000000004</v>
      </c>
      <c r="AH14" s="17">
        <v>142</v>
      </c>
      <c r="AI14" s="17">
        <v>302</v>
      </c>
      <c r="AJ14" s="20">
        <v>5.0999999999999996</v>
      </c>
      <c r="AK14" s="23">
        <v>14</v>
      </c>
    </row>
    <row r="15" spans="1:37">
      <c r="A15" s="24" t="s">
        <v>88</v>
      </c>
      <c r="B15" s="25" t="s">
        <v>2</v>
      </c>
      <c r="C15" s="25">
        <f t="shared" si="0"/>
        <v>0</v>
      </c>
      <c r="D15" s="25">
        <f t="shared" si="1"/>
        <v>0</v>
      </c>
      <c r="E15" s="25">
        <f t="shared" si="2"/>
        <v>0</v>
      </c>
      <c r="F15" s="25">
        <f t="shared" si="3"/>
        <v>0</v>
      </c>
      <c r="G15" s="25">
        <f t="shared" si="4"/>
        <v>0</v>
      </c>
      <c r="H15" s="25">
        <f t="shared" si="5"/>
        <v>1</v>
      </c>
      <c r="I15" s="26">
        <f>150/6</f>
        <v>25</v>
      </c>
      <c r="J15" s="19">
        <f t="shared" si="6"/>
        <v>1.3979400086720377</v>
      </c>
      <c r="K15" s="25" t="s">
        <v>1</v>
      </c>
      <c r="L15" s="25" t="s">
        <v>0</v>
      </c>
      <c r="M15" s="25">
        <v>6</v>
      </c>
      <c r="N15" s="25">
        <v>31</v>
      </c>
      <c r="O15" s="25">
        <v>32</v>
      </c>
      <c r="P15" s="25">
        <v>8</v>
      </c>
      <c r="Q15" s="27">
        <v>5</v>
      </c>
      <c r="R15" s="28">
        <v>22.1</v>
      </c>
      <c r="S15" s="28">
        <v>89.7</v>
      </c>
      <c r="T15" s="28">
        <v>44.1</v>
      </c>
      <c r="U15" s="25">
        <v>628</v>
      </c>
      <c r="V15" s="25">
        <v>116</v>
      </c>
      <c r="W15" s="25">
        <v>169</v>
      </c>
      <c r="X15" s="25">
        <v>29</v>
      </c>
      <c r="Y15" s="25">
        <v>3</v>
      </c>
      <c r="Z15" s="25">
        <v>36</v>
      </c>
      <c r="AA15" s="25">
        <v>94</v>
      </c>
      <c r="AB15" s="25">
        <v>80</v>
      </c>
      <c r="AC15" s="25">
        <v>160</v>
      </c>
      <c r="AD15" s="29">
        <v>0.26900000000000002</v>
      </c>
      <c r="AE15" s="29">
        <v>0.36</v>
      </c>
      <c r="AF15" s="29">
        <v>0.497</v>
      </c>
      <c r="AG15" s="29">
        <v>0.85699999999999998</v>
      </c>
      <c r="AH15" s="25">
        <v>132</v>
      </c>
      <c r="AI15" s="25">
        <v>312</v>
      </c>
      <c r="AJ15" s="27">
        <v>5.6</v>
      </c>
      <c r="AK15" s="30">
        <v>10</v>
      </c>
    </row>
    <row r="16" spans="1:37">
      <c r="A16" s="16" t="s">
        <v>87</v>
      </c>
      <c r="B16" s="17" t="s">
        <v>2</v>
      </c>
      <c r="C16" s="17">
        <f t="shared" si="0"/>
        <v>0</v>
      </c>
      <c r="D16" s="17">
        <f t="shared" si="1"/>
        <v>0</v>
      </c>
      <c r="E16" s="17">
        <f t="shared" si="2"/>
        <v>0</v>
      </c>
      <c r="F16" s="17">
        <f t="shared" si="3"/>
        <v>0</v>
      </c>
      <c r="G16" s="17">
        <f t="shared" si="4"/>
        <v>0</v>
      </c>
      <c r="H16" s="17">
        <f t="shared" si="5"/>
        <v>1</v>
      </c>
      <c r="I16" s="18">
        <f>325/13</f>
        <v>25</v>
      </c>
      <c r="J16" s="19">
        <f t="shared" si="6"/>
        <v>1.3979400086720377</v>
      </c>
      <c r="K16" s="17" t="s">
        <v>1</v>
      </c>
      <c r="L16" s="17" t="s">
        <v>15</v>
      </c>
      <c r="M16" s="17">
        <v>13</v>
      </c>
      <c r="N16" s="17">
        <v>25</v>
      </c>
      <c r="O16" s="17">
        <v>32</v>
      </c>
      <c r="P16" s="17">
        <v>12</v>
      </c>
      <c r="Q16" s="20">
        <v>6.2</v>
      </c>
      <c r="R16" s="21">
        <v>28</v>
      </c>
      <c r="S16" s="21">
        <v>94.7</v>
      </c>
      <c r="T16" s="21">
        <v>55</v>
      </c>
      <c r="U16" s="17">
        <v>592</v>
      </c>
      <c r="V16" s="17">
        <v>93</v>
      </c>
      <c r="W16" s="17">
        <v>159</v>
      </c>
      <c r="X16" s="17">
        <v>32</v>
      </c>
      <c r="Y16" s="17">
        <v>1</v>
      </c>
      <c r="Z16" s="17">
        <v>42</v>
      </c>
      <c r="AA16" s="17">
        <v>109</v>
      </c>
      <c r="AB16" s="17">
        <v>79</v>
      </c>
      <c r="AC16" s="17">
        <v>191</v>
      </c>
      <c r="AD16" s="22">
        <v>0.26800000000000002</v>
      </c>
      <c r="AE16" s="22">
        <v>0.35799999999999998</v>
      </c>
      <c r="AF16" s="22">
        <v>0.54300000000000004</v>
      </c>
      <c r="AG16" s="22">
        <v>0.90100000000000002</v>
      </c>
      <c r="AH16" s="17">
        <v>143</v>
      </c>
      <c r="AI16" s="17">
        <v>321</v>
      </c>
      <c r="AJ16" s="20">
        <v>5.4</v>
      </c>
      <c r="AK16" s="23">
        <v>5</v>
      </c>
    </row>
    <row r="17" spans="1:37">
      <c r="A17" s="24" t="s">
        <v>79</v>
      </c>
      <c r="B17" s="25" t="s">
        <v>32</v>
      </c>
      <c r="C17" s="25">
        <f t="shared" si="0"/>
        <v>0</v>
      </c>
      <c r="D17" s="25">
        <f t="shared" si="1"/>
        <v>0</v>
      </c>
      <c r="E17" s="25">
        <f t="shared" si="2"/>
        <v>1</v>
      </c>
      <c r="F17" s="25">
        <f t="shared" si="3"/>
        <v>0</v>
      </c>
      <c r="G17" s="25">
        <f t="shared" si="4"/>
        <v>0</v>
      </c>
      <c r="H17" s="25">
        <f t="shared" si="5"/>
        <v>0</v>
      </c>
      <c r="I17" s="26">
        <f>175/7</f>
        <v>25</v>
      </c>
      <c r="J17" s="19">
        <f t="shared" si="6"/>
        <v>1.3979400086720377</v>
      </c>
      <c r="K17" s="25" t="s">
        <v>1</v>
      </c>
      <c r="L17" s="25" t="s">
        <v>78</v>
      </c>
      <c r="M17" s="25">
        <v>7</v>
      </c>
      <c r="N17" s="25">
        <v>31</v>
      </c>
      <c r="O17" s="25">
        <v>31</v>
      </c>
      <c r="P17" s="25">
        <v>9</v>
      </c>
      <c r="Q17" s="27">
        <v>3.7</v>
      </c>
      <c r="R17" s="28">
        <v>20.2</v>
      </c>
      <c r="S17" s="28">
        <v>88.2</v>
      </c>
      <c r="T17" s="28">
        <v>36.9</v>
      </c>
      <c r="U17" s="25">
        <v>622</v>
      </c>
      <c r="V17" s="25">
        <v>92</v>
      </c>
      <c r="W17" s="25">
        <v>159</v>
      </c>
      <c r="X17" s="25">
        <v>33</v>
      </c>
      <c r="Y17" s="25">
        <v>4</v>
      </c>
      <c r="Z17" s="25">
        <v>25</v>
      </c>
      <c r="AA17" s="25">
        <v>77</v>
      </c>
      <c r="AB17" s="25">
        <v>62</v>
      </c>
      <c r="AC17" s="25">
        <v>139</v>
      </c>
      <c r="AD17" s="29">
        <v>0.25600000000000001</v>
      </c>
      <c r="AE17" s="29">
        <v>0.32400000000000001</v>
      </c>
      <c r="AF17" s="29">
        <v>0.44400000000000001</v>
      </c>
      <c r="AG17" s="29">
        <v>0.76800000000000002</v>
      </c>
      <c r="AH17" s="25">
        <v>110</v>
      </c>
      <c r="AI17" s="25">
        <v>276</v>
      </c>
      <c r="AJ17" s="27">
        <v>4.5999999999999996</v>
      </c>
      <c r="AK17" s="30">
        <v>13</v>
      </c>
    </row>
    <row r="18" spans="1:37">
      <c r="A18" s="16" t="s">
        <v>74</v>
      </c>
      <c r="B18" s="17" t="s">
        <v>32</v>
      </c>
      <c r="C18" s="17">
        <f t="shared" si="0"/>
        <v>0</v>
      </c>
      <c r="D18" s="17">
        <f t="shared" si="1"/>
        <v>0</v>
      </c>
      <c r="E18" s="17">
        <f t="shared" si="2"/>
        <v>1</v>
      </c>
      <c r="F18" s="17">
        <f t="shared" si="3"/>
        <v>0</v>
      </c>
      <c r="G18" s="17">
        <f t="shared" si="4"/>
        <v>0</v>
      </c>
      <c r="H18" s="17">
        <f t="shared" si="5"/>
        <v>0</v>
      </c>
      <c r="I18" s="18">
        <f>240/10</f>
        <v>24</v>
      </c>
      <c r="J18" s="19">
        <f t="shared" si="6"/>
        <v>1.3802112417116059</v>
      </c>
      <c r="K18" s="17" t="s">
        <v>13</v>
      </c>
      <c r="L18" s="17" t="s">
        <v>73</v>
      </c>
      <c r="M18" s="17">
        <v>10</v>
      </c>
      <c r="N18" s="17">
        <v>31</v>
      </c>
      <c r="O18" s="17">
        <v>40</v>
      </c>
      <c r="P18" s="17">
        <v>16</v>
      </c>
      <c r="Q18" s="20">
        <v>3.5</v>
      </c>
      <c r="R18" s="21">
        <v>12.6</v>
      </c>
      <c r="S18" s="21">
        <v>91.4</v>
      </c>
      <c r="T18" s="21">
        <v>49.1</v>
      </c>
      <c r="U18" s="17">
        <v>629</v>
      </c>
      <c r="V18" s="17">
        <v>91</v>
      </c>
      <c r="W18" s="17">
        <v>190</v>
      </c>
      <c r="X18" s="17">
        <v>41</v>
      </c>
      <c r="Y18" s="17">
        <v>2</v>
      </c>
      <c r="Z18" s="17">
        <v>24</v>
      </c>
      <c r="AA18" s="17">
        <v>94</v>
      </c>
      <c r="AB18" s="17">
        <v>45</v>
      </c>
      <c r="AC18" s="17">
        <v>86</v>
      </c>
      <c r="AD18" s="22">
        <v>0.30299999999999999</v>
      </c>
      <c r="AE18" s="22">
        <v>0.35199999999999998</v>
      </c>
      <c r="AF18" s="22">
        <v>0.49199999999999999</v>
      </c>
      <c r="AG18" s="22">
        <v>0.84399999999999997</v>
      </c>
      <c r="AH18" s="17">
        <v>126</v>
      </c>
      <c r="AI18" s="17">
        <v>309</v>
      </c>
      <c r="AJ18" s="20">
        <v>5</v>
      </c>
      <c r="AK18" s="23">
        <v>4</v>
      </c>
    </row>
    <row r="19" spans="1:37">
      <c r="A19" s="24" t="s">
        <v>86</v>
      </c>
      <c r="B19" s="25" t="s">
        <v>32</v>
      </c>
      <c r="C19" s="25">
        <f t="shared" si="0"/>
        <v>0</v>
      </c>
      <c r="D19" s="25">
        <f t="shared" si="1"/>
        <v>0</v>
      </c>
      <c r="E19" s="25">
        <f t="shared" si="2"/>
        <v>1</v>
      </c>
      <c r="F19" s="25">
        <f t="shared" si="3"/>
        <v>0</v>
      </c>
      <c r="G19" s="25">
        <f t="shared" si="4"/>
        <v>0</v>
      </c>
      <c r="H19" s="25">
        <f t="shared" si="5"/>
        <v>0</v>
      </c>
      <c r="I19" s="26">
        <f>163.5/7</f>
        <v>23.357142857142858</v>
      </c>
      <c r="J19" s="19">
        <f t="shared" si="6"/>
        <v>1.368419716982048</v>
      </c>
      <c r="K19" s="25" t="s">
        <v>1</v>
      </c>
      <c r="L19" s="25" t="s">
        <v>25</v>
      </c>
      <c r="M19" s="25">
        <v>7</v>
      </c>
      <c r="N19" s="25">
        <v>28</v>
      </c>
      <c r="O19" s="25">
        <v>32</v>
      </c>
      <c r="P19" s="25">
        <v>11</v>
      </c>
      <c r="Q19" s="27">
        <v>2.6</v>
      </c>
      <c r="R19" s="28">
        <v>11.9</v>
      </c>
      <c r="S19" s="28">
        <v>86.7</v>
      </c>
      <c r="T19" s="28">
        <v>35.200000000000003</v>
      </c>
      <c r="U19" s="25">
        <v>651</v>
      </c>
      <c r="V19" s="25">
        <v>100</v>
      </c>
      <c r="W19" s="25">
        <v>200</v>
      </c>
      <c r="X19" s="25">
        <v>38</v>
      </c>
      <c r="Y19" s="25">
        <v>1</v>
      </c>
      <c r="Z19" s="25">
        <v>18</v>
      </c>
      <c r="AA19" s="25">
        <v>72</v>
      </c>
      <c r="AB19" s="25">
        <v>50</v>
      </c>
      <c r="AC19" s="25">
        <v>85</v>
      </c>
      <c r="AD19" s="29">
        <v>0.308</v>
      </c>
      <c r="AE19" s="29">
        <v>0.36</v>
      </c>
      <c r="AF19" s="29">
        <v>0.46200000000000002</v>
      </c>
      <c r="AG19" s="29">
        <v>0.82099999999999995</v>
      </c>
      <c r="AH19" s="25">
        <v>125</v>
      </c>
      <c r="AI19" s="25">
        <v>301</v>
      </c>
      <c r="AJ19" s="27">
        <v>4.7</v>
      </c>
      <c r="AK19" s="30">
        <v>29</v>
      </c>
    </row>
    <row r="20" spans="1:37">
      <c r="A20" s="16" t="s">
        <v>63</v>
      </c>
      <c r="B20" s="17" t="s">
        <v>9</v>
      </c>
      <c r="C20" s="17">
        <f t="shared" si="0"/>
        <v>0</v>
      </c>
      <c r="D20" s="17">
        <f t="shared" si="1"/>
        <v>0</v>
      </c>
      <c r="E20" s="17">
        <f t="shared" si="2"/>
        <v>0</v>
      </c>
      <c r="F20" s="17">
        <f t="shared" si="3"/>
        <v>0</v>
      </c>
      <c r="G20" s="17">
        <f t="shared" si="4"/>
        <v>1</v>
      </c>
      <c r="H20" s="17">
        <f t="shared" si="5"/>
        <v>0</v>
      </c>
      <c r="I20" s="18">
        <f>140/6</f>
        <v>23.333333333333332</v>
      </c>
      <c r="J20" s="19">
        <f t="shared" si="6"/>
        <v>1.3679767852945943</v>
      </c>
      <c r="K20" s="17" t="s">
        <v>1</v>
      </c>
      <c r="L20" s="17" t="s">
        <v>62</v>
      </c>
      <c r="M20" s="17">
        <v>6</v>
      </c>
      <c r="N20" s="17">
        <v>29</v>
      </c>
      <c r="O20" s="17">
        <v>29</v>
      </c>
      <c r="P20" s="17">
        <v>8</v>
      </c>
      <c r="Q20" s="20">
        <v>4.5999999999999996</v>
      </c>
      <c r="R20" s="21">
        <v>29.3</v>
      </c>
      <c r="S20" s="21">
        <v>89.9</v>
      </c>
      <c r="T20" s="21">
        <v>44.9</v>
      </c>
      <c r="U20" s="17">
        <v>571</v>
      </c>
      <c r="V20" s="17">
        <v>85</v>
      </c>
      <c r="W20" s="17">
        <v>151</v>
      </c>
      <c r="X20" s="17">
        <v>30</v>
      </c>
      <c r="Y20" s="17">
        <v>4</v>
      </c>
      <c r="Z20" s="17">
        <v>28</v>
      </c>
      <c r="AA20" s="17">
        <v>87</v>
      </c>
      <c r="AB20" s="17">
        <v>29</v>
      </c>
      <c r="AC20" s="17">
        <v>179</v>
      </c>
      <c r="AD20" s="22">
        <v>0.26400000000000001</v>
      </c>
      <c r="AE20" s="22">
        <v>0.307</v>
      </c>
      <c r="AF20" s="22">
        <v>0.47699999999999998</v>
      </c>
      <c r="AG20" s="22">
        <v>0.78300000000000003</v>
      </c>
      <c r="AH20" s="17">
        <v>104</v>
      </c>
      <c r="AI20" s="17">
        <v>272</v>
      </c>
      <c r="AJ20" s="20">
        <v>4.4000000000000004</v>
      </c>
      <c r="AK20" s="23">
        <v>15</v>
      </c>
    </row>
    <row r="21" spans="1:37">
      <c r="A21" s="24" t="s">
        <v>129</v>
      </c>
      <c r="B21" s="25" t="s">
        <v>9</v>
      </c>
      <c r="C21" s="25">
        <f t="shared" si="0"/>
        <v>0</v>
      </c>
      <c r="D21" s="25">
        <f t="shared" si="1"/>
        <v>0</v>
      </c>
      <c r="E21" s="25">
        <f t="shared" si="2"/>
        <v>0</v>
      </c>
      <c r="F21" s="25">
        <f t="shared" si="3"/>
        <v>0</v>
      </c>
      <c r="G21" s="25">
        <f t="shared" si="4"/>
        <v>1</v>
      </c>
      <c r="H21" s="25">
        <f t="shared" si="5"/>
        <v>0</v>
      </c>
      <c r="I21" s="26">
        <v>23.332999999999998</v>
      </c>
      <c r="J21" s="19">
        <f t="shared" si="6"/>
        <v>1.3679705810433938</v>
      </c>
      <c r="K21" s="25" t="s">
        <v>1</v>
      </c>
      <c r="L21" s="25" t="s">
        <v>12</v>
      </c>
      <c r="M21" s="25">
        <v>6</v>
      </c>
      <c r="N21" s="25">
        <v>29</v>
      </c>
      <c r="O21" s="25">
        <v>29</v>
      </c>
      <c r="P21" s="25">
        <v>6</v>
      </c>
      <c r="Q21" s="27">
        <v>5</v>
      </c>
      <c r="R21" s="28">
        <v>27.6</v>
      </c>
      <c r="S21" s="28">
        <v>90.9</v>
      </c>
      <c r="T21" s="28">
        <v>45.9</v>
      </c>
      <c r="U21" s="25">
        <v>614</v>
      </c>
      <c r="V21" s="25">
        <v>101</v>
      </c>
      <c r="W21" s="25">
        <v>167</v>
      </c>
      <c r="X21" s="25">
        <v>39</v>
      </c>
      <c r="Y21" s="25">
        <v>6</v>
      </c>
      <c r="Z21" s="25">
        <v>34</v>
      </c>
      <c r="AA21" s="25">
        <v>98</v>
      </c>
      <c r="AB21" s="25">
        <v>58</v>
      </c>
      <c r="AC21" s="25">
        <v>188</v>
      </c>
      <c r="AD21" s="29">
        <v>0.27200000000000002</v>
      </c>
      <c r="AE21" s="29">
        <v>0.34</v>
      </c>
      <c r="AF21" s="29">
        <v>0.52300000000000002</v>
      </c>
      <c r="AG21" s="29">
        <v>0.86299999999999999</v>
      </c>
      <c r="AH21" s="25">
        <v>112</v>
      </c>
      <c r="AI21" s="25">
        <v>321</v>
      </c>
      <c r="AJ21" s="27">
        <v>5.8</v>
      </c>
      <c r="AK21" s="30">
        <v>22</v>
      </c>
    </row>
    <row r="22" spans="1:37">
      <c r="A22" s="16" t="s">
        <v>72</v>
      </c>
      <c r="B22" s="17" t="s">
        <v>53</v>
      </c>
      <c r="C22" s="17">
        <f t="shared" si="0"/>
        <v>1</v>
      </c>
      <c r="D22" s="17">
        <f t="shared" si="1"/>
        <v>0</v>
      </c>
      <c r="E22" s="17">
        <f t="shared" si="2"/>
        <v>0</v>
      </c>
      <c r="F22" s="17">
        <f t="shared" si="3"/>
        <v>0</v>
      </c>
      <c r="G22" s="17">
        <f t="shared" si="4"/>
        <v>0</v>
      </c>
      <c r="H22" s="17">
        <f t="shared" si="5"/>
        <v>0</v>
      </c>
      <c r="I22" s="18">
        <f>115.5/5</f>
        <v>23.1</v>
      </c>
      <c r="J22" s="19">
        <f t="shared" si="6"/>
        <v>1.3636119798921444</v>
      </c>
      <c r="K22" s="17" t="s">
        <v>1</v>
      </c>
      <c r="L22" s="17" t="s">
        <v>31</v>
      </c>
      <c r="M22" s="17">
        <v>5</v>
      </c>
      <c r="N22" s="17">
        <v>30</v>
      </c>
      <c r="O22" s="17">
        <v>32</v>
      </c>
      <c r="P22" s="17">
        <v>8</v>
      </c>
      <c r="Q22" s="20">
        <v>3.2</v>
      </c>
      <c r="R22" s="21">
        <v>19.8</v>
      </c>
      <c r="S22" s="21">
        <v>89.6</v>
      </c>
      <c r="T22" s="21">
        <v>42.1</v>
      </c>
      <c r="U22" s="17">
        <v>594</v>
      </c>
      <c r="V22" s="17">
        <v>83</v>
      </c>
      <c r="W22" s="17">
        <v>163</v>
      </c>
      <c r="X22" s="17">
        <v>34</v>
      </c>
      <c r="Y22" s="17">
        <v>4</v>
      </c>
      <c r="Z22" s="17">
        <v>21</v>
      </c>
      <c r="AA22" s="17">
        <v>81</v>
      </c>
      <c r="AB22" s="17">
        <v>42</v>
      </c>
      <c r="AC22" s="17">
        <v>129</v>
      </c>
      <c r="AD22" s="22">
        <v>0.27500000000000002</v>
      </c>
      <c r="AE22" s="22">
        <v>0.33100000000000002</v>
      </c>
      <c r="AF22" s="22">
        <v>0.45300000000000001</v>
      </c>
      <c r="AG22" s="22">
        <v>0.78300000000000003</v>
      </c>
      <c r="AH22" s="17">
        <v>111</v>
      </c>
      <c r="AI22" s="17">
        <v>269</v>
      </c>
      <c r="AJ22" s="20">
        <v>4.4000000000000004</v>
      </c>
      <c r="AK22" s="23">
        <v>11</v>
      </c>
    </row>
    <row r="23" spans="1:37">
      <c r="A23" s="24" t="s">
        <v>76</v>
      </c>
      <c r="B23" s="25" t="s">
        <v>2</v>
      </c>
      <c r="C23" s="25">
        <f t="shared" si="0"/>
        <v>0</v>
      </c>
      <c r="D23" s="25">
        <f t="shared" si="1"/>
        <v>0</v>
      </c>
      <c r="E23" s="25">
        <f t="shared" si="2"/>
        <v>0</v>
      </c>
      <c r="F23" s="25">
        <f t="shared" si="3"/>
        <v>0</v>
      </c>
      <c r="G23" s="25">
        <f t="shared" si="4"/>
        <v>0</v>
      </c>
      <c r="H23" s="25">
        <f t="shared" si="5"/>
        <v>1</v>
      </c>
      <c r="I23" s="26">
        <f>184/8</f>
        <v>23</v>
      </c>
      <c r="J23" s="19">
        <f t="shared" si="6"/>
        <v>1.3617278360175928</v>
      </c>
      <c r="K23" s="25" t="s">
        <v>40</v>
      </c>
      <c r="L23" s="25" t="s">
        <v>75</v>
      </c>
      <c r="M23" s="25">
        <v>8</v>
      </c>
      <c r="N23" s="25">
        <v>26</v>
      </c>
      <c r="O23" s="25">
        <v>32</v>
      </c>
      <c r="P23" s="25">
        <v>12</v>
      </c>
      <c r="Q23" s="27">
        <v>2.6</v>
      </c>
      <c r="R23" s="28">
        <v>17.5</v>
      </c>
      <c r="S23" s="28">
        <v>88.6</v>
      </c>
      <c r="T23" s="28">
        <v>41.1</v>
      </c>
      <c r="U23" s="25">
        <v>570</v>
      </c>
      <c r="V23" s="25">
        <v>82</v>
      </c>
      <c r="W23" s="25">
        <v>148</v>
      </c>
      <c r="X23" s="25">
        <v>28</v>
      </c>
      <c r="Y23" s="25">
        <v>4</v>
      </c>
      <c r="Z23" s="25">
        <v>17</v>
      </c>
      <c r="AA23" s="25">
        <v>67</v>
      </c>
      <c r="AB23" s="25">
        <v>67</v>
      </c>
      <c r="AC23" s="25">
        <v>113</v>
      </c>
      <c r="AD23" s="29">
        <v>0.25900000000000001</v>
      </c>
      <c r="AE23" s="29">
        <v>0.34100000000000003</v>
      </c>
      <c r="AF23" s="29">
        <v>0.41</v>
      </c>
      <c r="AG23" s="29">
        <v>0.75</v>
      </c>
      <c r="AH23" s="25">
        <v>102</v>
      </c>
      <c r="AI23" s="25">
        <v>234</v>
      </c>
      <c r="AJ23" s="27">
        <v>4.2</v>
      </c>
      <c r="AK23" s="30">
        <v>12</v>
      </c>
    </row>
    <row r="24" spans="1:37">
      <c r="A24" s="16" t="s">
        <v>71</v>
      </c>
      <c r="B24" s="17" t="s">
        <v>6</v>
      </c>
      <c r="C24" s="17">
        <f t="shared" si="0"/>
        <v>0</v>
      </c>
      <c r="D24" s="17">
        <f t="shared" si="1"/>
        <v>0</v>
      </c>
      <c r="E24" s="17">
        <f t="shared" si="2"/>
        <v>0</v>
      </c>
      <c r="F24" s="17">
        <f t="shared" si="3"/>
        <v>1</v>
      </c>
      <c r="G24" s="17">
        <f t="shared" si="4"/>
        <v>0</v>
      </c>
      <c r="H24" s="17">
        <f t="shared" si="5"/>
        <v>0</v>
      </c>
      <c r="I24" s="18">
        <f>92/4</f>
        <v>23</v>
      </c>
      <c r="J24" s="19">
        <f t="shared" si="6"/>
        <v>1.3617278360175928</v>
      </c>
      <c r="K24" s="17" t="s">
        <v>1</v>
      </c>
      <c r="L24" s="17" t="s">
        <v>70</v>
      </c>
      <c r="M24" s="17">
        <v>4</v>
      </c>
      <c r="N24" s="17">
        <v>34</v>
      </c>
      <c r="O24" s="17">
        <v>36</v>
      </c>
      <c r="P24" s="17">
        <v>11</v>
      </c>
      <c r="Q24" s="20">
        <v>4.9000000000000004</v>
      </c>
      <c r="R24" s="21">
        <v>20</v>
      </c>
      <c r="S24" s="21">
        <v>93.1</v>
      </c>
      <c r="T24" s="21">
        <v>52.8</v>
      </c>
      <c r="U24" s="17">
        <v>591</v>
      </c>
      <c r="V24" s="17">
        <v>100</v>
      </c>
      <c r="W24" s="17">
        <v>159</v>
      </c>
      <c r="X24" s="17">
        <v>34</v>
      </c>
      <c r="Y24" s="17">
        <v>2</v>
      </c>
      <c r="Z24" s="17">
        <v>34</v>
      </c>
      <c r="AA24" s="17">
        <v>98</v>
      </c>
      <c r="AB24" s="17">
        <v>88</v>
      </c>
      <c r="AC24" s="17">
        <v>138</v>
      </c>
      <c r="AD24" s="22">
        <v>0.26900000000000002</v>
      </c>
      <c r="AE24" s="22">
        <v>0.36699999999999999</v>
      </c>
      <c r="AF24" s="22">
        <v>0.505</v>
      </c>
      <c r="AG24" s="22">
        <v>0.872</v>
      </c>
      <c r="AH24" s="17">
        <v>135</v>
      </c>
      <c r="AI24" s="17">
        <v>298</v>
      </c>
      <c r="AJ24" s="20">
        <v>6</v>
      </c>
      <c r="AK24" s="23">
        <v>5</v>
      </c>
    </row>
    <row r="25" spans="1:37">
      <c r="A25" s="24" t="s">
        <v>77</v>
      </c>
      <c r="B25" s="25" t="s">
        <v>35</v>
      </c>
      <c r="C25" s="25">
        <f t="shared" si="0"/>
        <v>0</v>
      </c>
      <c r="D25" s="25">
        <f t="shared" si="1"/>
        <v>1</v>
      </c>
      <c r="E25" s="25">
        <f t="shared" si="2"/>
        <v>0</v>
      </c>
      <c r="F25" s="25">
        <f t="shared" si="3"/>
        <v>0</v>
      </c>
      <c r="G25" s="25">
        <f t="shared" si="4"/>
        <v>0</v>
      </c>
      <c r="H25" s="25">
        <f t="shared" si="5"/>
        <v>0</v>
      </c>
      <c r="I25" s="26">
        <f>225/10</f>
        <v>22.5</v>
      </c>
      <c r="J25" s="19">
        <f t="shared" si="6"/>
        <v>1.3521825181113625</v>
      </c>
      <c r="K25" s="25" t="s">
        <v>40</v>
      </c>
      <c r="L25" s="25" t="s">
        <v>17</v>
      </c>
      <c r="M25" s="25">
        <v>10</v>
      </c>
      <c r="N25" s="25">
        <v>30</v>
      </c>
      <c r="O25" s="25">
        <v>38</v>
      </c>
      <c r="P25" s="25">
        <v>15</v>
      </c>
      <c r="Q25" s="27">
        <v>4.0999999999999996</v>
      </c>
      <c r="R25" s="28">
        <v>18.2</v>
      </c>
      <c r="S25" s="28">
        <v>89.4</v>
      </c>
      <c r="T25" s="28">
        <v>41.2</v>
      </c>
      <c r="U25" s="25">
        <v>573</v>
      </c>
      <c r="V25" s="25">
        <v>95</v>
      </c>
      <c r="W25" s="25">
        <v>173</v>
      </c>
      <c r="X25" s="25">
        <v>37</v>
      </c>
      <c r="Y25" s="25">
        <v>2</v>
      </c>
      <c r="Z25" s="25">
        <v>28</v>
      </c>
      <c r="AA25" s="25">
        <v>91</v>
      </c>
      <c r="AB25" s="25">
        <v>110</v>
      </c>
      <c r="AC25" s="25">
        <v>126</v>
      </c>
      <c r="AD25" s="29">
        <v>0.30199999999999999</v>
      </c>
      <c r="AE25" s="29">
        <v>0.41599999999999998</v>
      </c>
      <c r="AF25" s="29">
        <v>0.52</v>
      </c>
      <c r="AG25" s="29">
        <v>0.93700000000000006</v>
      </c>
      <c r="AH25" s="25">
        <v>148</v>
      </c>
      <c r="AI25" s="25">
        <v>298</v>
      </c>
      <c r="AJ25" s="27">
        <v>5.5</v>
      </c>
      <c r="AK25" s="30">
        <v>7</v>
      </c>
    </row>
    <row r="26" spans="1:37">
      <c r="A26" s="16" t="s">
        <v>57</v>
      </c>
      <c r="B26" s="17" t="s">
        <v>2</v>
      </c>
      <c r="C26" s="17">
        <f t="shared" si="0"/>
        <v>0</v>
      </c>
      <c r="D26" s="17">
        <f t="shared" si="1"/>
        <v>0</v>
      </c>
      <c r="E26" s="17">
        <f t="shared" si="2"/>
        <v>0</v>
      </c>
      <c r="F26" s="17">
        <f t="shared" si="3"/>
        <v>0</v>
      </c>
      <c r="G26" s="17">
        <f t="shared" si="4"/>
        <v>0</v>
      </c>
      <c r="H26" s="17">
        <f t="shared" si="5"/>
        <v>1</v>
      </c>
      <c r="I26" s="18">
        <f>110/5</f>
        <v>22</v>
      </c>
      <c r="J26" s="19">
        <f t="shared" si="6"/>
        <v>1.3424226808222062</v>
      </c>
      <c r="K26" s="17" t="s">
        <v>1</v>
      </c>
      <c r="L26" s="17" t="s">
        <v>12</v>
      </c>
      <c r="M26" s="17">
        <v>5</v>
      </c>
      <c r="N26" s="17">
        <v>30</v>
      </c>
      <c r="O26" s="17">
        <v>34</v>
      </c>
      <c r="P26" s="17">
        <v>11</v>
      </c>
      <c r="Q26" s="20">
        <v>5</v>
      </c>
      <c r="R26" s="21">
        <v>24.2</v>
      </c>
      <c r="S26" s="21">
        <v>91.9</v>
      </c>
      <c r="T26" s="21">
        <v>50.8</v>
      </c>
      <c r="U26" s="17">
        <v>606</v>
      </c>
      <c r="V26" s="17">
        <v>91</v>
      </c>
      <c r="W26" s="17">
        <v>176</v>
      </c>
      <c r="X26" s="17">
        <v>38</v>
      </c>
      <c r="Y26" s="17">
        <v>3</v>
      </c>
      <c r="Z26" s="17">
        <v>34</v>
      </c>
      <c r="AA26" s="17">
        <v>107</v>
      </c>
      <c r="AB26" s="17">
        <v>59</v>
      </c>
      <c r="AC26" s="17">
        <v>163</v>
      </c>
      <c r="AD26" s="22">
        <v>0.28999999999999998</v>
      </c>
      <c r="AE26" s="22">
        <v>0.35299999999999998</v>
      </c>
      <c r="AF26" s="22">
        <v>0.52800000000000002</v>
      </c>
      <c r="AG26" s="22">
        <v>0.88100000000000001</v>
      </c>
      <c r="AH26" s="17">
        <v>134</v>
      </c>
      <c r="AI26" s="17">
        <v>320</v>
      </c>
      <c r="AJ26" s="20">
        <v>3.4</v>
      </c>
      <c r="AK26" s="23">
        <v>3</v>
      </c>
    </row>
    <row r="27" spans="1:37">
      <c r="A27" s="24" t="s">
        <v>85</v>
      </c>
      <c r="B27" s="25" t="s">
        <v>2</v>
      </c>
      <c r="C27" s="25">
        <f t="shared" si="0"/>
        <v>0</v>
      </c>
      <c r="D27" s="25">
        <f t="shared" si="1"/>
        <v>0</v>
      </c>
      <c r="E27" s="25">
        <f t="shared" si="2"/>
        <v>0</v>
      </c>
      <c r="F27" s="25">
        <f t="shared" si="3"/>
        <v>0</v>
      </c>
      <c r="G27" s="25">
        <f t="shared" si="4"/>
        <v>0</v>
      </c>
      <c r="H27" s="25">
        <f t="shared" si="5"/>
        <v>1</v>
      </c>
      <c r="I27" s="26">
        <f>106/5</f>
        <v>21.2</v>
      </c>
      <c r="J27" s="19">
        <f t="shared" si="6"/>
        <v>1.3263358609287514</v>
      </c>
      <c r="K27" s="25" t="s">
        <v>1</v>
      </c>
      <c r="L27" s="25" t="s">
        <v>84</v>
      </c>
      <c r="M27" s="25">
        <v>5</v>
      </c>
      <c r="N27" s="25">
        <v>30</v>
      </c>
      <c r="O27" s="25">
        <v>34</v>
      </c>
      <c r="P27" s="25">
        <v>15</v>
      </c>
      <c r="Q27" s="27">
        <v>4.3</v>
      </c>
      <c r="R27" s="28">
        <v>25.7</v>
      </c>
      <c r="S27" s="28">
        <v>90.6</v>
      </c>
      <c r="T27" s="28">
        <v>46.2</v>
      </c>
      <c r="U27" s="25">
        <v>591</v>
      </c>
      <c r="V27" s="25">
        <v>94</v>
      </c>
      <c r="W27" s="25">
        <v>155</v>
      </c>
      <c r="X27" s="25">
        <v>31</v>
      </c>
      <c r="Y27" s="25">
        <v>3</v>
      </c>
      <c r="Z27" s="25">
        <v>29</v>
      </c>
      <c r="AA27" s="25">
        <v>89</v>
      </c>
      <c r="AB27" s="25">
        <v>69</v>
      </c>
      <c r="AC27" s="25">
        <v>173</v>
      </c>
      <c r="AD27" s="29">
        <v>0.26200000000000001</v>
      </c>
      <c r="AE27" s="29">
        <v>0.34300000000000003</v>
      </c>
      <c r="AF27" s="29">
        <v>0.47099999999999997</v>
      </c>
      <c r="AG27" s="29">
        <v>0.81399999999999995</v>
      </c>
      <c r="AH27" s="25">
        <v>118</v>
      </c>
      <c r="AI27" s="25">
        <v>279</v>
      </c>
      <c r="AJ27" s="27">
        <v>2.9</v>
      </c>
      <c r="AK27" s="30">
        <v>13</v>
      </c>
    </row>
    <row r="28" spans="1:37">
      <c r="A28" s="16" t="s">
        <v>126</v>
      </c>
      <c r="B28" s="17" t="s">
        <v>53</v>
      </c>
      <c r="C28" s="17">
        <f t="shared" si="0"/>
        <v>1</v>
      </c>
      <c r="D28" s="17">
        <f t="shared" si="1"/>
        <v>0</v>
      </c>
      <c r="E28" s="17">
        <f t="shared" si="2"/>
        <v>0</v>
      </c>
      <c r="F28" s="17">
        <f t="shared" si="3"/>
        <v>0</v>
      </c>
      <c r="G28" s="17">
        <f t="shared" si="4"/>
        <v>0</v>
      </c>
      <c r="H28" s="17">
        <f t="shared" si="5"/>
        <v>0</v>
      </c>
      <c r="I28" s="18">
        <f>82/4</f>
        <v>20.5</v>
      </c>
      <c r="J28" s="19">
        <f t="shared" si="6"/>
        <v>1.3117538610557542</v>
      </c>
      <c r="K28" s="17" t="s">
        <v>1</v>
      </c>
      <c r="L28" s="17" t="s">
        <v>52</v>
      </c>
      <c r="M28" s="17">
        <v>4</v>
      </c>
      <c r="N28" s="17">
        <v>31</v>
      </c>
      <c r="O28" s="17">
        <v>32</v>
      </c>
      <c r="P28" s="17">
        <v>10</v>
      </c>
      <c r="Q28" s="20">
        <v>4.4000000000000004</v>
      </c>
      <c r="R28" s="21">
        <v>17.7</v>
      </c>
      <c r="S28" s="21">
        <v>90.5</v>
      </c>
      <c r="T28" s="21">
        <v>46.8</v>
      </c>
      <c r="U28" s="17">
        <v>612</v>
      </c>
      <c r="V28" s="17">
        <v>70</v>
      </c>
      <c r="W28" s="17">
        <v>165</v>
      </c>
      <c r="X28" s="17">
        <v>30</v>
      </c>
      <c r="Y28" s="17">
        <v>1</v>
      </c>
      <c r="Z28" s="17">
        <v>28</v>
      </c>
      <c r="AA28" s="17">
        <v>93</v>
      </c>
      <c r="AB28" s="17">
        <v>23</v>
      </c>
      <c r="AC28" s="17">
        <v>114</v>
      </c>
      <c r="AD28" s="22">
        <v>0.27</v>
      </c>
      <c r="AE28" s="22">
        <v>0.30199999999999999</v>
      </c>
      <c r="AF28" s="22">
        <v>0.46300000000000002</v>
      </c>
      <c r="AG28" s="22">
        <v>0.76500000000000001</v>
      </c>
      <c r="AH28" s="17">
        <v>104</v>
      </c>
      <c r="AI28" s="17">
        <v>283</v>
      </c>
      <c r="AJ28" s="20">
        <v>4.2</v>
      </c>
      <c r="AK28" s="23">
        <v>1</v>
      </c>
    </row>
    <row r="29" spans="1:37">
      <c r="A29" s="24" t="s">
        <v>61</v>
      </c>
      <c r="B29" s="25" t="s">
        <v>9</v>
      </c>
      <c r="C29" s="25">
        <f t="shared" si="0"/>
        <v>0</v>
      </c>
      <c r="D29" s="25">
        <f t="shared" si="1"/>
        <v>0</v>
      </c>
      <c r="E29" s="25">
        <f t="shared" si="2"/>
        <v>0</v>
      </c>
      <c r="F29" s="25">
        <f t="shared" si="3"/>
        <v>0</v>
      </c>
      <c r="G29" s="25">
        <f t="shared" si="4"/>
        <v>1</v>
      </c>
      <c r="H29" s="25">
        <f t="shared" si="5"/>
        <v>0</v>
      </c>
      <c r="I29" s="26">
        <f>120/6</f>
        <v>20</v>
      </c>
      <c r="J29" s="19">
        <f t="shared" si="6"/>
        <v>1.3010299956639813</v>
      </c>
      <c r="K29" s="25" t="s">
        <v>1</v>
      </c>
      <c r="L29" s="25" t="s">
        <v>12</v>
      </c>
      <c r="M29" s="25">
        <v>6</v>
      </c>
      <c r="N29" s="25">
        <v>26</v>
      </c>
      <c r="O29" s="25">
        <v>29</v>
      </c>
      <c r="P29" s="25">
        <v>9</v>
      </c>
      <c r="Q29" s="27">
        <v>3</v>
      </c>
      <c r="R29" s="28">
        <v>18.3</v>
      </c>
      <c r="S29" s="28">
        <v>89.4</v>
      </c>
      <c r="T29" s="28">
        <v>40.9</v>
      </c>
      <c r="U29" s="25">
        <v>622</v>
      </c>
      <c r="V29" s="25">
        <v>97</v>
      </c>
      <c r="W29" s="25">
        <v>180</v>
      </c>
      <c r="X29" s="25">
        <v>39</v>
      </c>
      <c r="Y29" s="25">
        <v>2</v>
      </c>
      <c r="Z29" s="25">
        <v>21</v>
      </c>
      <c r="AA29" s="25">
        <v>89</v>
      </c>
      <c r="AB29" s="25">
        <v>59</v>
      </c>
      <c r="AC29" s="25">
        <v>126</v>
      </c>
      <c r="AD29" s="29">
        <v>0.28999999999999998</v>
      </c>
      <c r="AE29" s="29">
        <v>0.35299999999999998</v>
      </c>
      <c r="AF29" s="29">
        <v>0.45900000000000002</v>
      </c>
      <c r="AG29" s="29">
        <v>0.81200000000000006</v>
      </c>
      <c r="AH29" s="25">
        <v>115</v>
      </c>
      <c r="AI29" s="25">
        <v>285</v>
      </c>
      <c r="AJ29" s="27">
        <v>4.2</v>
      </c>
      <c r="AK29" s="30">
        <v>10</v>
      </c>
    </row>
    <row r="30" spans="1:37">
      <c r="A30" s="16" t="s">
        <v>26</v>
      </c>
      <c r="B30" s="17" t="s">
        <v>6</v>
      </c>
      <c r="C30" s="17">
        <f t="shared" si="0"/>
        <v>0</v>
      </c>
      <c r="D30" s="17">
        <f t="shared" si="1"/>
        <v>0</v>
      </c>
      <c r="E30" s="17">
        <f t="shared" si="2"/>
        <v>0</v>
      </c>
      <c r="F30" s="17">
        <f t="shared" si="3"/>
        <v>1</v>
      </c>
      <c r="G30" s="17">
        <f t="shared" si="4"/>
        <v>0</v>
      </c>
      <c r="H30" s="17">
        <f t="shared" si="5"/>
        <v>0</v>
      </c>
      <c r="I30" s="18">
        <f>100/5</f>
        <v>20</v>
      </c>
      <c r="J30" s="19">
        <f t="shared" si="6"/>
        <v>1.3010299956639813</v>
      </c>
      <c r="K30" s="17" t="s">
        <v>1</v>
      </c>
      <c r="L30" s="17" t="s">
        <v>25</v>
      </c>
      <c r="M30" s="17">
        <v>5</v>
      </c>
      <c r="N30" s="17">
        <v>25</v>
      </c>
      <c r="O30" s="17">
        <v>28</v>
      </c>
      <c r="P30" s="17">
        <v>6</v>
      </c>
      <c r="Q30" s="20">
        <v>4.2</v>
      </c>
      <c r="R30" s="21">
        <v>14.1</v>
      </c>
      <c r="S30" s="21">
        <v>89.2</v>
      </c>
      <c r="T30" s="21">
        <v>40.200000000000003</v>
      </c>
      <c r="U30" s="17">
        <v>600</v>
      </c>
      <c r="V30" s="17">
        <v>104</v>
      </c>
      <c r="W30" s="17">
        <v>168</v>
      </c>
      <c r="X30" s="17">
        <v>42</v>
      </c>
      <c r="Y30" s="17">
        <v>3</v>
      </c>
      <c r="Z30" s="17">
        <v>29</v>
      </c>
      <c r="AA30" s="17">
        <v>99</v>
      </c>
      <c r="AB30" s="17">
        <v>88</v>
      </c>
      <c r="AC30" s="17">
        <v>99</v>
      </c>
      <c r="AD30" s="22">
        <v>0.28100000000000003</v>
      </c>
      <c r="AE30" s="22">
        <v>0.377</v>
      </c>
      <c r="AF30" s="22">
        <v>0.50700000000000001</v>
      </c>
      <c r="AG30" s="22">
        <v>0.88400000000000001</v>
      </c>
      <c r="AH30" s="17">
        <v>138</v>
      </c>
      <c r="AI30" s="17">
        <v>304</v>
      </c>
      <c r="AJ30" s="20">
        <v>6.5</v>
      </c>
      <c r="AK30" s="23">
        <v>9</v>
      </c>
    </row>
    <row r="31" spans="1:37">
      <c r="A31" s="24" t="s">
        <v>128</v>
      </c>
      <c r="B31" s="25" t="s">
        <v>2</v>
      </c>
      <c r="C31" s="25">
        <f t="shared" si="0"/>
        <v>0</v>
      </c>
      <c r="D31" s="25">
        <f t="shared" si="1"/>
        <v>0</v>
      </c>
      <c r="E31" s="25">
        <f t="shared" si="2"/>
        <v>0</v>
      </c>
      <c r="F31" s="25">
        <f t="shared" si="3"/>
        <v>0</v>
      </c>
      <c r="G31" s="25">
        <f t="shared" si="4"/>
        <v>0</v>
      </c>
      <c r="H31" s="25">
        <f t="shared" si="5"/>
        <v>1</v>
      </c>
      <c r="I31" s="26">
        <v>20</v>
      </c>
      <c r="J31" s="19">
        <f t="shared" si="6"/>
        <v>1.3010299956639813</v>
      </c>
      <c r="K31" s="25" t="s">
        <v>1</v>
      </c>
      <c r="L31" s="25" t="s">
        <v>31</v>
      </c>
      <c r="M31" s="25">
        <v>5</v>
      </c>
      <c r="N31" s="25">
        <v>30</v>
      </c>
      <c r="O31" s="25">
        <v>30</v>
      </c>
      <c r="P31" s="25">
        <v>9</v>
      </c>
      <c r="Q31" s="27">
        <v>3.8</v>
      </c>
      <c r="R31" s="28">
        <v>23</v>
      </c>
      <c r="S31" s="28">
        <v>89.5</v>
      </c>
      <c r="T31" s="28">
        <v>42.7</v>
      </c>
      <c r="U31" s="25">
        <v>613</v>
      </c>
      <c r="V31" s="25">
        <v>81</v>
      </c>
      <c r="W31" s="25">
        <v>171</v>
      </c>
      <c r="X31" s="25">
        <v>41</v>
      </c>
      <c r="Y31" s="25">
        <v>5</v>
      </c>
      <c r="Z31" s="25">
        <v>25</v>
      </c>
      <c r="AA31" s="25">
        <v>89</v>
      </c>
      <c r="AB31" s="25">
        <v>44</v>
      </c>
      <c r="AC31" s="25">
        <v>154</v>
      </c>
      <c r="AD31" s="29">
        <v>0.27800000000000002</v>
      </c>
      <c r="AE31" s="29">
        <v>0.32900000000000001</v>
      </c>
      <c r="AF31" s="29">
        <v>0.48599999999999999</v>
      </c>
      <c r="AG31" s="29">
        <v>0.81399999999999995</v>
      </c>
      <c r="AH31" s="25">
        <v>115</v>
      </c>
      <c r="AI31" s="25">
        <v>298</v>
      </c>
      <c r="AJ31" s="27">
        <v>1.8</v>
      </c>
      <c r="AK31" s="30">
        <v>2</v>
      </c>
    </row>
    <row r="32" spans="1:37">
      <c r="A32" s="16" t="s">
        <v>130</v>
      </c>
      <c r="B32" s="17" t="s">
        <v>2</v>
      </c>
      <c r="C32" s="17">
        <f t="shared" si="0"/>
        <v>0</v>
      </c>
      <c r="D32" s="17">
        <f t="shared" si="1"/>
        <v>0</v>
      </c>
      <c r="E32" s="17">
        <f t="shared" si="2"/>
        <v>0</v>
      </c>
      <c r="F32" s="17">
        <f t="shared" si="3"/>
        <v>0</v>
      </c>
      <c r="G32" s="17">
        <f t="shared" si="4"/>
        <v>0</v>
      </c>
      <c r="H32" s="17">
        <f t="shared" si="5"/>
        <v>1</v>
      </c>
      <c r="I32" s="18">
        <v>19.75</v>
      </c>
      <c r="J32" s="19">
        <f t="shared" si="6"/>
        <v>1.2955670999624791</v>
      </c>
      <c r="K32" s="17" t="s">
        <v>13</v>
      </c>
      <c r="L32" s="17" t="s">
        <v>31</v>
      </c>
      <c r="M32" s="17">
        <v>4</v>
      </c>
      <c r="N32" s="17">
        <v>29</v>
      </c>
      <c r="O32" s="17">
        <v>29</v>
      </c>
      <c r="P32" s="17">
        <v>7</v>
      </c>
      <c r="Q32" s="20">
        <v>5.9</v>
      </c>
      <c r="R32" s="21">
        <v>27.8</v>
      </c>
      <c r="S32" s="21">
        <v>32.1</v>
      </c>
      <c r="T32" s="21">
        <v>51.1</v>
      </c>
      <c r="U32" s="17">
        <v>538</v>
      </c>
      <c r="V32" s="17">
        <v>91</v>
      </c>
      <c r="W32" s="17">
        <v>127</v>
      </c>
      <c r="X32" s="17">
        <v>22</v>
      </c>
      <c r="Y32" s="17">
        <v>2</v>
      </c>
      <c r="Z32" s="17">
        <v>37</v>
      </c>
      <c r="AA32" s="17">
        <v>85</v>
      </c>
      <c r="AB32" s="17">
        <v>82</v>
      </c>
      <c r="AC32" s="17">
        <v>175</v>
      </c>
      <c r="AD32" s="22">
        <v>0.23699999999999999</v>
      </c>
      <c r="AE32" s="22">
        <v>0.34300000000000003</v>
      </c>
      <c r="AF32" s="22">
        <v>0.49299999999999999</v>
      </c>
      <c r="AG32" s="22">
        <v>0.83599999999999997</v>
      </c>
      <c r="AH32" s="17">
        <v>119</v>
      </c>
      <c r="AI32" s="17">
        <v>265</v>
      </c>
      <c r="AJ32" s="20">
        <v>2.2000000000000002</v>
      </c>
      <c r="AK32" s="23">
        <v>3</v>
      </c>
    </row>
    <row r="33" spans="1:37">
      <c r="A33" s="24" t="s">
        <v>42</v>
      </c>
      <c r="B33" s="25" t="s">
        <v>2</v>
      </c>
      <c r="C33" s="25">
        <f t="shared" si="0"/>
        <v>0</v>
      </c>
      <c r="D33" s="25">
        <f t="shared" si="1"/>
        <v>0</v>
      </c>
      <c r="E33" s="25">
        <f t="shared" si="2"/>
        <v>0</v>
      </c>
      <c r="F33" s="25">
        <f t="shared" si="3"/>
        <v>0</v>
      </c>
      <c r="G33" s="25">
        <f t="shared" si="4"/>
        <v>0</v>
      </c>
      <c r="H33" s="25">
        <f t="shared" si="5"/>
        <v>1</v>
      </c>
      <c r="I33" s="26">
        <f>78/4</f>
        <v>19.5</v>
      </c>
      <c r="J33" s="19">
        <f t="shared" si="6"/>
        <v>1.2900346113625181</v>
      </c>
      <c r="K33" s="25" t="s">
        <v>1</v>
      </c>
      <c r="L33" s="25" t="s">
        <v>4</v>
      </c>
      <c r="M33" s="25">
        <v>4</v>
      </c>
      <c r="N33" s="25">
        <v>33</v>
      </c>
      <c r="O33" s="25">
        <v>33</v>
      </c>
      <c r="P33" s="25">
        <v>10</v>
      </c>
      <c r="Q33" s="27">
        <v>2.7</v>
      </c>
      <c r="R33" s="28">
        <v>20</v>
      </c>
      <c r="S33" s="28">
        <v>87.1</v>
      </c>
      <c r="T33" s="28">
        <v>39.4</v>
      </c>
      <c r="U33" s="25">
        <v>620</v>
      </c>
      <c r="V33" s="25">
        <v>97</v>
      </c>
      <c r="W33" s="25">
        <v>179</v>
      </c>
      <c r="X33" s="25">
        <v>33</v>
      </c>
      <c r="Y33" s="25">
        <v>7</v>
      </c>
      <c r="Z33" s="25">
        <v>18</v>
      </c>
      <c r="AA33" s="25">
        <v>72</v>
      </c>
      <c r="AB33" s="25">
        <v>36</v>
      </c>
      <c r="AC33" s="25">
        <v>136</v>
      </c>
      <c r="AD33" s="29">
        <v>0.28899999999999998</v>
      </c>
      <c r="AE33" s="29">
        <v>0.34599999999999997</v>
      </c>
      <c r="AF33" s="29">
        <v>0.45100000000000001</v>
      </c>
      <c r="AG33" s="29">
        <v>0.79700000000000004</v>
      </c>
      <c r="AH33" s="25">
        <v>116</v>
      </c>
      <c r="AI33" s="25">
        <v>280</v>
      </c>
      <c r="AJ33" s="27">
        <v>5</v>
      </c>
      <c r="AK33" s="30">
        <v>42</v>
      </c>
    </row>
    <row r="34" spans="1:37">
      <c r="A34" s="16" t="s">
        <v>56</v>
      </c>
      <c r="B34" s="17" t="s">
        <v>9</v>
      </c>
      <c r="C34" s="17">
        <f t="shared" si="0"/>
        <v>0</v>
      </c>
      <c r="D34" s="17">
        <f t="shared" si="1"/>
        <v>0</v>
      </c>
      <c r="E34" s="17">
        <f t="shared" si="2"/>
        <v>0</v>
      </c>
      <c r="F34" s="17">
        <f t="shared" si="3"/>
        <v>0</v>
      </c>
      <c r="G34" s="17">
        <f t="shared" si="4"/>
        <v>1</v>
      </c>
      <c r="H34" s="17">
        <f t="shared" si="5"/>
        <v>0</v>
      </c>
      <c r="I34" s="18">
        <v>18.5</v>
      </c>
      <c r="J34" s="19">
        <f t="shared" ref="J34:J65" si="7">LOG(I34)</f>
        <v>1.2671717284030137</v>
      </c>
      <c r="K34" s="17" t="s">
        <v>1</v>
      </c>
      <c r="L34" s="17" t="s">
        <v>27</v>
      </c>
      <c r="M34" s="17">
        <v>1</v>
      </c>
      <c r="N34" s="17">
        <v>29</v>
      </c>
      <c r="O34" s="17">
        <v>29</v>
      </c>
      <c r="P34" s="17">
        <v>7</v>
      </c>
      <c r="Q34" s="20">
        <v>3.4</v>
      </c>
      <c r="R34" s="21">
        <v>17.899999999999999</v>
      </c>
      <c r="S34" s="21">
        <v>89.9</v>
      </c>
      <c r="T34" s="21">
        <v>43.8</v>
      </c>
      <c r="U34" s="17">
        <v>652</v>
      </c>
      <c r="V34" s="17">
        <v>114</v>
      </c>
      <c r="W34" s="17">
        <v>197</v>
      </c>
      <c r="X34" s="17">
        <v>36</v>
      </c>
      <c r="Y34" s="17">
        <v>8</v>
      </c>
      <c r="Z34" s="17">
        <v>24</v>
      </c>
      <c r="AA34" s="17">
        <v>79</v>
      </c>
      <c r="AB34" s="17">
        <v>52</v>
      </c>
      <c r="AC34" s="17">
        <v>127</v>
      </c>
      <c r="AD34" s="22">
        <v>0.30299999999999999</v>
      </c>
      <c r="AE34" s="22">
        <v>0.35799999999999998</v>
      </c>
      <c r="AF34" s="22">
        <v>0.49199999999999999</v>
      </c>
      <c r="AG34" s="22">
        <v>0.85</v>
      </c>
      <c r="AH34" s="17">
        <v>122</v>
      </c>
      <c r="AI34" s="17">
        <v>321</v>
      </c>
      <c r="AJ34" s="20">
        <v>5.8</v>
      </c>
      <c r="AK34" s="23">
        <v>48</v>
      </c>
    </row>
    <row r="35" spans="1:37">
      <c r="A35" s="24" t="s">
        <v>55</v>
      </c>
      <c r="B35" s="25" t="s">
        <v>35</v>
      </c>
      <c r="C35" s="25">
        <f t="shared" si="0"/>
        <v>0</v>
      </c>
      <c r="D35" s="25">
        <f t="shared" si="1"/>
        <v>1</v>
      </c>
      <c r="E35" s="25">
        <f t="shared" si="2"/>
        <v>0</v>
      </c>
      <c r="F35" s="25">
        <f t="shared" si="3"/>
        <v>0</v>
      </c>
      <c r="G35" s="25">
        <f t="shared" si="4"/>
        <v>0</v>
      </c>
      <c r="H35" s="25">
        <f t="shared" si="5"/>
        <v>0</v>
      </c>
      <c r="I35" s="26">
        <v>18.399999999999999</v>
      </c>
      <c r="J35" s="19">
        <f t="shared" si="7"/>
        <v>1.2648178230095364</v>
      </c>
      <c r="K35" s="25" t="s">
        <v>40</v>
      </c>
      <c r="L35" s="25" t="s">
        <v>43</v>
      </c>
      <c r="M35" s="25">
        <v>1</v>
      </c>
      <c r="N35" s="25">
        <v>34</v>
      </c>
      <c r="O35" s="25">
        <v>34</v>
      </c>
      <c r="P35" s="25">
        <v>11</v>
      </c>
      <c r="Q35" s="27">
        <v>3.5</v>
      </c>
      <c r="R35" s="28">
        <v>23.5</v>
      </c>
      <c r="S35" s="28">
        <v>88.1</v>
      </c>
      <c r="T35" s="28">
        <v>40.700000000000003</v>
      </c>
      <c r="U35" s="25">
        <v>544</v>
      </c>
      <c r="V35" s="25">
        <v>79</v>
      </c>
      <c r="W35" s="25">
        <v>144</v>
      </c>
      <c r="X35" s="25">
        <v>34</v>
      </c>
      <c r="Y35" s="25">
        <v>5</v>
      </c>
      <c r="Z35" s="25">
        <v>22</v>
      </c>
      <c r="AA35" s="25">
        <v>74</v>
      </c>
      <c r="AB35" s="25">
        <v>76</v>
      </c>
      <c r="AC35" s="25">
        <v>148</v>
      </c>
      <c r="AD35" s="29">
        <v>0.26400000000000001</v>
      </c>
      <c r="AE35" s="29">
        <v>0.35799999999999998</v>
      </c>
      <c r="AF35" s="29">
        <v>0.46400000000000002</v>
      </c>
      <c r="AG35" s="29">
        <v>0.82299999999999995</v>
      </c>
      <c r="AH35" s="25">
        <v>125</v>
      </c>
      <c r="AI35" s="25">
        <v>253</v>
      </c>
      <c r="AJ35" s="27">
        <v>3.6</v>
      </c>
      <c r="AK35" s="30">
        <v>6</v>
      </c>
    </row>
    <row r="36" spans="1:37">
      <c r="A36" s="16" t="s">
        <v>54</v>
      </c>
      <c r="B36" s="17" t="s">
        <v>53</v>
      </c>
      <c r="C36" s="17">
        <f t="shared" si="0"/>
        <v>1</v>
      </c>
      <c r="D36" s="17">
        <f t="shared" si="1"/>
        <v>0</v>
      </c>
      <c r="E36" s="17">
        <f t="shared" si="2"/>
        <v>0</v>
      </c>
      <c r="F36" s="17">
        <f t="shared" si="3"/>
        <v>0</v>
      </c>
      <c r="G36" s="17">
        <f t="shared" si="4"/>
        <v>0</v>
      </c>
      <c r="H36" s="17">
        <f t="shared" si="5"/>
        <v>0</v>
      </c>
      <c r="I36" s="18">
        <f>73/4</f>
        <v>18.25</v>
      </c>
      <c r="J36" s="19">
        <f t="shared" si="7"/>
        <v>1.2612628687924936</v>
      </c>
      <c r="K36" s="17" t="s">
        <v>5</v>
      </c>
      <c r="L36" s="17" t="s">
        <v>29</v>
      </c>
      <c r="M36" s="17">
        <v>4</v>
      </c>
      <c r="N36" s="17">
        <v>31</v>
      </c>
      <c r="O36" s="17">
        <v>33</v>
      </c>
      <c r="P36" s="17">
        <v>10</v>
      </c>
      <c r="Q36" s="20">
        <v>4.5</v>
      </c>
      <c r="R36" s="21">
        <v>23.7</v>
      </c>
      <c r="S36" s="21">
        <v>90.8</v>
      </c>
      <c r="T36" s="21">
        <v>47.1</v>
      </c>
      <c r="U36" s="17">
        <v>514</v>
      </c>
      <c r="V36" s="17">
        <v>73</v>
      </c>
      <c r="W36" s="17">
        <v>124</v>
      </c>
      <c r="X36" s="17">
        <v>24</v>
      </c>
      <c r="Y36" s="17">
        <v>1</v>
      </c>
      <c r="Z36" s="17">
        <v>27</v>
      </c>
      <c r="AA36" s="17">
        <v>80</v>
      </c>
      <c r="AB36" s="17">
        <v>91</v>
      </c>
      <c r="AC36" s="17">
        <v>145</v>
      </c>
      <c r="AD36" s="22">
        <v>0.24</v>
      </c>
      <c r="AE36" s="22">
        <v>0.35499999999999998</v>
      </c>
      <c r="AF36" s="22">
        <v>0.45100000000000001</v>
      </c>
      <c r="AG36" s="22">
        <v>0.80700000000000005</v>
      </c>
      <c r="AH36" s="17">
        <v>119</v>
      </c>
      <c r="AI36" s="17">
        <v>232</v>
      </c>
      <c r="AJ36" s="20">
        <v>3.5</v>
      </c>
      <c r="AK36" s="23">
        <v>2</v>
      </c>
    </row>
    <row r="37" spans="1:37">
      <c r="A37" s="24" t="s">
        <v>67</v>
      </c>
      <c r="B37" s="25" t="s">
        <v>2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5">
        <f t="shared" si="3"/>
        <v>0</v>
      </c>
      <c r="G37" s="25">
        <f t="shared" si="4"/>
        <v>0</v>
      </c>
      <c r="H37" s="25">
        <f t="shared" si="5"/>
        <v>1</v>
      </c>
      <c r="I37" s="26">
        <f>108/6</f>
        <v>18</v>
      </c>
      <c r="J37" s="19">
        <f t="shared" si="7"/>
        <v>1.255272505103306</v>
      </c>
      <c r="K37" s="25" t="s">
        <v>40</v>
      </c>
      <c r="L37" s="25" t="s">
        <v>66</v>
      </c>
      <c r="M37" s="25">
        <v>6</v>
      </c>
      <c r="N37" s="25">
        <v>32</v>
      </c>
      <c r="O37" s="25">
        <v>36</v>
      </c>
      <c r="P37" s="25">
        <v>11</v>
      </c>
      <c r="Q37" s="27">
        <v>3.6</v>
      </c>
      <c r="R37" s="28">
        <v>16.7</v>
      </c>
      <c r="S37" s="28">
        <v>87.6</v>
      </c>
      <c r="T37" s="28">
        <v>37.700000000000003</v>
      </c>
      <c r="U37" s="25">
        <v>616</v>
      </c>
      <c r="V37" s="25">
        <v>105</v>
      </c>
      <c r="W37" s="25">
        <v>185</v>
      </c>
      <c r="X37" s="25">
        <v>34</v>
      </c>
      <c r="Y37" s="25">
        <v>7</v>
      </c>
      <c r="Z37" s="25">
        <v>24</v>
      </c>
      <c r="AA37" s="25">
        <v>81</v>
      </c>
      <c r="AB37" s="25">
        <v>47</v>
      </c>
      <c r="AC37" s="25">
        <v>114</v>
      </c>
      <c r="AD37" s="29">
        <v>0.3</v>
      </c>
      <c r="AE37" s="29">
        <v>0.35899999999999999</v>
      </c>
      <c r="AF37" s="29">
        <v>0.495</v>
      </c>
      <c r="AG37" s="29">
        <v>0.85399999999999998</v>
      </c>
      <c r="AH37" s="25">
        <v>114</v>
      </c>
      <c r="AI37" s="25">
        <v>305</v>
      </c>
      <c r="AJ37" s="27">
        <v>2.5</v>
      </c>
      <c r="AK37" s="30">
        <v>17</v>
      </c>
    </row>
    <row r="38" spans="1:37">
      <c r="A38" s="16" t="s">
        <v>65</v>
      </c>
      <c r="B38" s="17" t="s">
        <v>35</v>
      </c>
      <c r="C38" s="17">
        <f t="shared" si="0"/>
        <v>0</v>
      </c>
      <c r="D38" s="17">
        <f t="shared" si="1"/>
        <v>1</v>
      </c>
      <c r="E38" s="17">
        <f t="shared" si="2"/>
        <v>0</v>
      </c>
      <c r="F38" s="17">
        <f t="shared" si="3"/>
        <v>0</v>
      </c>
      <c r="G38" s="17">
        <f t="shared" si="4"/>
        <v>0</v>
      </c>
      <c r="H38" s="17">
        <f t="shared" si="5"/>
        <v>0</v>
      </c>
      <c r="I38" s="18">
        <f>144/8</f>
        <v>18</v>
      </c>
      <c r="J38" s="19">
        <f t="shared" si="7"/>
        <v>1.255272505103306</v>
      </c>
      <c r="K38" s="17" t="s">
        <v>40</v>
      </c>
      <c r="L38" s="17" t="s">
        <v>64</v>
      </c>
      <c r="M38" s="17">
        <v>8</v>
      </c>
      <c r="N38" s="17">
        <v>28</v>
      </c>
      <c r="O38" s="17">
        <v>32</v>
      </c>
      <c r="P38" s="17">
        <v>11</v>
      </c>
      <c r="Q38" s="20">
        <v>2.9</v>
      </c>
      <c r="R38" s="21">
        <v>17.8</v>
      </c>
      <c r="S38" s="21">
        <v>90.8</v>
      </c>
      <c r="T38" s="21">
        <v>47.3</v>
      </c>
      <c r="U38" s="17">
        <v>612</v>
      </c>
      <c r="V38" s="17">
        <v>80</v>
      </c>
      <c r="W38" s="17">
        <v>170</v>
      </c>
      <c r="X38" s="17">
        <v>31</v>
      </c>
      <c r="Y38" s="17">
        <v>2</v>
      </c>
      <c r="Z38" s="17">
        <v>20</v>
      </c>
      <c r="AA38" s="17">
        <v>87</v>
      </c>
      <c r="AB38" s="17">
        <v>54</v>
      </c>
      <c r="AC38" s="17">
        <v>119</v>
      </c>
      <c r="AD38" s="22">
        <v>0.27700000000000002</v>
      </c>
      <c r="AE38" s="22">
        <v>0.33600000000000002</v>
      </c>
      <c r="AF38" s="22">
        <v>0.43099999999999999</v>
      </c>
      <c r="AG38" s="22">
        <v>0.76700000000000002</v>
      </c>
      <c r="AH38" s="17">
        <v>108</v>
      </c>
      <c r="AI38" s="17">
        <v>264</v>
      </c>
      <c r="AJ38" s="20">
        <v>1.9</v>
      </c>
      <c r="AK38" s="23">
        <v>8</v>
      </c>
    </row>
    <row r="39" spans="1:37">
      <c r="A39" s="24" t="s">
        <v>60</v>
      </c>
      <c r="B39" s="25" t="s">
        <v>6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5">
        <f t="shared" si="3"/>
        <v>1</v>
      </c>
      <c r="G39" s="25">
        <f t="shared" si="4"/>
        <v>0</v>
      </c>
      <c r="H39" s="25">
        <f t="shared" si="5"/>
        <v>0</v>
      </c>
      <c r="I39" s="26">
        <f>34/2</f>
        <v>17</v>
      </c>
      <c r="J39" s="19">
        <f t="shared" si="7"/>
        <v>1.2304489213782739</v>
      </c>
      <c r="K39" s="25" t="s">
        <v>1</v>
      </c>
      <c r="L39" s="25" t="s">
        <v>27</v>
      </c>
      <c r="M39" s="25">
        <v>2</v>
      </c>
      <c r="N39" s="25">
        <v>36</v>
      </c>
      <c r="O39" s="25">
        <v>37</v>
      </c>
      <c r="P39" s="25">
        <v>13</v>
      </c>
      <c r="Q39" s="27">
        <v>3.3</v>
      </c>
      <c r="R39" s="28">
        <v>14.8</v>
      </c>
      <c r="S39" s="28">
        <v>90.3</v>
      </c>
      <c r="T39" s="28">
        <v>42.4</v>
      </c>
      <c r="U39" s="25">
        <v>519</v>
      </c>
      <c r="V39" s="25">
        <v>76</v>
      </c>
      <c r="W39" s="25">
        <v>151</v>
      </c>
      <c r="X39" s="25">
        <v>33</v>
      </c>
      <c r="Y39" s="25">
        <v>1</v>
      </c>
      <c r="Z39" s="25">
        <v>19</v>
      </c>
      <c r="AA39" s="25">
        <v>75</v>
      </c>
      <c r="AB39" s="25">
        <v>53</v>
      </c>
      <c r="AC39" s="25">
        <v>87</v>
      </c>
      <c r="AD39" s="29">
        <v>0.28999999999999998</v>
      </c>
      <c r="AE39" s="29">
        <v>0.36799999999999999</v>
      </c>
      <c r="AF39" s="29">
        <v>0.47</v>
      </c>
      <c r="AG39" s="29">
        <v>0.83699999999999997</v>
      </c>
      <c r="AH39" s="25">
        <v>127</v>
      </c>
      <c r="AI39" s="25">
        <v>244</v>
      </c>
      <c r="AJ39" s="27">
        <v>4.2</v>
      </c>
      <c r="AK39" s="30">
        <v>5</v>
      </c>
    </row>
    <row r="40" spans="1:37">
      <c r="A40" s="16" t="s">
        <v>51</v>
      </c>
      <c r="B40" s="17" t="s">
        <v>2</v>
      </c>
      <c r="C40" s="17">
        <f t="shared" si="0"/>
        <v>0</v>
      </c>
      <c r="D40" s="17">
        <f t="shared" si="1"/>
        <v>0</v>
      </c>
      <c r="E40" s="17">
        <f t="shared" si="2"/>
        <v>0</v>
      </c>
      <c r="F40" s="17">
        <f t="shared" si="3"/>
        <v>0</v>
      </c>
      <c r="G40" s="17">
        <f t="shared" si="4"/>
        <v>0</v>
      </c>
      <c r="H40" s="17">
        <f t="shared" si="5"/>
        <v>1</v>
      </c>
      <c r="I40" s="18">
        <v>17</v>
      </c>
      <c r="J40" s="19">
        <f t="shared" si="7"/>
        <v>1.2304489213782739</v>
      </c>
      <c r="K40" s="17" t="s">
        <v>40</v>
      </c>
      <c r="L40" s="17" t="s">
        <v>27</v>
      </c>
      <c r="M40" s="17">
        <v>1</v>
      </c>
      <c r="N40" s="17">
        <v>26</v>
      </c>
      <c r="O40" s="17">
        <v>26</v>
      </c>
      <c r="P40" s="17">
        <v>5</v>
      </c>
      <c r="Q40" s="20">
        <v>5.5</v>
      </c>
      <c r="R40" s="21">
        <v>22.2</v>
      </c>
      <c r="S40" s="21">
        <v>90.4</v>
      </c>
      <c r="T40" s="21">
        <v>44.9</v>
      </c>
      <c r="U40" s="17">
        <v>572</v>
      </c>
      <c r="V40" s="17">
        <v>98</v>
      </c>
      <c r="W40" s="17">
        <v>147</v>
      </c>
      <c r="X40" s="17">
        <v>29</v>
      </c>
      <c r="Y40" s="17">
        <v>4</v>
      </c>
      <c r="Z40" s="17">
        <v>36</v>
      </c>
      <c r="AA40" s="17">
        <v>95</v>
      </c>
      <c r="AB40" s="17">
        <v>78</v>
      </c>
      <c r="AC40" s="17">
        <v>146</v>
      </c>
      <c r="AD40" s="22">
        <v>0.25700000000000001</v>
      </c>
      <c r="AE40" s="22">
        <v>0.34599999999999997</v>
      </c>
      <c r="AF40" s="22">
        <v>0.51100000000000001</v>
      </c>
      <c r="AG40" s="22">
        <v>0.85699999999999998</v>
      </c>
      <c r="AH40" s="17">
        <v>126</v>
      </c>
      <c r="AI40" s="17">
        <v>292</v>
      </c>
      <c r="AJ40" s="20">
        <v>4.5</v>
      </c>
      <c r="AK40" s="23">
        <v>13</v>
      </c>
    </row>
    <row r="41" spans="1:37">
      <c r="A41" s="24" t="s">
        <v>59</v>
      </c>
      <c r="B41" s="25" t="s">
        <v>35</v>
      </c>
      <c r="C41" s="25">
        <f t="shared" si="0"/>
        <v>0</v>
      </c>
      <c r="D41" s="25">
        <f t="shared" si="1"/>
        <v>1</v>
      </c>
      <c r="E41" s="25">
        <f t="shared" si="2"/>
        <v>0</v>
      </c>
      <c r="F41" s="25">
        <f t="shared" si="3"/>
        <v>0</v>
      </c>
      <c r="G41" s="25">
        <f t="shared" si="4"/>
        <v>0</v>
      </c>
      <c r="H41" s="25">
        <f t="shared" si="5"/>
        <v>0</v>
      </c>
      <c r="I41" s="26">
        <f>50/3</f>
        <v>16.666666666666668</v>
      </c>
      <c r="J41" s="19">
        <f t="shared" si="7"/>
        <v>1.2218487496163564</v>
      </c>
      <c r="K41" s="25" t="s">
        <v>1</v>
      </c>
      <c r="L41" s="25" t="s">
        <v>29</v>
      </c>
      <c r="M41" s="25">
        <v>3</v>
      </c>
      <c r="N41" s="25">
        <v>33</v>
      </c>
      <c r="O41" s="25">
        <v>35</v>
      </c>
      <c r="P41" s="25">
        <v>8</v>
      </c>
      <c r="Q41" s="27">
        <v>4.7</v>
      </c>
      <c r="R41" s="28">
        <v>20.3</v>
      </c>
      <c r="S41" s="28">
        <v>91.7</v>
      </c>
      <c r="T41" s="28">
        <v>48.7</v>
      </c>
      <c r="U41" s="25">
        <v>634</v>
      </c>
      <c r="V41" s="25">
        <v>89</v>
      </c>
      <c r="W41" s="25">
        <v>184</v>
      </c>
      <c r="X41" s="25">
        <v>38</v>
      </c>
      <c r="Y41" s="25">
        <v>2</v>
      </c>
      <c r="Z41" s="25">
        <v>33</v>
      </c>
      <c r="AA41" s="25">
        <v>115</v>
      </c>
      <c r="AB41" s="25">
        <v>47</v>
      </c>
      <c r="AC41" s="25">
        <v>142</v>
      </c>
      <c r="AD41" s="29">
        <v>0.28999999999999998</v>
      </c>
      <c r="AE41" s="29">
        <v>0.35</v>
      </c>
      <c r="AF41" s="29">
        <v>0.51500000000000001</v>
      </c>
      <c r="AG41" s="29">
        <v>0.86499999999999999</v>
      </c>
      <c r="AH41" s="25">
        <v>135</v>
      </c>
      <c r="AI41" s="25">
        <v>326</v>
      </c>
      <c r="AJ41" s="27">
        <v>4</v>
      </c>
      <c r="AK41" s="30">
        <v>2</v>
      </c>
    </row>
    <row r="42" spans="1:37">
      <c r="A42" s="16" t="s">
        <v>58</v>
      </c>
      <c r="B42" s="17" t="s">
        <v>6</v>
      </c>
      <c r="C42" s="17">
        <f t="shared" si="0"/>
        <v>0</v>
      </c>
      <c r="D42" s="17">
        <f t="shared" si="1"/>
        <v>0</v>
      </c>
      <c r="E42" s="17">
        <f t="shared" si="2"/>
        <v>0</v>
      </c>
      <c r="F42" s="17">
        <f t="shared" si="3"/>
        <v>1</v>
      </c>
      <c r="G42" s="17">
        <f t="shared" si="4"/>
        <v>0</v>
      </c>
      <c r="H42" s="17">
        <f t="shared" si="5"/>
        <v>0</v>
      </c>
      <c r="I42" s="18">
        <f>100/6</f>
        <v>16.666666666666668</v>
      </c>
      <c r="J42" s="19">
        <f t="shared" si="7"/>
        <v>1.2218487496163564</v>
      </c>
      <c r="K42" s="17" t="s">
        <v>1</v>
      </c>
      <c r="L42" s="17" t="s">
        <v>43</v>
      </c>
      <c r="M42" s="17">
        <v>6</v>
      </c>
      <c r="N42" s="17">
        <v>30</v>
      </c>
      <c r="O42" s="17">
        <v>36</v>
      </c>
      <c r="P42" s="17">
        <v>14</v>
      </c>
      <c r="Q42" s="20">
        <v>4.0999999999999996</v>
      </c>
      <c r="R42" s="21">
        <v>20.100000000000001</v>
      </c>
      <c r="S42" s="21">
        <v>90.1</v>
      </c>
      <c r="T42" s="21">
        <v>42.9</v>
      </c>
      <c r="U42" s="17">
        <v>607</v>
      </c>
      <c r="V42" s="17">
        <v>85</v>
      </c>
      <c r="W42" s="17">
        <v>162</v>
      </c>
      <c r="X42" s="17">
        <v>36</v>
      </c>
      <c r="Y42" s="17">
        <v>2</v>
      </c>
      <c r="Z42" s="17">
        <v>28</v>
      </c>
      <c r="AA42" s="17">
        <v>97</v>
      </c>
      <c r="AB42" s="17">
        <v>60</v>
      </c>
      <c r="AC42" s="17">
        <v>137</v>
      </c>
      <c r="AD42" s="22">
        <v>0.26600000000000001</v>
      </c>
      <c r="AE42" s="22">
        <v>0.33500000000000002</v>
      </c>
      <c r="AF42" s="22">
        <v>0.47299999999999998</v>
      </c>
      <c r="AG42" s="22">
        <v>0.80800000000000005</v>
      </c>
      <c r="AH42" s="17">
        <v>120</v>
      </c>
      <c r="AI42" s="17">
        <v>287</v>
      </c>
      <c r="AJ42" s="20">
        <v>5.0999999999999996</v>
      </c>
      <c r="AK42" s="23">
        <v>5</v>
      </c>
    </row>
    <row r="43" spans="1:37">
      <c r="A43" s="24" t="s">
        <v>47</v>
      </c>
      <c r="B43" s="25" t="s">
        <v>2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5">
        <f t="shared" si="3"/>
        <v>0</v>
      </c>
      <c r="G43" s="25">
        <f t="shared" si="4"/>
        <v>0</v>
      </c>
      <c r="H43" s="25">
        <f t="shared" si="5"/>
        <v>1</v>
      </c>
      <c r="I43" s="26">
        <f>65/4</f>
        <v>16.25</v>
      </c>
      <c r="J43" s="19">
        <f t="shared" si="7"/>
        <v>1.2108533653148932</v>
      </c>
      <c r="K43" s="25" t="s">
        <v>1</v>
      </c>
      <c r="L43" s="25" t="s">
        <v>8</v>
      </c>
      <c r="M43" s="25">
        <v>4</v>
      </c>
      <c r="N43" s="25">
        <v>30</v>
      </c>
      <c r="O43" s="25">
        <v>31</v>
      </c>
      <c r="P43" s="25">
        <v>9</v>
      </c>
      <c r="Q43" s="27">
        <v>4</v>
      </c>
      <c r="R43" s="28">
        <v>21.2</v>
      </c>
      <c r="S43" s="28">
        <v>91.9</v>
      </c>
      <c r="T43" s="28">
        <v>49</v>
      </c>
      <c r="U43" s="25">
        <v>616</v>
      </c>
      <c r="V43" s="25">
        <v>82</v>
      </c>
      <c r="W43" s="25">
        <v>168</v>
      </c>
      <c r="X43" s="25">
        <v>28</v>
      </c>
      <c r="Y43" s="25">
        <v>3</v>
      </c>
      <c r="Z43" s="25">
        <v>27</v>
      </c>
      <c r="AA43" s="25">
        <v>91</v>
      </c>
      <c r="AB43" s="25">
        <v>54</v>
      </c>
      <c r="AC43" s="25">
        <v>143</v>
      </c>
      <c r="AD43" s="29">
        <v>0.27300000000000002</v>
      </c>
      <c r="AE43" s="29">
        <v>0.33300000000000002</v>
      </c>
      <c r="AF43" s="29">
        <v>0.46100000000000002</v>
      </c>
      <c r="AG43" s="29">
        <v>0.79400000000000004</v>
      </c>
      <c r="AH43" s="25">
        <v>114</v>
      </c>
      <c r="AI43" s="25">
        <v>284</v>
      </c>
      <c r="AJ43" s="27">
        <v>3.3</v>
      </c>
      <c r="AK43" s="30">
        <v>4</v>
      </c>
    </row>
    <row r="44" spans="1:37">
      <c r="A44" s="16" t="s">
        <v>50</v>
      </c>
      <c r="B44" s="17" t="s">
        <v>2</v>
      </c>
      <c r="C44" s="17">
        <f t="shared" si="0"/>
        <v>0</v>
      </c>
      <c r="D44" s="17">
        <f t="shared" si="1"/>
        <v>0</v>
      </c>
      <c r="E44" s="17">
        <f t="shared" si="2"/>
        <v>0</v>
      </c>
      <c r="F44" s="17">
        <f t="shared" si="3"/>
        <v>0</v>
      </c>
      <c r="G44" s="17">
        <f t="shared" si="4"/>
        <v>0</v>
      </c>
      <c r="H44" s="17">
        <f t="shared" si="5"/>
        <v>1</v>
      </c>
      <c r="I44" s="18">
        <f>80/5</f>
        <v>16</v>
      </c>
      <c r="J44" s="19">
        <f t="shared" si="7"/>
        <v>1.2041199826559248</v>
      </c>
      <c r="K44" s="17" t="s">
        <v>1</v>
      </c>
      <c r="L44" s="17" t="s">
        <v>49</v>
      </c>
      <c r="M44" s="17">
        <v>5</v>
      </c>
      <c r="N44" s="17">
        <v>32</v>
      </c>
      <c r="O44" s="17">
        <v>36</v>
      </c>
      <c r="P44" s="17">
        <v>12</v>
      </c>
      <c r="Q44" s="20">
        <v>1.9</v>
      </c>
      <c r="R44" s="21">
        <v>17.8</v>
      </c>
      <c r="S44" s="21">
        <v>89.7</v>
      </c>
      <c r="T44" s="21">
        <v>41.6</v>
      </c>
      <c r="U44" s="17">
        <v>599</v>
      </c>
      <c r="V44" s="17">
        <v>87</v>
      </c>
      <c r="W44" s="17">
        <v>171</v>
      </c>
      <c r="X44" s="17">
        <v>32</v>
      </c>
      <c r="Y44" s="17">
        <v>3</v>
      </c>
      <c r="Z44" s="17">
        <v>12</v>
      </c>
      <c r="AA44" s="17">
        <v>64</v>
      </c>
      <c r="AB44" s="17">
        <v>51</v>
      </c>
      <c r="AC44" s="17">
        <v>117</v>
      </c>
      <c r="AD44" s="22">
        <v>0.28599999999999998</v>
      </c>
      <c r="AE44" s="22">
        <v>0.34699999999999998</v>
      </c>
      <c r="AF44" s="22">
        <v>0.41299999999999998</v>
      </c>
      <c r="AG44" s="22">
        <v>0.75900000000000001</v>
      </c>
      <c r="AH44" s="17">
        <v>104</v>
      </c>
      <c r="AI44" s="17">
        <v>247</v>
      </c>
      <c r="AJ44" s="20">
        <v>5.6</v>
      </c>
      <c r="AK44" s="23">
        <v>27</v>
      </c>
    </row>
    <row r="45" spans="1:37">
      <c r="A45" s="24" t="s">
        <v>46</v>
      </c>
      <c r="B45" s="25" t="s">
        <v>2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5">
        <f t="shared" si="3"/>
        <v>0</v>
      </c>
      <c r="G45" s="25">
        <f t="shared" si="4"/>
        <v>0</v>
      </c>
      <c r="H45" s="25">
        <f t="shared" si="5"/>
        <v>1</v>
      </c>
      <c r="I45" s="26">
        <f>32/2</f>
        <v>16</v>
      </c>
      <c r="J45" s="19">
        <f t="shared" si="7"/>
        <v>1.2041199826559248</v>
      </c>
      <c r="K45" s="25" t="s">
        <v>40</v>
      </c>
      <c r="L45" s="25" t="s">
        <v>25</v>
      </c>
      <c r="M45" s="25">
        <v>2</v>
      </c>
      <c r="N45" s="25">
        <v>34</v>
      </c>
      <c r="O45" s="25">
        <v>35</v>
      </c>
      <c r="P45" s="25">
        <v>13</v>
      </c>
      <c r="Q45" s="27">
        <v>2.1</v>
      </c>
      <c r="R45" s="28">
        <v>10.8</v>
      </c>
      <c r="S45" s="28">
        <v>89.4</v>
      </c>
      <c r="T45" s="28">
        <v>40.200000000000003</v>
      </c>
      <c r="U45" s="25">
        <v>625</v>
      </c>
      <c r="V45" s="25">
        <v>86</v>
      </c>
      <c r="W45" s="25">
        <v>186</v>
      </c>
      <c r="X45" s="25">
        <v>39</v>
      </c>
      <c r="Y45" s="25">
        <v>3</v>
      </c>
      <c r="Z45" s="25">
        <v>14</v>
      </c>
      <c r="AA45" s="25">
        <v>81</v>
      </c>
      <c r="AB45" s="25">
        <v>54</v>
      </c>
      <c r="AC45" s="25">
        <v>74</v>
      </c>
      <c r="AD45" s="29">
        <v>0.29799999999999999</v>
      </c>
      <c r="AE45" s="29">
        <v>0.35499999999999998</v>
      </c>
      <c r="AF45" s="29">
        <v>0.44</v>
      </c>
      <c r="AG45" s="29">
        <v>0.79500000000000004</v>
      </c>
      <c r="AH45" s="25">
        <v>117</v>
      </c>
      <c r="AI45" s="25">
        <v>275</v>
      </c>
      <c r="AJ45" s="27">
        <v>3.9</v>
      </c>
      <c r="AK45" s="30">
        <v>15</v>
      </c>
    </row>
    <row r="46" spans="1:37">
      <c r="A46" s="16" t="s">
        <v>45</v>
      </c>
      <c r="B46" s="17" t="s">
        <v>6</v>
      </c>
      <c r="C46" s="17">
        <f t="shared" si="0"/>
        <v>0</v>
      </c>
      <c r="D46" s="17">
        <f t="shared" si="1"/>
        <v>0</v>
      </c>
      <c r="E46" s="17">
        <f t="shared" si="2"/>
        <v>0</v>
      </c>
      <c r="F46" s="17">
        <f t="shared" si="3"/>
        <v>1</v>
      </c>
      <c r="G46" s="17">
        <f t="shared" si="4"/>
        <v>0</v>
      </c>
      <c r="H46" s="17">
        <f t="shared" si="5"/>
        <v>0</v>
      </c>
      <c r="I46" s="18">
        <f>64/4</f>
        <v>16</v>
      </c>
      <c r="J46" s="19">
        <f t="shared" si="7"/>
        <v>1.2041199826559248</v>
      </c>
      <c r="K46" s="17" t="s">
        <v>13</v>
      </c>
      <c r="L46" s="17" t="s">
        <v>17</v>
      </c>
      <c r="M46" s="17">
        <v>4</v>
      </c>
      <c r="N46" s="17">
        <v>31</v>
      </c>
      <c r="O46" s="17">
        <v>33</v>
      </c>
      <c r="P46" s="17">
        <v>11</v>
      </c>
      <c r="Q46" s="20">
        <v>4</v>
      </c>
      <c r="R46" s="21">
        <v>16.3</v>
      </c>
      <c r="S46" s="21">
        <v>89.4</v>
      </c>
      <c r="T46" s="21">
        <v>42</v>
      </c>
      <c r="U46" s="17">
        <v>584</v>
      </c>
      <c r="V46" s="17">
        <v>68</v>
      </c>
      <c r="W46" s="17">
        <v>145</v>
      </c>
      <c r="X46" s="17">
        <v>32</v>
      </c>
      <c r="Y46" s="17">
        <v>1</v>
      </c>
      <c r="Z46" s="17">
        <v>26</v>
      </c>
      <c r="AA46" s="17">
        <v>80</v>
      </c>
      <c r="AB46" s="17">
        <v>46</v>
      </c>
      <c r="AC46" s="17">
        <v>105</v>
      </c>
      <c r="AD46" s="22">
        <v>0.249</v>
      </c>
      <c r="AE46" s="22">
        <v>0.309</v>
      </c>
      <c r="AF46" s="22">
        <v>0.439</v>
      </c>
      <c r="AG46" s="22">
        <v>0.749</v>
      </c>
      <c r="AH46" s="17">
        <v>99</v>
      </c>
      <c r="AI46" s="17">
        <v>256</v>
      </c>
      <c r="AJ46" s="20">
        <v>1.8</v>
      </c>
      <c r="AK46" s="23">
        <v>2</v>
      </c>
    </row>
    <row r="47" spans="1:37">
      <c r="A47" s="24" t="s">
        <v>41</v>
      </c>
      <c r="B47" s="25" t="s">
        <v>2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5">
        <f t="shared" si="3"/>
        <v>0</v>
      </c>
      <c r="G47" s="25">
        <f t="shared" si="4"/>
        <v>0</v>
      </c>
      <c r="H47" s="25">
        <f t="shared" si="5"/>
        <v>1</v>
      </c>
      <c r="I47" s="26">
        <v>15.5</v>
      </c>
      <c r="J47" s="19">
        <f t="shared" si="7"/>
        <v>1.1903316981702914</v>
      </c>
      <c r="K47" s="25" t="s">
        <v>40</v>
      </c>
      <c r="L47" s="25" t="s">
        <v>19</v>
      </c>
      <c r="M47" s="25">
        <v>1</v>
      </c>
      <c r="N47" s="25">
        <v>23</v>
      </c>
      <c r="O47" s="25">
        <v>23</v>
      </c>
      <c r="P47" s="25">
        <v>4</v>
      </c>
      <c r="Q47" s="27">
        <v>4.9000000000000004</v>
      </c>
      <c r="R47" s="28">
        <v>17.600000000000001</v>
      </c>
      <c r="S47" s="28">
        <v>91.9</v>
      </c>
      <c r="T47" s="28">
        <v>50.7</v>
      </c>
      <c r="U47" s="25">
        <v>563</v>
      </c>
      <c r="V47" s="25">
        <v>118</v>
      </c>
      <c r="W47" s="25">
        <v>169</v>
      </c>
      <c r="X47" s="25">
        <v>32</v>
      </c>
      <c r="Y47" s="25">
        <v>3</v>
      </c>
      <c r="Z47" s="25">
        <v>34</v>
      </c>
      <c r="AA47" s="25">
        <v>109</v>
      </c>
      <c r="AB47" s="25">
        <v>130</v>
      </c>
      <c r="AC47" s="25">
        <v>123</v>
      </c>
      <c r="AD47" s="29">
        <v>0.30099999999999999</v>
      </c>
      <c r="AE47" s="29">
        <v>0.432</v>
      </c>
      <c r="AF47" s="29">
        <v>0.55000000000000004</v>
      </c>
      <c r="AG47" s="29">
        <v>0.98099999999999998</v>
      </c>
      <c r="AH47" s="25">
        <v>160</v>
      </c>
      <c r="AI47" s="25">
        <v>309</v>
      </c>
      <c r="AJ47" s="27">
        <v>6.1</v>
      </c>
      <c r="AK47" s="30">
        <v>11</v>
      </c>
    </row>
    <row r="48" spans="1:37">
      <c r="A48" s="16" t="s">
        <v>120</v>
      </c>
      <c r="B48" s="17" t="s">
        <v>6</v>
      </c>
      <c r="C48" s="17">
        <f t="shared" si="0"/>
        <v>0</v>
      </c>
      <c r="D48" s="17">
        <f t="shared" si="1"/>
        <v>0</v>
      </c>
      <c r="E48" s="17">
        <f t="shared" si="2"/>
        <v>0</v>
      </c>
      <c r="F48" s="17">
        <f t="shared" si="3"/>
        <v>1</v>
      </c>
      <c r="G48" s="17">
        <f t="shared" si="4"/>
        <v>0</v>
      </c>
      <c r="H48" s="17">
        <f t="shared" si="5"/>
        <v>0</v>
      </c>
      <c r="I48" s="18">
        <f>90/6</f>
        <v>15</v>
      </c>
      <c r="J48" s="19">
        <f t="shared" si="7"/>
        <v>1.1760912590556813</v>
      </c>
      <c r="K48" s="17" t="s">
        <v>1</v>
      </c>
      <c r="L48" s="17" t="s">
        <v>15</v>
      </c>
      <c r="M48" s="17">
        <v>6</v>
      </c>
      <c r="N48" s="17">
        <v>32</v>
      </c>
      <c r="O48" s="17">
        <v>33</v>
      </c>
      <c r="P48" s="17">
        <v>11</v>
      </c>
      <c r="Q48" s="20">
        <v>1.8</v>
      </c>
      <c r="R48" s="21">
        <v>14.6</v>
      </c>
      <c r="S48" s="21">
        <v>91.2</v>
      </c>
      <c r="T48" s="21">
        <v>47.7</v>
      </c>
      <c r="U48" s="17">
        <v>603</v>
      </c>
      <c r="V48" s="17">
        <v>92</v>
      </c>
      <c r="W48" s="17">
        <v>181</v>
      </c>
      <c r="X48" s="17">
        <v>29</v>
      </c>
      <c r="Y48" s="17">
        <v>4</v>
      </c>
      <c r="Z48" s="17">
        <v>12</v>
      </c>
      <c r="AA48" s="17">
        <v>67</v>
      </c>
      <c r="AB48" s="17">
        <v>52</v>
      </c>
      <c r="AC48" s="17">
        <v>97</v>
      </c>
      <c r="AD48" s="22">
        <v>0.3</v>
      </c>
      <c r="AE48" s="22">
        <v>0.35599999999999998</v>
      </c>
      <c r="AF48" s="22">
        <v>0.42199999999999999</v>
      </c>
      <c r="AG48" s="22">
        <v>0.77800000000000002</v>
      </c>
      <c r="AH48" s="17">
        <v>101</v>
      </c>
      <c r="AI48" s="17">
        <v>254</v>
      </c>
      <c r="AJ48" s="20">
        <v>3.3</v>
      </c>
      <c r="AK48" s="23">
        <v>11</v>
      </c>
    </row>
    <row r="49" spans="1:37">
      <c r="A49" s="24" t="s">
        <v>38</v>
      </c>
      <c r="B49" s="25" t="s">
        <v>32</v>
      </c>
      <c r="C49" s="25">
        <f t="shared" si="0"/>
        <v>0</v>
      </c>
      <c r="D49" s="25">
        <f t="shared" si="1"/>
        <v>0</v>
      </c>
      <c r="E49" s="25">
        <f t="shared" si="2"/>
        <v>1</v>
      </c>
      <c r="F49" s="25">
        <f t="shared" si="3"/>
        <v>0</v>
      </c>
      <c r="G49" s="25">
        <f t="shared" si="4"/>
        <v>0</v>
      </c>
      <c r="H49" s="25">
        <f t="shared" si="5"/>
        <v>0</v>
      </c>
      <c r="I49" s="26">
        <f>60/4</f>
        <v>15</v>
      </c>
      <c r="J49" s="19">
        <f t="shared" si="7"/>
        <v>1.1760912590556813</v>
      </c>
      <c r="K49" s="25" t="s">
        <v>1</v>
      </c>
      <c r="L49" s="25" t="s">
        <v>27</v>
      </c>
      <c r="M49" s="25">
        <v>4</v>
      </c>
      <c r="N49" s="25">
        <v>31</v>
      </c>
      <c r="O49" s="25">
        <v>31</v>
      </c>
      <c r="P49" s="25">
        <v>8</v>
      </c>
      <c r="Q49" s="27">
        <v>2.9</v>
      </c>
      <c r="R49" s="28">
        <v>27.5</v>
      </c>
      <c r="S49" s="28">
        <v>87.5</v>
      </c>
      <c r="T49" s="28">
        <v>38.200000000000003</v>
      </c>
      <c r="U49" s="25">
        <v>523</v>
      </c>
      <c r="V49" s="25">
        <v>82</v>
      </c>
      <c r="W49" s="25">
        <v>137</v>
      </c>
      <c r="X49" s="25">
        <v>32</v>
      </c>
      <c r="Y49" s="25">
        <v>6</v>
      </c>
      <c r="Z49" s="25">
        <v>17</v>
      </c>
      <c r="AA49" s="25">
        <v>67</v>
      </c>
      <c r="AB49" s="25">
        <v>55</v>
      </c>
      <c r="AC49" s="25">
        <v>162</v>
      </c>
      <c r="AD49" s="29">
        <v>0.26100000000000001</v>
      </c>
      <c r="AE49" s="29">
        <v>0.33700000000000002</v>
      </c>
      <c r="AF49" s="29">
        <v>0.443</v>
      </c>
      <c r="AG49" s="29">
        <v>0.77900000000000003</v>
      </c>
      <c r="AH49" s="25">
        <v>109</v>
      </c>
      <c r="AI49" s="25">
        <v>232</v>
      </c>
      <c r="AJ49" s="27">
        <v>3.3</v>
      </c>
      <c r="AK49" s="30">
        <v>13</v>
      </c>
    </row>
    <row r="50" spans="1:37">
      <c r="A50" s="16" t="s">
        <v>39</v>
      </c>
      <c r="B50" s="17" t="s">
        <v>9</v>
      </c>
      <c r="C50" s="17">
        <f t="shared" si="0"/>
        <v>0</v>
      </c>
      <c r="D50" s="17">
        <f t="shared" si="1"/>
        <v>0</v>
      </c>
      <c r="E50" s="17">
        <f t="shared" si="2"/>
        <v>0</v>
      </c>
      <c r="F50" s="17">
        <f t="shared" si="3"/>
        <v>0</v>
      </c>
      <c r="G50" s="17">
        <f t="shared" si="4"/>
        <v>1</v>
      </c>
      <c r="H50" s="17">
        <f t="shared" si="5"/>
        <v>0</v>
      </c>
      <c r="I50" s="18">
        <f>28/2</f>
        <v>14</v>
      </c>
      <c r="J50" s="19">
        <f t="shared" si="7"/>
        <v>1.146128035678238</v>
      </c>
      <c r="K50" s="17" t="s">
        <v>13</v>
      </c>
      <c r="L50" s="17" t="s">
        <v>31</v>
      </c>
      <c r="M50" s="17">
        <v>2</v>
      </c>
      <c r="N50" s="17">
        <v>31</v>
      </c>
      <c r="O50" s="17">
        <v>32</v>
      </c>
      <c r="P50" s="17">
        <v>10</v>
      </c>
      <c r="Q50" s="20">
        <v>3.3</v>
      </c>
      <c r="R50" s="21">
        <v>14.3</v>
      </c>
      <c r="S50" s="21">
        <v>85.9</v>
      </c>
      <c r="T50" s="21">
        <v>29.4</v>
      </c>
      <c r="U50" s="17">
        <v>588</v>
      </c>
      <c r="V50" s="17">
        <v>78</v>
      </c>
      <c r="W50" s="17">
        <v>152</v>
      </c>
      <c r="X50" s="17">
        <v>27</v>
      </c>
      <c r="Y50" s="17">
        <v>4</v>
      </c>
      <c r="Z50" s="17">
        <v>21</v>
      </c>
      <c r="AA50" s="17">
        <v>82</v>
      </c>
      <c r="AB50" s="17">
        <v>39</v>
      </c>
      <c r="AC50" s="17">
        <v>92</v>
      </c>
      <c r="AD50" s="22">
        <v>0.25900000000000001</v>
      </c>
      <c r="AE50" s="22">
        <v>0.31</v>
      </c>
      <c r="AF50" s="22">
        <v>0.42699999999999999</v>
      </c>
      <c r="AG50" s="22">
        <v>0.73699999999999999</v>
      </c>
      <c r="AH50" s="17">
        <v>97</v>
      </c>
      <c r="AI50" s="17">
        <v>251</v>
      </c>
      <c r="AJ50" s="20">
        <v>2.9</v>
      </c>
      <c r="AK50" s="23">
        <v>6</v>
      </c>
    </row>
    <row r="51" spans="1:37">
      <c r="A51" s="24" t="s">
        <v>33</v>
      </c>
      <c r="B51" s="25" t="s">
        <v>32</v>
      </c>
      <c r="C51" s="25">
        <f t="shared" si="0"/>
        <v>0</v>
      </c>
      <c r="D51" s="25">
        <f t="shared" si="1"/>
        <v>0</v>
      </c>
      <c r="E51" s="25">
        <f t="shared" si="2"/>
        <v>1</v>
      </c>
      <c r="F51" s="25">
        <f t="shared" si="3"/>
        <v>0</v>
      </c>
      <c r="G51" s="25">
        <f t="shared" si="4"/>
        <v>0</v>
      </c>
      <c r="H51" s="25">
        <f t="shared" si="5"/>
        <v>0</v>
      </c>
      <c r="I51" s="26">
        <f>70/5</f>
        <v>14</v>
      </c>
      <c r="J51" s="19">
        <f t="shared" si="7"/>
        <v>1.146128035678238</v>
      </c>
      <c r="K51" s="25" t="s">
        <v>1</v>
      </c>
      <c r="L51" s="25" t="s">
        <v>31</v>
      </c>
      <c r="M51" s="25">
        <v>5</v>
      </c>
      <c r="N51" s="25">
        <v>29</v>
      </c>
      <c r="O51" s="25">
        <v>32</v>
      </c>
      <c r="P51" s="25">
        <v>10</v>
      </c>
      <c r="Q51" s="27">
        <v>1.9</v>
      </c>
      <c r="R51" s="28">
        <v>13.8</v>
      </c>
      <c r="S51" s="28">
        <v>88.1</v>
      </c>
      <c r="T51" s="28">
        <v>37.299999999999997</v>
      </c>
      <c r="U51" s="25">
        <v>638</v>
      </c>
      <c r="V51" s="25">
        <v>88</v>
      </c>
      <c r="W51" s="25">
        <v>182</v>
      </c>
      <c r="X51" s="25">
        <v>29</v>
      </c>
      <c r="Y51" s="25">
        <v>6</v>
      </c>
      <c r="Z51" s="25">
        <v>13</v>
      </c>
      <c r="AA51" s="25">
        <v>60</v>
      </c>
      <c r="AB51" s="25">
        <v>36</v>
      </c>
      <c r="AC51" s="25">
        <v>95</v>
      </c>
      <c r="AD51" s="29">
        <v>0.28499999999999998</v>
      </c>
      <c r="AE51" s="29">
        <v>0.33</v>
      </c>
      <c r="AF51" s="29">
        <v>0.41</v>
      </c>
      <c r="AG51" s="29">
        <v>0.74</v>
      </c>
      <c r="AH51" s="25">
        <v>99</v>
      </c>
      <c r="AI51" s="25">
        <v>261</v>
      </c>
      <c r="AJ51" s="27">
        <v>3.5</v>
      </c>
      <c r="AK51" s="30">
        <v>25</v>
      </c>
    </row>
    <row r="52" spans="1:37">
      <c r="A52" s="16" t="s">
        <v>30</v>
      </c>
      <c r="B52" s="17" t="s">
        <v>6</v>
      </c>
      <c r="C52" s="17">
        <f t="shared" si="0"/>
        <v>0</v>
      </c>
      <c r="D52" s="17">
        <f t="shared" si="1"/>
        <v>0</v>
      </c>
      <c r="E52" s="17">
        <f t="shared" si="2"/>
        <v>0</v>
      </c>
      <c r="F52" s="17">
        <f t="shared" si="3"/>
        <v>1</v>
      </c>
      <c r="G52" s="17">
        <f t="shared" si="4"/>
        <v>0</v>
      </c>
      <c r="H52" s="17">
        <f t="shared" si="5"/>
        <v>0</v>
      </c>
      <c r="I52" s="18">
        <f>70/5</f>
        <v>14</v>
      </c>
      <c r="J52" s="19">
        <f t="shared" si="7"/>
        <v>1.146128035678238</v>
      </c>
      <c r="K52" s="17" t="s">
        <v>5</v>
      </c>
      <c r="L52" s="17" t="s">
        <v>29</v>
      </c>
      <c r="M52" s="17">
        <v>5</v>
      </c>
      <c r="N52" s="17">
        <v>25</v>
      </c>
      <c r="O52" s="17">
        <v>27</v>
      </c>
      <c r="P52" s="17">
        <v>6</v>
      </c>
      <c r="Q52" s="20">
        <v>3</v>
      </c>
      <c r="R52" s="21">
        <v>29.7</v>
      </c>
      <c r="S52" s="21">
        <v>91.1</v>
      </c>
      <c r="T52" s="21">
        <v>44.4</v>
      </c>
      <c r="U52" s="17">
        <v>609</v>
      </c>
      <c r="V52" s="17">
        <v>88</v>
      </c>
      <c r="W52" s="17">
        <v>159</v>
      </c>
      <c r="X52" s="17">
        <v>35</v>
      </c>
      <c r="Y52" s="17">
        <v>5</v>
      </c>
      <c r="Z52" s="17">
        <v>21</v>
      </c>
      <c r="AA52" s="17">
        <v>75</v>
      </c>
      <c r="AB52" s="17">
        <v>75</v>
      </c>
      <c r="AC52" s="17">
        <v>206</v>
      </c>
      <c r="AD52" s="22">
        <v>0.26100000000000001</v>
      </c>
      <c r="AE52" s="22">
        <v>0.34599999999999997</v>
      </c>
      <c r="AF52" s="22">
        <v>0.439</v>
      </c>
      <c r="AG52" s="22">
        <v>0.78400000000000003</v>
      </c>
      <c r="AH52" s="17">
        <v>113</v>
      </c>
      <c r="AI52" s="17">
        <v>267</v>
      </c>
      <c r="AJ52" s="20">
        <v>3.8</v>
      </c>
      <c r="AK52" s="23">
        <v>8</v>
      </c>
    </row>
    <row r="53" spans="1:37">
      <c r="A53" s="24" t="s">
        <v>68</v>
      </c>
      <c r="B53" s="25" t="s">
        <v>2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5">
        <f t="shared" si="3"/>
        <v>0</v>
      </c>
      <c r="G53" s="25">
        <f t="shared" si="4"/>
        <v>0</v>
      </c>
      <c r="H53" s="25">
        <f t="shared" si="5"/>
        <v>1</v>
      </c>
      <c r="I53" s="26">
        <f>83/6</f>
        <v>13.833333333333334</v>
      </c>
      <c r="J53" s="19">
        <f t="shared" si="7"/>
        <v>1.1409268419924303</v>
      </c>
      <c r="K53" s="25" t="s">
        <v>1</v>
      </c>
      <c r="L53" s="25" t="s">
        <v>64</v>
      </c>
      <c r="M53" s="25">
        <v>6</v>
      </c>
      <c r="N53" s="25">
        <v>26</v>
      </c>
      <c r="O53" s="25">
        <v>31</v>
      </c>
      <c r="P53" s="25">
        <v>9</v>
      </c>
      <c r="Q53" s="27">
        <v>3.8</v>
      </c>
      <c r="R53" s="28">
        <v>26.8</v>
      </c>
      <c r="S53" s="28">
        <v>89.4</v>
      </c>
      <c r="T53" s="28">
        <v>45</v>
      </c>
      <c r="U53" s="25">
        <v>565</v>
      </c>
      <c r="V53" s="25">
        <v>81</v>
      </c>
      <c r="W53" s="25">
        <v>143</v>
      </c>
      <c r="X53" s="25">
        <v>32</v>
      </c>
      <c r="Y53" s="25">
        <v>2</v>
      </c>
      <c r="Z53" s="25">
        <v>24</v>
      </c>
      <c r="AA53" s="25">
        <v>79</v>
      </c>
      <c r="AB53" s="25">
        <v>63</v>
      </c>
      <c r="AC53" s="25">
        <v>170</v>
      </c>
      <c r="AD53" s="29">
        <v>0.254</v>
      </c>
      <c r="AE53" s="29">
        <v>0.33</v>
      </c>
      <c r="AF53" s="29">
        <v>0.44600000000000001</v>
      </c>
      <c r="AG53" s="29">
        <v>0.77500000000000002</v>
      </c>
      <c r="AH53" s="25">
        <v>111</v>
      </c>
      <c r="AI53" s="25">
        <v>252</v>
      </c>
      <c r="AJ53" s="27">
        <v>2</v>
      </c>
      <c r="AK53" s="30">
        <v>17</v>
      </c>
    </row>
    <row r="54" spans="1:37">
      <c r="A54" s="16" t="s">
        <v>24</v>
      </c>
      <c r="B54" s="17" t="s">
        <v>2</v>
      </c>
      <c r="C54" s="17">
        <f t="shared" si="0"/>
        <v>0</v>
      </c>
      <c r="D54" s="17">
        <f t="shared" si="1"/>
        <v>0</v>
      </c>
      <c r="E54" s="17">
        <f t="shared" si="2"/>
        <v>0</v>
      </c>
      <c r="F54" s="17">
        <f t="shared" si="3"/>
        <v>0</v>
      </c>
      <c r="G54" s="17">
        <f t="shared" si="4"/>
        <v>0</v>
      </c>
      <c r="H54" s="17">
        <f t="shared" si="5"/>
        <v>1</v>
      </c>
      <c r="I54" s="18">
        <f>26.5/2</f>
        <v>13.25</v>
      </c>
      <c r="J54" s="19">
        <f t="shared" si="7"/>
        <v>1.1222158782728267</v>
      </c>
      <c r="K54" s="17" t="s">
        <v>1</v>
      </c>
      <c r="L54" s="17" t="s">
        <v>4</v>
      </c>
      <c r="M54" s="17">
        <v>2</v>
      </c>
      <c r="N54" s="17">
        <v>33</v>
      </c>
      <c r="O54" s="17">
        <v>33</v>
      </c>
      <c r="P54" s="17">
        <v>7</v>
      </c>
      <c r="Q54" s="20">
        <v>3.6</v>
      </c>
      <c r="R54" s="21">
        <v>22</v>
      </c>
      <c r="S54" s="21">
        <v>88.9</v>
      </c>
      <c r="T54" s="21">
        <v>40.200000000000003</v>
      </c>
      <c r="U54" s="17">
        <v>537</v>
      </c>
      <c r="V54" s="17">
        <v>87</v>
      </c>
      <c r="W54" s="17">
        <v>131</v>
      </c>
      <c r="X54" s="17">
        <v>27</v>
      </c>
      <c r="Y54" s="17">
        <v>3</v>
      </c>
      <c r="Z54" s="17">
        <v>22</v>
      </c>
      <c r="AA54" s="17">
        <v>74</v>
      </c>
      <c r="AB54" s="17">
        <v>64</v>
      </c>
      <c r="AC54" s="17">
        <v>138</v>
      </c>
      <c r="AD54" s="22">
        <v>0.24399999999999999</v>
      </c>
      <c r="AE54" s="22">
        <v>0.34399999999999997</v>
      </c>
      <c r="AF54" s="22">
        <v>0.43099999999999999</v>
      </c>
      <c r="AG54" s="22">
        <v>0.77600000000000002</v>
      </c>
      <c r="AH54" s="17">
        <v>114</v>
      </c>
      <c r="AI54" s="17">
        <v>232</v>
      </c>
      <c r="AJ54" s="20">
        <v>2.5</v>
      </c>
      <c r="AK54" s="23">
        <v>7</v>
      </c>
    </row>
    <row r="55" spans="1:37">
      <c r="A55" s="24" t="s">
        <v>23</v>
      </c>
      <c r="B55" s="25" t="s">
        <v>2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5">
        <f t="shared" si="3"/>
        <v>0</v>
      </c>
      <c r="G55" s="25">
        <f t="shared" si="4"/>
        <v>0</v>
      </c>
      <c r="H55" s="25">
        <f t="shared" si="5"/>
        <v>1</v>
      </c>
      <c r="I55" s="26">
        <f>53/4</f>
        <v>13.25</v>
      </c>
      <c r="J55" s="19">
        <f t="shared" si="7"/>
        <v>1.1222158782728267</v>
      </c>
      <c r="K55" s="25" t="s">
        <v>1</v>
      </c>
      <c r="L55" s="25" t="s">
        <v>22</v>
      </c>
      <c r="M55" s="25">
        <v>4</v>
      </c>
      <c r="N55" s="25">
        <v>31</v>
      </c>
      <c r="O55" s="25">
        <v>31</v>
      </c>
      <c r="P55" s="25">
        <v>10</v>
      </c>
      <c r="Q55" s="27">
        <v>3.4</v>
      </c>
      <c r="R55" s="28">
        <v>23.4</v>
      </c>
      <c r="S55" s="28">
        <v>90.1</v>
      </c>
      <c r="T55" s="28">
        <v>44.1</v>
      </c>
      <c r="U55" s="25">
        <v>585</v>
      </c>
      <c r="V55" s="25">
        <v>77</v>
      </c>
      <c r="W55" s="25">
        <v>158</v>
      </c>
      <c r="X55" s="25">
        <v>24</v>
      </c>
      <c r="Y55" s="25">
        <v>3</v>
      </c>
      <c r="Z55" s="25">
        <v>22</v>
      </c>
      <c r="AA55" s="25">
        <v>81</v>
      </c>
      <c r="AB55" s="25">
        <v>41</v>
      </c>
      <c r="AC55" s="25">
        <v>149</v>
      </c>
      <c r="AD55" s="29">
        <v>0.27</v>
      </c>
      <c r="AE55" s="29">
        <v>0.32500000000000001</v>
      </c>
      <c r="AF55" s="29">
        <v>0.43099999999999999</v>
      </c>
      <c r="AG55" s="29">
        <v>0.75600000000000001</v>
      </c>
      <c r="AH55" s="25">
        <v>105</v>
      </c>
      <c r="AI55" s="25">
        <v>252</v>
      </c>
      <c r="AJ55" s="27">
        <v>1.9</v>
      </c>
      <c r="AK55" s="30">
        <v>8</v>
      </c>
    </row>
    <row r="56" spans="1:37">
      <c r="A56" s="16" t="s">
        <v>44</v>
      </c>
      <c r="B56" s="17" t="s">
        <v>9</v>
      </c>
      <c r="C56" s="17">
        <f t="shared" si="0"/>
        <v>0</v>
      </c>
      <c r="D56" s="17">
        <f t="shared" si="1"/>
        <v>0</v>
      </c>
      <c r="E56" s="17">
        <f t="shared" si="2"/>
        <v>0</v>
      </c>
      <c r="F56" s="17">
        <f t="shared" si="3"/>
        <v>0</v>
      </c>
      <c r="G56" s="17">
        <f t="shared" si="4"/>
        <v>1</v>
      </c>
      <c r="H56" s="17">
        <f t="shared" si="5"/>
        <v>0</v>
      </c>
      <c r="I56" s="18">
        <f>75/6</f>
        <v>12.5</v>
      </c>
      <c r="J56" s="19">
        <f t="shared" si="7"/>
        <v>1.0969100130080565</v>
      </c>
      <c r="K56" s="17" t="s">
        <v>13</v>
      </c>
      <c r="L56" s="17" t="s">
        <v>43</v>
      </c>
      <c r="M56" s="17">
        <v>6</v>
      </c>
      <c r="N56" s="17">
        <v>29</v>
      </c>
      <c r="O56" s="17">
        <v>35</v>
      </c>
      <c r="P56" s="17">
        <v>11</v>
      </c>
      <c r="Q56" s="20">
        <v>2.4</v>
      </c>
      <c r="R56" s="21">
        <v>20</v>
      </c>
      <c r="S56" s="21">
        <v>88.7</v>
      </c>
      <c r="T56" s="21">
        <v>40.6</v>
      </c>
      <c r="U56" s="17">
        <v>548</v>
      </c>
      <c r="V56" s="17">
        <v>66</v>
      </c>
      <c r="W56" s="17">
        <v>140</v>
      </c>
      <c r="X56" s="17">
        <v>30</v>
      </c>
      <c r="Y56" s="17">
        <v>5</v>
      </c>
      <c r="Z56" s="17">
        <v>15</v>
      </c>
      <c r="AA56" s="17">
        <v>73</v>
      </c>
      <c r="AB56" s="17">
        <v>53</v>
      </c>
      <c r="AC56" s="17">
        <v>122</v>
      </c>
      <c r="AD56" s="22">
        <v>0.254</v>
      </c>
      <c r="AE56" s="22">
        <v>0.32200000000000001</v>
      </c>
      <c r="AF56" s="22">
        <v>0.40500000000000003</v>
      </c>
      <c r="AG56" s="22">
        <v>0.72699999999999998</v>
      </c>
      <c r="AH56" s="17">
        <v>100</v>
      </c>
      <c r="AI56" s="17">
        <v>222</v>
      </c>
      <c r="AJ56" s="20">
        <v>3.4</v>
      </c>
      <c r="AK56" s="23">
        <v>5</v>
      </c>
    </row>
    <row r="57" spans="1:37">
      <c r="A57" s="24" t="s">
        <v>37</v>
      </c>
      <c r="B57" s="25" t="s">
        <v>2</v>
      </c>
      <c r="C57" s="25">
        <f t="shared" si="0"/>
        <v>0</v>
      </c>
      <c r="D57" s="25">
        <f t="shared" si="1"/>
        <v>0</v>
      </c>
      <c r="E57" s="25">
        <f t="shared" si="2"/>
        <v>0</v>
      </c>
      <c r="F57" s="25">
        <f t="shared" si="3"/>
        <v>0</v>
      </c>
      <c r="G57" s="25">
        <f t="shared" si="4"/>
        <v>0</v>
      </c>
      <c r="H57" s="25">
        <f t="shared" si="5"/>
        <v>1</v>
      </c>
      <c r="I57" s="26">
        <f>100/8</f>
        <v>12.5</v>
      </c>
      <c r="J57" s="19">
        <f t="shared" si="7"/>
        <v>1.0969100130080565</v>
      </c>
      <c r="K57" s="25" t="s">
        <v>1</v>
      </c>
      <c r="L57" s="25" t="s">
        <v>8</v>
      </c>
      <c r="M57" s="25">
        <v>8</v>
      </c>
      <c r="N57" s="25">
        <v>21</v>
      </c>
      <c r="O57" s="25">
        <v>24</v>
      </c>
      <c r="P57" s="25">
        <v>4</v>
      </c>
      <c r="Q57" s="27">
        <v>6</v>
      </c>
      <c r="R57" s="28">
        <v>25.9</v>
      </c>
      <c r="S57" s="28">
        <v>91.9</v>
      </c>
      <c r="T57" s="28">
        <v>51.9</v>
      </c>
      <c r="U57" s="25">
        <v>622</v>
      </c>
      <c r="V57" s="25">
        <v>132</v>
      </c>
      <c r="W57" s="25">
        <v>175</v>
      </c>
      <c r="X57" s="25">
        <v>32</v>
      </c>
      <c r="Y57" s="25">
        <v>3</v>
      </c>
      <c r="Z57" s="25">
        <v>43</v>
      </c>
      <c r="AA57" s="25">
        <v>101</v>
      </c>
      <c r="AB57" s="25">
        <v>85</v>
      </c>
      <c r="AC57" s="25">
        <v>187</v>
      </c>
      <c r="AD57" s="29">
        <v>0.28100000000000003</v>
      </c>
      <c r="AE57" s="29">
        <v>0.376</v>
      </c>
      <c r="AF57" s="29">
        <v>0.54900000000000004</v>
      </c>
      <c r="AG57" s="29">
        <v>0.92500000000000004</v>
      </c>
      <c r="AH57" s="25">
        <v>138</v>
      </c>
      <c r="AI57" s="25">
        <v>342</v>
      </c>
      <c r="AJ57" s="27">
        <v>6.1</v>
      </c>
      <c r="AK57" s="30">
        <v>32</v>
      </c>
    </row>
    <row r="58" spans="1:37">
      <c r="A58" s="16" t="s">
        <v>28</v>
      </c>
      <c r="B58" s="17" t="s">
        <v>2</v>
      </c>
      <c r="C58" s="17">
        <f t="shared" si="0"/>
        <v>0</v>
      </c>
      <c r="D58" s="17">
        <f t="shared" si="1"/>
        <v>0</v>
      </c>
      <c r="E58" s="17">
        <f t="shared" si="2"/>
        <v>0</v>
      </c>
      <c r="F58" s="17">
        <f t="shared" si="3"/>
        <v>0</v>
      </c>
      <c r="G58" s="17">
        <f t="shared" si="4"/>
        <v>0</v>
      </c>
      <c r="H58" s="17">
        <f t="shared" si="5"/>
        <v>1</v>
      </c>
      <c r="I58" s="18">
        <f>60/5</f>
        <v>12</v>
      </c>
      <c r="J58" s="19">
        <f t="shared" si="7"/>
        <v>1.0791812460476249</v>
      </c>
      <c r="K58" s="17" t="s">
        <v>1</v>
      </c>
      <c r="L58" s="17" t="s">
        <v>27</v>
      </c>
      <c r="M58" s="17">
        <v>5</v>
      </c>
      <c r="N58" s="17">
        <v>31</v>
      </c>
      <c r="O58" s="17">
        <v>34</v>
      </c>
      <c r="P58" s="17">
        <v>10</v>
      </c>
      <c r="Q58" s="20">
        <v>3.6</v>
      </c>
      <c r="R58" s="21">
        <v>17.399999999999999</v>
      </c>
      <c r="S58" s="21">
        <v>89.7</v>
      </c>
      <c r="T58" s="21">
        <v>44.7</v>
      </c>
      <c r="U58" s="17">
        <v>573</v>
      </c>
      <c r="V58" s="17">
        <v>90</v>
      </c>
      <c r="W58" s="17">
        <v>161</v>
      </c>
      <c r="X58" s="17">
        <v>35</v>
      </c>
      <c r="Y58" s="17">
        <v>6</v>
      </c>
      <c r="Z58" s="17">
        <v>23</v>
      </c>
      <c r="AA58" s="17">
        <v>75</v>
      </c>
      <c r="AB58" s="17">
        <v>45</v>
      </c>
      <c r="AC58" s="17">
        <v>110</v>
      </c>
      <c r="AD58" s="22">
        <v>0.28100000000000003</v>
      </c>
      <c r="AE58" s="22">
        <v>0.33800000000000002</v>
      </c>
      <c r="AF58" s="22">
        <v>0.48199999999999998</v>
      </c>
      <c r="AG58" s="22">
        <v>0.81899999999999995</v>
      </c>
      <c r="AH58" s="17">
        <v>116</v>
      </c>
      <c r="AI58" s="17">
        <v>276</v>
      </c>
      <c r="AJ58" s="20">
        <v>4.0999999999999996</v>
      </c>
      <c r="AK58" s="23">
        <v>22</v>
      </c>
    </row>
    <row r="59" spans="1:37">
      <c r="A59" s="24" t="s">
        <v>21</v>
      </c>
      <c r="B59" s="25" t="s">
        <v>6</v>
      </c>
      <c r="C59" s="25">
        <f t="shared" si="0"/>
        <v>0</v>
      </c>
      <c r="D59" s="25">
        <f t="shared" si="1"/>
        <v>0</v>
      </c>
      <c r="E59" s="25">
        <f t="shared" si="2"/>
        <v>0</v>
      </c>
      <c r="F59" s="25">
        <f t="shared" si="3"/>
        <v>1</v>
      </c>
      <c r="G59" s="25">
        <f t="shared" si="4"/>
        <v>0</v>
      </c>
      <c r="H59" s="25">
        <f t="shared" si="5"/>
        <v>0</v>
      </c>
      <c r="I59" s="26">
        <v>12</v>
      </c>
      <c r="J59" s="19">
        <f t="shared" si="7"/>
        <v>1.0791812460476249</v>
      </c>
      <c r="K59" s="25" t="s">
        <v>5</v>
      </c>
      <c r="L59" s="25" t="s">
        <v>20</v>
      </c>
      <c r="M59" s="25">
        <v>1</v>
      </c>
      <c r="N59" s="25">
        <v>29</v>
      </c>
      <c r="O59" s="25">
        <v>29</v>
      </c>
      <c r="P59" s="25">
        <v>9</v>
      </c>
      <c r="Q59" s="27">
        <v>4.0999999999999996</v>
      </c>
      <c r="R59" s="28">
        <v>12.2</v>
      </c>
      <c r="S59" s="28">
        <v>89</v>
      </c>
      <c r="T59" s="28">
        <v>37.6</v>
      </c>
      <c r="U59" s="25">
        <v>586</v>
      </c>
      <c r="V59" s="25">
        <v>100</v>
      </c>
      <c r="W59" s="25">
        <v>163</v>
      </c>
      <c r="X59" s="25">
        <v>40</v>
      </c>
      <c r="Y59" s="25">
        <v>5</v>
      </c>
      <c r="Z59" s="25">
        <v>27</v>
      </c>
      <c r="AA59" s="25">
        <v>89</v>
      </c>
      <c r="AB59" s="25">
        <v>67</v>
      </c>
      <c r="AC59" s="25">
        <v>81</v>
      </c>
      <c r="AD59" s="29">
        <v>0.27800000000000002</v>
      </c>
      <c r="AE59" s="29">
        <v>0.35399999999999998</v>
      </c>
      <c r="AF59" s="29">
        <v>0.501</v>
      </c>
      <c r="AG59" s="29">
        <v>0.85499999999999998</v>
      </c>
      <c r="AH59" s="25">
        <v>126</v>
      </c>
      <c r="AI59" s="25">
        <v>294</v>
      </c>
      <c r="AJ59" s="27">
        <v>5.7</v>
      </c>
      <c r="AK59" s="30">
        <v>25</v>
      </c>
    </row>
    <row r="60" spans="1:37">
      <c r="A60" s="16" t="s">
        <v>36</v>
      </c>
      <c r="B60" s="17" t="s">
        <v>35</v>
      </c>
      <c r="C60" s="17">
        <f t="shared" si="0"/>
        <v>0</v>
      </c>
      <c r="D60" s="17">
        <f t="shared" si="1"/>
        <v>1</v>
      </c>
      <c r="E60" s="17">
        <f t="shared" si="2"/>
        <v>0</v>
      </c>
      <c r="F60" s="17">
        <f t="shared" si="3"/>
        <v>0</v>
      </c>
      <c r="G60" s="17">
        <f t="shared" si="4"/>
        <v>0</v>
      </c>
      <c r="H60" s="17">
        <f t="shared" si="5"/>
        <v>0</v>
      </c>
      <c r="I60" s="18">
        <v>12</v>
      </c>
      <c r="J60" s="19">
        <f t="shared" si="7"/>
        <v>1.0791812460476249</v>
      </c>
      <c r="K60" s="17" t="s">
        <v>13</v>
      </c>
      <c r="L60" s="17" t="s">
        <v>34</v>
      </c>
      <c r="M60" s="17">
        <v>1</v>
      </c>
      <c r="N60" s="17">
        <v>28</v>
      </c>
      <c r="O60" s="17">
        <v>28</v>
      </c>
      <c r="P60" s="17">
        <v>6</v>
      </c>
      <c r="Q60" s="20">
        <v>6</v>
      </c>
      <c r="R60" s="21">
        <v>23.4</v>
      </c>
      <c r="S60" s="21">
        <v>92.6</v>
      </c>
      <c r="T60" s="21">
        <v>52.1</v>
      </c>
      <c r="U60" s="17">
        <v>577</v>
      </c>
      <c r="V60" s="17">
        <v>91</v>
      </c>
      <c r="W60" s="17">
        <v>146</v>
      </c>
      <c r="X60" s="17">
        <v>28</v>
      </c>
      <c r="Y60" s="17">
        <v>0</v>
      </c>
      <c r="Z60" s="17">
        <v>40</v>
      </c>
      <c r="AA60" s="17">
        <v>105</v>
      </c>
      <c r="AB60" s="17">
        <v>77</v>
      </c>
      <c r="AC60" s="17">
        <v>156</v>
      </c>
      <c r="AD60" s="22">
        <v>0.252</v>
      </c>
      <c r="AE60" s="22">
        <v>0.34799999999999998</v>
      </c>
      <c r="AF60" s="22">
        <v>0.51100000000000001</v>
      </c>
      <c r="AG60" s="22">
        <v>0.85899999999999999</v>
      </c>
      <c r="AH60" s="17">
        <v>134</v>
      </c>
      <c r="AI60" s="17">
        <v>295</v>
      </c>
      <c r="AJ60" s="20">
        <v>5.0999999999999996</v>
      </c>
      <c r="AK60" s="23">
        <v>2</v>
      </c>
    </row>
    <row r="61" spans="1:37">
      <c r="A61" s="24" t="s">
        <v>18</v>
      </c>
      <c r="B61" s="25" t="s">
        <v>6</v>
      </c>
      <c r="C61" s="25">
        <f t="shared" si="0"/>
        <v>0</v>
      </c>
      <c r="D61" s="25">
        <f t="shared" si="1"/>
        <v>0</v>
      </c>
      <c r="E61" s="25">
        <f t="shared" si="2"/>
        <v>0</v>
      </c>
      <c r="F61" s="25">
        <f t="shared" si="3"/>
        <v>1</v>
      </c>
      <c r="G61" s="25">
        <f t="shared" si="4"/>
        <v>0</v>
      </c>
      <c r="H61" s="25">
        <f t="shared" si="5"/>
        <v>0</v>
      </c>
      <c r="I61" s="26">
        <f>66/6</f>
        <v>11</v>
      </c>
      <c r="J61" s="19">
        <f t="shared" si="7"/>
        <v>1.0413926851582251</v>
      </c>
      <c r="K61" s="25" t="s">
        <v>1</v>
      </c>
      <c r="L61" s="25" t="s">
        <v>17</v>
      </c>
      <c r="M61" s="25">
        <v>6</v>
      </c>
      <c r="N61" s="25">
        <v>26</v>
      </c>
      <c r="O61" s="25">
        <v>30</v>
      </c>
      <c r="P61" s="25">
        <v>8</v>
      </c>
      <c r="Q61" s="27">
        <v>4.8</v>
      </c>
      <c r="R61" s="28">
        <v>25.8</v>
      </c>
      <c r="S61" s="28">
        <v>88.7</v>
      </c>
      <c r="T61" s="28">
        <v>39.299999999999997</v>
      </c>
      <c r="U61" s="25">
        <v>570</v>
      </c>
      <c r="V61" s="25">
        <v>82</v>
      </c>
      <c r="W61" s="25">
        <v>144</v>
      </c>
      <c r="X61" s="25">
        <v>25</v>
      </c>
      <c r="Y61" s="25">
        <v>2</v>
      </c>
      <c r="Z61" s="25">
        <v>31</v>
      </c>
      <c r="AA61" s="25">
        <v>89</v>
      </c>
      <c r="AB61" s="25">
        <v>64</v>
      </c>
      <c r="AC61" s="25">
        <v>167</v>
      </c>
      <c r="AD61" s="29">
        <v>0.252</v>
      </c>
      <c r="AE61" s="29">
        <v>0.33400000000000002</v>
      </c>
      <c r="AF61" s="29">
        <v>0.46600000000000003</v>
      </c>
      <c r="AG61" s="29">
        <v>0.8</v>
      </c>
      <c r="AH61" s="25">
        <v>108</v>
      </c>
      <c r="AI61" s="25">
        <v>266</v>
      </c>
      <c r="AJ61" s="27">
        <v>2.2999999999999998</v>
      </c>
      <c r="AK61" s="30">
        <v>5</v>
      </c>
    </row>
    <row r="62" spans="1:37">
      <c r="A62" s="16" t="s">
        <v>14</v>
      </c>
      <c r="B62" s="17" t="s">
        <v>6</v>
      </c>
      <c r="C62" s="17">
        <f t="shared" si="0"/>
        <v>0</v>
      </c>
      <c r="D62" s="17">
        <f t="shared" si="1"/>
        <v>0</v>
      </c>
      <c r="E62" s="17">
        <f t="shared" si="2"/>
        <v>0</v>
      </c>
      <c r="F62" s="17">
        <f t="shared" si="3"/>
        <v>1</v>
      </c>
      <c r="G62" s="17">
        <f t="shared" si="4"/>
        <v>0</v>
      </c>
      <c r="H62" s="17">
        <f t="shared" si="5"/>
        <v>0</v>
      </c>
      <c r="I62" s="18">
        <v>10.75</v>
      </c>
      <c r="J62" s="19">
        <f t="shared" si="7"/>
        <v>1.0314084642516241</v>
      </c>
      <c r="K62" s="17" t="s">
        <v>13</v>
      </c>
      <c r="L62" s="17" t="s">
        <v>12</v>
      </c>
      <c r="M62" s="17">
        <v>1</v>
      </c>
      <c r="N62" s="17">
        <v>25</v>
      </c>
      <c r="O62" s="17">
        <v>25</v>
      </c>
      <c r="P62" s="17">
        <v>5</v>
      </c>
      <c r="Q62" s="20">
        <v>4.8</v>
      </c>
      <c r="R62" s="21">
        <v>21.6</v>
      </c>
      <c r="S62" s="21">
        <v>92.4</v>
      </c>
      <c r="T62" s="21">
        <v>50.2</v>
      </c>
      <c r="U62" s="17">
        <v>633</v>
      </c>
      <c r="V62" s="17">
        <v>105</v>
      </c>
      <c r="W62" s="17">
        <v>177</v>
      </c>
      <c r="X62" s="17">
        <v>43</v>
      </c>
      <c r="Y62" s="17">
        <v>2</v>
      </c>
      <c r="Z62" s="17">
        <v>33</v>
      </c>
      <c r="AA62" s="17">
        <v>108</v>
      </c>
      <c r="AB62" s="17">
        <v>53</v>
      </c>
      <c r="AC62" s="17">
        <v>150</v>
      </c>
      <c r="AD62" s="22">
        <v>0.27900000000000003</v>
      </c>
      <c r="AE62" s="22">
        <v>0.33800000000000002</v>
      </c>
      <c r="AF62" s="22">
        <v>0.50900000000000001</v>
      </c>
      <c r="AG62" s="22">
        <v>0.84699999999999998</v>
      </c>
      <c r="AH62" s="17">
        <v>120</v>
      </c>
      <c r="AI62" s="17">
        <v>323</v>
      </c>
      <c r="AJ62" s="20">
        <v>3.2</v>
      </c>
      <c r="AK62" s="23">
        <v>6</v>
      </c>
    </row>
    <row r="63" spans="1:37">
      <c r="A63" s="24" t="s">
        <v>11</v>
      </c>
      <c r="B63" s="25" t="s">
        <v>2</v>
      </c>
      <c r="C63" s="25">
        <f t="shared" si="0"/>
        <v>0</v>
      </c>
      <c r="D63" s="25">
        <f t="shared" si="1"/>
        <v>0</v>
      </c>
      <c r="E63" s="25">
        <f t="shared" si="2"/>
        <v>0</v>
      </c>
      <c r="F63" s="25">
        <f t="shared" si="3"/>
        <v>0</v>
      </c>
      <c r="G63" s="25">
        <f t="shared" si="4"/>
        <v>0</v>
      </c>
      <c r="H63" s="25">
        <f t="shared" si="5"/>
        <v>1</v>
      </c>
      <c r="I63" s="26">
        <f>52/5</f>
        <v>10.4</v>
      </c>
      <c r="J63" s="19">
        <f t="shared" si="7"/>
        <v>1.0170333392987803</v>
      </c>
      <c r="K63" s="25" t="s">
        <v>1</v>
      </c>
      <c r="L63" s="25" t="s">
        <v>0</v>
      </c>
      <c r="M63" s="25">
        <v>5</v>
      </c>
      <c r="N63" s="25">
        <v>27</v>
      </c>
      <c r="O63" s="25">
        <v>30</v>
      </c>
      <c r="P63" s="25">
        <v>8</v>
      </c>
      <c r="Q63" s="27">
        <v>4.8</v>
      </c>
      <c r="R63" s="28">
        <v>26.5</v>
      </c>
      <c r="S63" s="28">
        <v>90.7</v>
      </c>
      <c r="T63" s="28">
        <v>46.4</v>
      </c>
      <c r="U63" s="25">
        <v>556</v>
      </c>
      <c r="V63" s="25">
        <v>75</v>
      </c>
      <c r="W63" s="25">
        <v>136</v>
      </c>
      <c r="X63" s="25">
        <v>33</v>
      </c>
      <c r="Y63" s="25">
        <v>4</v>
      </c>
      <c r="Z63" s="25">
        <v>29</v>
      </c>
      <c r="AA63" s="25">
        <v>81</v>
      </c>
      <c r="AB63" s="25">
        <v>34</v>
      </c>
      <c r="AC63" s="25">
        <v>158</v>
      </c>
      <c r="AD63" s="29">
        <v>0.245</v>
      </c>
      <c r="AE63" s="29">
        <v>0.29299999999999998</v>
      </c>
      <c r="AF63" s="29">
        <v>0.47299999999999998</v>
      </c>
      <c r="AG63" s="29">
        <v>0.76500000000000001</v>
      </c>
      <c r="AH63" s="25">
        <v>103</v>
      </c>
      <c r="AI63" s="25">
        <v>263</v>
      </c>
      <c r="AJ63" s="27">
        <v>2</v>
      </c>
      <c r="AK63" s="30">
        <v>4</v>
      </c>
    </row>
    <row r="64" spans="1:37">
      <c r="A64" s="16" t="s">
        <v>48</v>
      </c>
      <c r="B64" s="17" t="s">
        <v>2</v>
      </c>
      <c r="C64" s="17">
        <f t="shared" si="0"/>
        <v>0</v>
      </c>
      <c r="D64" s="17">
        <f t="shared" si="1"/>
        <v>0</v>
      </c>
      <c r="E64" s="17">
        <f t="shared" si="2"/>
        <v>0</v>
      </c>
      <c r="F64" s="17">
        <f t="shared" si="3"/>
        <v>0</v>
      </c>
      <c r="G64" s="17">
        <f t="shared" si="4"/>
        <v>0</v>
      </c>
      <c r="H64" s="17">
        <f t="shared" si="5"/>
        <v>1</v>
      </c>
      <c r="I64" s="18">
        <v>10.175000000000001</v>
      </c>
      <c r="J64" s="19">
        <f t="shared" si="7"/>
        <v>1.0075344178972576</v>
      </c>
      <c r="K64" s="17" t="s">
        <v>1</v>
      </c>
      <c r="L64" s="17" t="s">
        <v>15</v>
      </c>
      <c r="M64" s="17">
        <v>1</v>
      </c>
      <c r="N64" s="17">
        <v>30</v>
      </c>
      <c r="O64" s="17">
        <v>30</v>
      </c>
      <c r="P64" s="17">
        <v>6</v>
      </c>
      <c r="Q64" s="20">
        <v>6.4</v>
      </c>
      <c r="R64" s="21">
        <v>29.7</v>
      </c>
      <c r="S64" s="21">
        <v>95.6</v>
      </c>
      <c r="T64" s="21">
        <v>57.6</v>
      </c>
      <c r="U64" s="17">
        <v>586</v>
      </c>
      <c r="V64" s="17">
        <v>114</v>
      </c>
      <c r="W64" s="17">
        <v>162</v>
      </c>
      <c r="X64" s="17">
        <v>26</v>
      </c>
      <c r="Y64" s="17">
        <v>1</v>
      </c>
      <c r="Z64" s="17">
        <v>45</v>
      </c>
      <c r="AA64" s="17">
        <v>104</v>
      </c>
      <c r="AB64" s="17">
        <v>102</v>
      </c>
      <c r="AC64" s="17">
        <v>208</v>
      </c>
      <c r="AD64" s="22">
        <v>0.27600000000000002</v>
      </c>
      <c r="AE64" s="22">
        <v>0.38600000000000001</v>
      </c>
      <c r="AF64" s="22">
        <v>0.55400000000000005</v>
      </c>
      <c r="AG64" s="22">
        <v>0.94</v>
      </c>
      <c r="AH64" s="17">
        <v>150</v>
      </c>
      <c r="AI64" s="17">
        <v>325</v>
      </c>
      <c r="AJ64" s="20">
        <v>7.5</v>
      </c>
      <c r="AK64" s="23">
        <v>7</v>
      </c>
    </row>
    <row r="65" spans="1:37">
      <c r="A65" s="24" t="s">
        <v>10</v>
      </c>
      <c r="B65" s="25" t="s">
        <v>9</v>
      </c>
      <c r="C65" s="25">
        <f t="shared" si="0"/>
        <v>0</v>
      </c>
      <c r="D65" s="25">
        <f t="shared" si="1"/>
        <v>0</v>
      </c>
      <c r="E65" s="25">
        <f t="shared" si="2"/>
        <v>0</v>
      </c>
      <c r="F65" s="25">
        <f t="shared" si="3"/>
        <v>0</v>
      </c>
      <c r="G65" s="25">
        <f t="shared" si="4"/>
        <v>1</v>
      </c>
      <c r="H65" s="25">
        <f t="shared" si="5"/>
        <v>0</v>
      </c>
      <c r="I65" s="26">
        <v>10.1</v>
      </c>
      <c r="J65" s="19">
        <f t="shared" si="7"/>
        <v>1.0043213737826426</v>
      </c>
      <c r="K65" s="25" t="s">
        <v>1</v>
      </c>
      <c r="L65" s="25" t="s">
        <v>8</v>
      </c>
      <c r="M65" s="25">
        <v>1</v>
      </c>
      <c r="N65" s="25">
        <v>28</v>
      </c>
      <c r="O65" s="25">
        <v>28</v>
      </c>
      <c r="P65" s="25">
        <v>6</v>
      </c>
      <c r="Q65" s="27">
        <v>2.9</v>
      </c>
      <c r="R65" s="28">
        <v>23.7</v>
      </c>
      <c r="S65" s="28">
        <v>88.6</v>
      </c>
      <c r="T65" s="28">
        <v>39.799999999999997</v>
      </c>
      <c r="U65" s="25">
        <v>585</v>
      </c>
      <c r="V65" s="25">
        <v>81</v>
      </c>
      <c r="W65" s="25">
        <v>146</v>
      </c>
      <c r="X65" s="25">
        <v>31</v>
      </c>
      <c r="Y65" s="25">
        <v>3</v>
      </c>
      <c r="Z65" s="25">
        <v>19</v>
      </c>
      <c r="AA65" s="25">
        <v>77</v>
      </c>
      <c r="AB65" s="25">
        <v>59</v>
      </c>
      <c r="AC65" s="25">
        <v>155</v>
      </c>
      <c r="AD65" s="29">
        <v>0.249</v>
      </c>
      <c r="AE65" s="29">
        <v>0.31900000000000001</v>
      </c>
      <c r="AF65" s="29">
        <v>0.40899999999999997</v>
      </c>
      <c r="AG65" s="29">
        <v>0.72699999999999998</v>
      </c>
      <c r="AH65" s="25">
        <v>89</v>
      </c>
      <c r="AI65" s="25">
        <v>239</v>
      </c>
      <c r="AJ65" s="27">
        <v>2.1</v>
      </c>
      <c r="AK65" s="30">
        <v>10</v>
      </c>
    </row>
    <row r="66" spans="1:37">
      <c r="A66" s="16" t="s">
        <v>16</v>
      </c>
      <c r="B66" s="17" t="s">
        <v>2</v>
      </c>
      <c r="C66" s="17">
        <f t="shared" ref="C66:C68" si="8">IF(B66="C",1,0)</f>
        <v>0</v>
      </c>
      <c r="D66" s="17">
        <f t="shared" ref="D66:D68" si="9">IF(B66="1B",1,0)</f>
        <v>0</v>
      </c>
      <c r="E66" s="17">
        <f t="shared" ref="E66:E68" si="10">IF(B66="2B",1,0)</f>
        <v>0</v>
      </c>
      <c r="F66" s="17">
        <f t="shared" ref="F66:F68" si="11">IF(B66="3B",1,0)</f>
        <v>0</v>
      </c>
      <c r="G66" s="17">
        <f t="shared" ref="G66:G68" si="12">IF(B66="SS",1,0)</f>
        <v>0</v>
      </c>
      <c r="H66" s="17">
        <f t="shared" ref="H66:H68" si="13">IF(B66="OF",1,0)</f>
        <v>1</v>
      </c>
      <c r="I66" s="18">
        <f>70/7</f>
        <v>10</v>
      </c>
      <c r="J66" s="19">
        <f t="shared" ref="J66:J68" si="14">LOG(I66)</f>
        <v>1</v>
      </c>
      <c r="K66" s="17" t="s">
        <v>5</v>
      </c>
      <c r="L66" s="17" t="s">
        <v>15</v>
      </c>
      <c r="M66" s="17">
        <v>7</v>
      </c>
      <c r="N66" s="17">
        <v>29</v>
      </c>
      <c r="O66" s="17">
        <v>32</v>
      </c>
      <c r="P66" s="17">
        <v>9</v>
      </c>
      <c r="Q66" s="20">
        <v>3.3</v>
      </c>
      <c r="R66" s="21">
        <v>21</v>
      </c>
      <c r="S66" s="21">
        <v>89.3</v>
      </c>
      <c r="T66" s="21">
        <v>41</v>
      </c>
      <c r="U66" s="17">
        <v>531</v>
      </c>
      <c r="V66" s="17">
        <v>80</v>
      </c>
      <c r="W66" s="17">
        <v>124</v>
      </c>
      <c r="X66" s="17">
        <v>22</v>
      </c>
      <c r="Y66" s="17">
        <v>3</v>
      </c>
      <c r="Z66" s="17">
        <v>20</v>
      </c>
      <c r="AA66" s="17">
        <v>68</v>
      </c>
      <c r="AB66" s="17">
        <v>77</v>
      </c>
      <c r="AC66" s="17">
        <v>130</v>
      </c>
      <c r="AD66" s="22">
        <v>0.23300000000000001</v>
      </c>
      <c r="AE66" s="22">
        <v>0.33</v>
      </c>
      <c r="AF66" s="22">
        <v>0.39900000000000002</v>
      </c>
      <c r="AG66" s="22">
        <v>0.72899999999999998</v>
      </c>
      <c r="AH66" s="17">
        <v>98</v>
      </c>
      <c r="AI66" s="17">
        <v>212</v>
      </c>
      <c r="AJ66" s="20">
        <v>2.7</v>
      </c>
      <c r="AK66" s="23">
        <v>12</v>
      </c>
    </row>
    <row r="67" spans="1:37">
      <c r="A67" s="24" t="s">
        <v>7</v>
      </c>
      <c r="B67" s="25" t="s">
        <v>6</v>
      </c>
      <c r="C67" s="25">
        <f t="shared" si="8"/>
        <v>0</v>
      </c>
      <c r="D67" s="25">
        <f t="shared" si="9"/>
        <v>0</v>
      </c>
      <c r="E67" s="25">
        <f t="shared" si="10"/>
        <v>0</v>
      </c>
      <c r="F67" s="25">
        <f t="shared" si="11"/>
        <v>1</v>
      </c>
      <c r="G67" s="25">
        <f t="shared" si="12"/>
        <v>0</v>
      </c>
      <c r="H67" s="25">
        <f t="shared" si="13"/>
        <v>0</v>
      </c>
      <c r="I67" s="26">
        <f>20/2</f>
        <v>10</v>
      </c>
      <c r="J67" s="19">
        <f t="shared" si="14"/>
        <v>1</v>
      </c>
      <c r="K67" s="25" t="s">
        <v>5</v>
      </c>
      <c r="L67" s="25" t="s">
        <v>4</v>
      </c>
      <c r="M67" s="25">
        <v>2</v>
      </c>
      <c r="N67" s="25">
        <v>33</v>
      </c>
      <c r="O67" s="25">
        <v>33</v>
      </c>
      <c r="P67" s="25">
        <v>11</v>
      </c>
      <c r="Q67" s="27">
        <v>3.2</v>
      </c>
      <c r="R67" s="28">
        <v>19.600000000000001</v>
      </c>
      <c r="S67" s="28">
        <v>87.1</v>
      </c>
      <c r="T67" s="28">
        <v>31.3</v>
      </c>
      <c r="U67" s="25">
        <v>561</v>
      </c>
      <c r="V67" s="25">
        <v>72</v>
      </c>
      <c r="W67" s="25">
        <v>144</v>
      </c>
      <c r="X67" s="25">
        <v>31</v>
      </c>
      <c r="Y67" s="25">
        <v>5</v>
      </c>
      <c r="Z67" s="25">
        <v>20</v>
      </c>
      <c r="AA67" s="25">
        <v>77</v>
      </c>
      <c r="AB67" s="25">
        <v>42</v>
      </c>
      <c r="AC67" s="25">
        <v>120</v>
      </c>
      <c r="AD67" s="29">
        <v>0.25600000000000001</v>
      </c>
      <c r="AE67" s="29">
        <v>0.309</v>
      </c>
      <c r="AF67" s="29">
        <v>0.436</v>
      </c>
      <c r="AG67" s="29">
        <v>0.745</v>
      </c>
      <c r="AH67" s="25">
        <v>99</v>
      </c>
      <c r="AI67" s="25">
        <v>245</v>
      </c>
      <c r="AJ67" s="27">
        <v>1.7</v>
      </c>
      <c r="AK67" s="30">
        <v>3</v>
      </c>
    </row>
    <row r="68" spans="1:37">
      <c r="A68" s="16" t="s">
        <v>3</v>
      </c>
      <c r="B68" s="17" t="s">
        <v>2</v>
      </c>
      <c r="C68" s="17">
        <f t="shared" si="8"/>
        <v>0</v>
      </c>
      <c r="D68" s="17">
        <f t="shared" si="9"/>
        <v>0</v>
      </c>
      <c r="E68" s="17">
        <f t="shared" si="10"/>
        <v>0</v>
      </c>
      <c r="F68" s="17">
        <f t="shared" si="11"/>
        <v>0</v>
      </c>
      <c r="G68" s="17">
        <f t="shared" si="12"/>
        <v>0</v>
      </c>
      <c r="H68" s="17">
        <f t="shared" si="13"/>
        <v>1</v>
      </c>
      <c r="I68" s="18">
        <v>10</v>
      </c>
      <c r="J68" s="19">
        <f t="shared" si="14"/>
        <v>1</v>
      </c>
      <c r="K68" s="17" t="s">
        <v>1</v>
      </c>
      <c r="L68" s="17" t="s">
        <v>0</v>
      </c>
      <c r="M68" s="17">
        <v>1</v>
      </c>
      <c r="N68" s="17">
        <v>29</v>
      </c>
      <c r="O68" s="17">
        <v>29</v>
      </c>
      <c r="P68" s="17">
        <v>6</v>
      </c>
      <c r="Q68" s="20">
        <v>5.4</v>
      </c>
      <c r="R68" s="21">
        <v>29.6</v>
      </c>
      <c r="S68" s="21">
        <v>91.9</v>
      </c>
      <c r="T68" s="21">
        <v>47.9</v>
      </c>
      <c r="U68" s="17">
        <v>567</v>
      </c>
      <c r="V68" s="17">
        <v>88</v>
      </c>
      <c r="W68" s="17">
        <v>148</v>
      </c>
      <c r="X68" s="17">
        <v>30</v>
      </c>
      <c r="Y68" s="17">
        <v>3</v>
      </c>
      <c r="Z68" s="17">
        <v>34</v>
      </c>
      <c r="AA68" s="17">
        <v>94</v>
      </c>
      <c r="AB68" s="17">
        <v>48</v>
      </c>
      <c r="AC68" s="17">
        <v>184</v>
      </c>
      <c r="AD68" s="22">
        <v>0.26</v>
      </c>
      <c r="AE68" s="22">
        <v>0.32</v>
      </c>
      <c r="AF68" s="22">
        <v>0.501</v>
      </c>
      <c r="AG68" s="22">
        <v>0.82199999999999995</v>
      </c>
      <c r="AH68" s="17">
        <v>120</v>
      </c>
      <c r="AI68" s="17">
        <v>284</v>
      </c>
      <c r="AJ68" s="20">
        <v>2.5</v>
      </c>
      <c r="AK68" s="23">
        <v>9</v>
      </c>
    </row>
    <row r="69" spans="1:37">
      <c r="G69" s="7"/>
      <c r="H69" s="7"/>
      <c r="I69" s="7"/>
      <c r="J69" s="7"/>
      <c r="M69" s="7">
        <f>CORREL($M$2:$M$63,M2:M63)</f>
        <v>0.99999999999999978</v>
      </c>
      <c r="N69" s="7">
        <f t="shared" ref="N69:AK69" si="15">CORREL($M$2:$M$63,N2:N63)</f>
        <v>-0.33061118158098518</v>
      </c>
      <c r="O69" s="7">
        <f t="shared" si="15"/>
        <v>8.3937023321307674E-2</v>
      </c>
      <c r="P69" s="7">
        <f t="shared" si="15"/>
        <v>0.27314836024043548</v>
      </c>
      <c r="Q69" s="7">
        <f t="shared" si="15"/>
        <v>0.12432521288926991</v>
      </c>
      <c r="R69" s="7">
        <f t="shared" si="15"/>
        <v>-3.2899150287489118E-2</v>
      </c>
      <c r="S69" s="7">
        <f t="shared" si="15"/>
        <v>0.12437183792912665</v>
      </c>
      <c r="T69" s="7">
        <f t="shared" si="15"/>
        <v>0.22180861082819203</v>
      </c>
      <c r="U69" s="7">
        <f t="shared" si="15"/>
        <v>0.27680281857638267</v>
      </c>
      <c r="V69" s="7">
        <f t="shared" si="15"/>
        <v>0.30129225454466652</v>
      </c>
      <c r="W69" s="7">
        <f t="shared" si="15"/>
        <v>0.31706751485501528</v>
      </c>
      <c r="X69" s="7">
        <f t="shared" si="15"/>
        <v>0.24469687331251991</v>
      </c>
      <c r="Y69" s="7">
        <f t="shared" si="15"/>
        <v>-7.2087999237538128E-2</v>
      </c>
      <c r="Z69" s="7">
        <f t="shared" si="15"/>
        <v>0.20248013263191716</v>
      </c>
      <c r="AA69" s="7">
        <f t="shared" si="15"/>
        <v>0.19017503303086089</v>
      </c>
      <c r="AB69" s="7">
        <f t="shared" si="15"/>
        <v>0.22466245552809697</v>
      </c>
      <c r="AC69" s="7">
        <f t="shared" si="15"/>
        <v>2.8524180936777849E-2</v>
      </c>
      <c r="AD69" s="7">
        <f t="shared" si="15"/>
        <v>0.28040476155223382</v>
      </c>
      <c r="AE69" s="7">
        <f t="shared" si="15"/>
        <v>0.27102599280283596</v>
      </c>
      <c r="AF69" s="7">
        <f t="shared" si="15"/>
        <v>0.28474798112291033</v>
      </c>
      <c r="AG69" s="7">
        <f t="shared" si="15"/>
        <v>0.30753202208631969</v>
      </c>
      <c r="AH69" s="7">
        <f t="shared" si="15"/>
        <v>0.28715477966493214</v>
      </c>
      <c r="AI69" s="7">
        <f t="shared" si="15"/>
        <v>0.3664763591112119</v>
      </c>
      <c r="AJ69" s="7">
        <f t="shared" si="15"/>
        <v>0.3957800272598897</v>
      </c>
      <c r="AK69" s="7">
        <f t="shared" si="15"/>
        <v>3.5783023679546784E-2</v>
      </c>
    </row>
    <row r="70" spans="1:37">
      <c r="G70" s="7"/>
      <c r="H70" s="7"/>
      <c r="I70" s="7"/>
      <c r="J70" s="7"/>
      <c r="M70" s="7"/>
      <c r="N70" s="7">
        <f>CORREL($N$2:$N$63,N2:N63)</f>
        <v>1</v>
      </c>
      <c r="O70" s="7">
        <f t="shared" ref="O70:AK70" si="16">CORREL($N$2:$N$63,O2:O63)</f>
        <v>0.76272717306402993</v>
      </c>
      <c r="P70" s="7">
        <f t="shared" si="16"/>
        <v>0.52930031013793788</v>
      </c>
      <c r="Q70" s="7">
        <f t="shared" si="16"/>
        <v>-0.36219952760091628</v>
      </c>
      <c r="R70" s="7">
        <f t="shared" si="16"/>
        <v>-0.21908005475727188</v>
      </c>
      <c r="S70" s="7">
        <f t="shared" si="16"/>
        <v>-4.4797161914988073E-2</v>
      </c>
      <c r="T70" s="7">
        <f t="shared" si="16"/>
        <v>-0.23497044557341717</v>
      </c>
      <c r="U70" s="7">
        <f t="shared" si="16"/>
        <v>-0.16602450134204608</v>
      </c>
      <c r="V70" s="7">
        <f t="shared" si="16"/>
        <v>-0.39892663249105964</v>
      </c>
      <c r="W70" s="7">
        <f t="shared" si="16"/>
        <v>-3.8648892100301382E-2</v>
      </c>
      <c r="X70" s="7">
        <f t="shared" si="16"/>
        <v>-6.7481645962268424E-2</v>
      </c>
      <c r="Y70" s="7">
        <f t="shared" si="16"/>
        <v>2.6572660467968415E-2</v>
      </c>
      <c r="Z70" s="7">
        <f t="shared" si="16"/>
        <v>-0.41053575186459723</v>
      </c>
      <c r="AA70" s="7">
        <f t="shared" si="16"/>
        <v>-0.2800798011445238</v>
      </c>
      <c r="AB70" s="7">
        <f t="shared" si="16"/>
        <v>-0.32456270233868528</v>
      </c>
      <c r="AC70" s="7">
        <f t="shared" si="16"/>
        <v>-0.28422612193215818</v>
      </c>
      <c r="AD70" s="7">
        <f t="shared" si="16"/>
        <v>7.1482345604847883E-2</v>
      </c>
      <c r="AE70" s="7">
        <f t="shared" si="16"/>
        <v>-0.12538533738113783</v>
      </c>
      <c r="AF70" s="7">
        <f t="shared" si="16"/>
        <v>-0.30981295563584432</v>
      </c>
      <c r="AG70" s="7">
        <f t="shared" si="16"/>
        <v>-0.25737791910164481</v>
      </c>
      <c r="AH70" s="7">
        <f t="shared" si="16"/>
        <v>-0.19314111748247553</v>
      </c>
      <c r="AI70" s="7">
        <f t="shared" si="16"/>
        <v>-0.32719854133464338</v>
      </c>
      <c r="AJ70" s="7">
        <f t="shared" si="16"/>
        <v>-0.23609389629041791</v>
      </c>
      <c r="AK70" s="7">
        <f t="shared" si="16"/>
        <v>-0.1457959342306826</v>
      </c>
    </row>
    <row r="71" spans="1:37">
      <c r="G71" s="7"/>
      <c r="H71" s="7"/>
      <c r="I71" s="7"/>
      <c r="J71" s="7"/>
      <c r="M71" s="7"/>
      <c r="N71" s="7"/>
      <c r="O71" s="7">
        <f>CORREL($O$2:$O$63,O2:O63)</f>
        <v>1</v>
      </c>
      <c r="P71" s="7">
        <f t="shared" ref="P71:AK71" si="17">CORREL($O$2:$O$63,P2:P63)</f>
        <v>0.86249472584645637</v>
      </c>
      <c r="Q71" s="7">
        <f t="shared" si="17"/>
        <v>-0.34420818490327898</v>
      </c>
      <c r="R71" s="7">
        <f t="shared" si="17"/>
        <v>-0.27367464669894015</v>
      </c>
      <c r="S71" s="7">
        <f t="shared" si="17"/>
        <v>6.8421226829531667E-2</v>
      </c>
      <c r="T71" s="7">
        <f t="shared" si="17"/>
        <v>-0.12514904805892282</v>
      </c>
      <c r="U71" s="7">
        <f t="shared" si="17"/>
        <v>-0.11183915227337682</v>
      </c>
      <c r="V71" s="7">
        <f t="shared" si="17"/>
        <v>-0.40723250821854273</v>
      </c>
      <c r="W71" s="7">
        <f t="shared" si="17"/>
        <v>5.7916188392419549E-2</v>
      </c>
      <c r="X71" s="7">
        <f t="shared" si="17"/>
        <v>7.7746380983188829E-3</v>
      </c>
      <c r="Y71" s="7">
        <f t="shared" si="17"/>
        <v>-0.14552748301097643</v>
      </c>
      <c r="Z71" s="7">
        <f t="shared" si="17"/>
        <v>-0.36760066785239121</v>
      </c>
      <c r="AA71" s="7">
        <f t="shared" si="17"/>
        <v>-0.17824613006779039</v>
      </c>
      <c r="AB71" s="7">
        <f t="shared" si="17"/>
        <v>-0.21888250798368253</v>
      </c>
      <c r="AC71" s="7">
        <f t="shared" si="17"/>
        <v>-0.31596367327882813</v>
      </c>
      <c r="AD71" s="7">
        <f t="shared" si="17"/>
        <v>0.18016856987942104</v>
      </c>
      <c r="AE71" s="7">
        <f t="shared" si="17"/>
        <v>-1.9656069102908184E-2</v>
      </c>
      <c r="AF71" s="7">
        <f t="shared" si="17"/>
        <v>-0.24220765833964791</v>
      </c>
      <c r="AG71" s="7">
        <f t="shared" si="17"/>
        <v>-0.1658617640609176</v>
      </c>
      <c r="AH71" s="7">
        <f t="shared" si="17"/>
        <v>-8.7860256646828089E-2</v>
      </c>
      <c r="AI71" s="7">
        <f t="shared" si="17"/>
        <v>-0.24566411302768271</v>
      </c>
      <c r="AJ71" s="7">
        <f t="shared" si="17"/>
        <v>-0.17007100311324566</v>
      </c>
      <c r="AK71" s="7">
        <f t="shared" si="17"/>
        <v>-0.20217760347914471</v>
      </c>
    </row>
    <row r="72" spans="1:37">
      <c r="G72" s="7"/>
      <c r="H72" s="7"/>
      <c r="I72" s="7"/>
      <c r="J72" s="7"/>
      <c r="M72" s="7"/>
      <c r="N72" s="7"/>
      <c r="O72" s="7"/>
      <c r="P72" s="7">
        <f>CORREL($P$2:$P$63,P2:P63)</f>
        <v>0.99999999999999978</v>
      </c>
      <c r="Q72" s="7">
        <f t="shared" ref="Q72:AK72" si="18">CORREL($P$2:$P$63,Q2:Q63)</f>
        <v>-0.28746760119199666</v>
      </c>
      <c r="R72" s="7">
        <f t="shared" si="18"/>
        <v>-0.30143054858799923</v>
      </c>
      <c r="S72" s="7">
        <f t="shared" si="18"/>
        <v>0.11544930857200973</v>
      </c>
      <c r="T72" s="7">
        <f t="shared" si="18"/>
        <v>-2.1202865106131917E-2</v>
      </c>
      <c r="U72" s="7">
        <f t="shared" si="18"/>
        <v>-3.4193430005351334E-2</v>
      </c>
      <c r="V72" s="7">
        <f t="shared" si="18"/>
        <v>-0.31755821654428473</v>
      </c>
      <c r="W72" s="7">
        <f t="shared" si="18"/>
        <v>0.15816942385820981</v>
      </c>
      <c r="X72" s="7">
        <f t="shared" si="18"/>
        <v>4.7769623971630169E-2</v>
      </c>
      <c r="Y72" s="7">
        <f t="shared" si="18"/>
        <v>-0.21516467737521897</v>
      </c>
      <c r="Z72" s="7">
        <f t="shared" si="18"/>
        <v>-0.29356734269614454</v>
      </c>
      <c r="AA72" s="7">
        <f t="shared" si="18"/>
        <v>-8.308432666376038E-2</v>
      </c>
      <c r="AB72" s="7">
        <f t="shared" si="18"/>
        <v>-9.7320887510607412E-2</v>
      </c>
      <c r="AC72" s="7">
        <f t="shared" si="18"/>
        <v>-0.31893287289044503</v>
      </c>
      <c r="AD72" s="7">
        <f t="shared" si="18"/>
        <v>0.28255312200112204</v>
      </c>
      <c r="AE72" s="7">
        <f t="shared" si="18"/>
        <v>8.2609154189377296E-2</v>
      </c>
      <c r="AF72" s="7">
        <f t="shared" si="18"/>
        <v>-0.14473935551855321</v>
      </c>
      <c r="AG72" s="7">
        <f t="shared" si="18"/>
        <v>-5.6496806649709408E-2</v>
      </c>
      <c r="AH72" s="7">
        <f t="shared" si="18"/>
        <v>2.6695349508203729E-2</v>
      </c>
      <c r="AI72" s="7">
        <f t="shared" si="18"/>
        <v>-0.13423105137449409</v>
      </c>
      <c r="AJ72" s="7">
        <f t="shared" si="18"/>
        <v>-8.8679929281848813E-2</v>
      </c>
      <c r="AK72" s="7">
        <f t="shared" si="18"/>
        <v>-0.16451418279599989</v>
      </c>
    </row>
    <row r="73" spans="1:37">
      <c r="G73" s="7"/>
      <c r="H73" s="7"/>
      <c r="I73" s="7"/>
      <c r="J73" s="7"/>
      <c r="M73" s="7"/>
      <c r="N73" s="7"/>
      <c r="O73" s="7"/>
      <c r="P73" s="7"/>
      <c r="Q73" s="7">
        <f>CORREL($Q$2:$Q$63,Q2:Q63)</f>
        <v>1</v>
      </c>
      <c r="R73" s="7">
        <f t="shared" ref="R73:AK73" si="19">CORREL($Q$2:$Q$63,R2:R63)</f>
        <v>0.4652905861006103</v>
      </c>
      <c r="S73" s="7">
        <f t="shared" si="19"/>
        <v>-0.11000406127317199</v>
      </c>
      <c r="T73" s="7">
        <f t="shared" si="19"/>
        <v>0.57333699369635549</v>
      </c>
      <c r="U73" s="7">
        <f t="shared" si="19"/>
        <v>-0.11743473116797168</v>
      </c>
      <c r="V73" s="7">
        <f t="shared" si="19"/>
        <v>0.34866450687702089</v>
      </c>
      <c r="W73" s="7">
        <f t="shared" si="19"/>
        <v>-0.19908527822001568</v>
      </c>
      <c r="X73" s="7">
        <f t="shared" si="19"/>
        <v>-4.7122239832193595E-2</v>
      </c>
      <c r="Y73" s="7">
        <f t="shared" si="19"/>
        <v>-0.31005110805054803</v>
      </c>
      <c r="Z73" s="7">
        <f t="shared" si="19"/>
        <v>0.981307388891965</v>
      </c>
      <c r="AA73" s="7">
        <f t="shared" si="19"/>
        <v>0.76799091920260143</v>
      </c>
      <c r="AB73" s="7">
        <f t="shared" si="19"/>
        <v>0.43810202530607384</v>
      </c>
      <c r="AC73" s="7">
        <f t="shared" si="19"/>
        <v>0.51558402240971624</v>
      </c>
      <c r="AD73" s="7">
        <f t="shared" si="19"/>
        <v>-0.21594237482781303</v>
      </c>
      <c r="AE73" s="7">
        <f t="shared" si="19"/>
        <v>0.20522364671147791</v>
      </c>
      <c r="AF73" s="7">
        <f t="shared" si="19"/>
        <v>0.78670283383560358</v>
      </c>
      <c r="AG73" s="7">
        <f t="shared" si="19"/>
        <v>0.61193385484713814</v>
      </c>
      <c r="AH73" s="7">
        <f t="shared" si="19"/>
        <v>0.54295605613700537</v>
      </c>
      <c r="AI73" s="7">
        <f t="shared" si="19"/>
        <v>0.55882072315783926</v>
      </c>
      <c r="AJ73" s="7">
        <f t="shared" si="19"/>
        <v>0.26101220892561272</v>
      </c>
      <c r="AK73" s="7">
        <f t="shared" si="19"/>
        <v>-0.25114516170656132</v>
      </c>
    </row>
    <row r="74" spans="1:37">
      <c r="G74" s="7"/>
      <c r="H74" s="7"/>
      <c r="I74" s="7"/>
      <c r="J74" s="7"/>
      <c r="M74" s="7"/>
      <c r="N74" s="7"/>
      <c r="O74" s="7"/>
      <c r="P74" s="7"/>
      <c r="Q74" s="7"/>
      <c r="R74" s="7">
        <f>CORREL($R$2:$R$63,R2:R63)</f>
        <v>0.99999999999999989</v>
      </c>
      <c r="S74" s="7">
        <f t="shared" ref="S74:AK74" si="20">CORREL($R$2:$R$63,S2:S63)</f>
        <v>-0.15324746408850476</v>
      </c>
      <c r="T74" s="7">
        <f t="shared" si="20"/>
        <v>0.3384123020717707</v>
      </c>
      <c r="U74" s="7">
        <f t="shared" si="20"/>
        <v>-0.39503052390113941</v>
      </c>
      <c r="V74" s="7">
        <f t="shared" si="20"/>
        <v>-8.8582406283115395E-2</v>
      </c>
      <c r="W74" s="7">
        <f t="shared" si="20"/>
        <v>-0.54396962590623088</v>
      </c>
      <c r="X74" s="7">
        <f t="shared" si="20"/>
        <v>-0.36714547863995506</v>
      </c>
      <c r="Y74" s="7">
        <f t="shared" si="20"/>
        <v>7.7946485165141148E-3</v>
      </c>
      <c r="Z74" s="7">
        <f t="shared" si="20"/>
        <v>0.39757739910660073</v>
      </c>
      <c r="AA74" s="7">
        <f t="shared" si="20"/>
        <v>0.10182863611975376</v>
      </c>
      <c r="AB74" s="7">
        <f t="shared" si="20"/>
        <v>0.14474180036396173</v>
      </c>
      <c r="AC74" s="7">
        <f t="shared" si="20"/>
        <v>0.97110123804680781</v>
      </c>
      <c r="AD74" s="7">
        <f t="shared" si="20"/>
        <v>-0.54892958699917982</v>
      </c>
      <c r="AE74" s="7">
        <f t="shared" si="20"/>
        <v>-0.15815558473271993</v>
      </c>
      <c r="AF74" s="7">
        <f t="shared" si="20"/>
        <v>0.12849187218907004</v>
      </c>
      <c r="AG74" s="7">
        <f t="shared" si="20"/>
        <v>1.4265481932107358E-2</v>
      </c>
      <c r="AH74" s="7">
        <f t="shared" si="20"/>
        <v>1.0636137658050473E-3</v>
      </c>
      <c r="AI74" s="7">
        <f t="shared" si="20"/>
        <v>-9.600931141925044E-2</v>
      </c>
      <c r="AJ74" s="7">
        <f t="shared" si="20"/>
        <v>-0.24247611517384979</v>
      </c>
      <c r="AK74" s="7">
        <f t="shared" si="20"/>
        <v>-0.15000141807669079</v>
      </c>
    </row>
    <row r="75" spans="1:37">
      <c r="G75" s="7"/>
      <c r="H75" s="7"/>
      <c r="I75" s="7"/>
      <c r="J75" s="7"/>
      <c r="M75" s="7"/>
      <c r="N75" s="7"/>
      <c r="O75" s="7"/>
      <c r="P75" s="7"/>
      <c r="Q75" s="7"/>
      <c r="R75" s="7"/>
      <c r="S75" s="7">
        <f>CORREL($S$2:$S$63,S2:S63)</f>
        <v>0.99999999999999989</v>
      </c>
      <c r="T75" s="7">
        <f t="shared" ref="T75:AK75" si="21">CORREL($S$2:$S$63,T2:T63)</f>
        <v>4.632424699851509E-2</v>
      </c>
      <c r="U75" s="7">
        <f t="shared" si="21"/>
        <v>0.24223372592680015</v>
      </c>
      <c r="V75" s="7">
        <f t="shared" si="21"/>
        <v>7.6776665091892196E-2</v>
      </c>
      <c r="W75" s="7">
        <f t="shared" si="21"/>
        <v>0.30743669731925827</v>
      </c>
      <c r="X75" s="7">
        <f t="shared" si="21"/>
        <v>0.32370822060913951</v>
      </c>
      <c r="Y75" s="7">
        <f t="shared" si="21"/>
        <v>1.0036074744088687E-2</v>
      </c>
      <c r="Z75" s="7">
        <f t="shared" si="21"/>
        <v>-4.6845097788209097E-2</v>
      </c>
      <c r="AA75" s="7">
        <f t="shared" si="21"/>
        <v>0.17533643975813279</v>
      </c>
      <c r="AB75" s="7">
        <f t="shared" si="21"/>
        <v>-2.2399403645610442E-2</v>
      </c>
      <c r="AC75" s="7">
        <f t="shared" si="21"/>
        <v>-9.7486077867812937E-2</v>
      </c>
      <c r="AD75" s="7">
        <f t="shared" si="21"/>
        <v>0.30499376881124984</v>
      </c>
      <c r="AE75" s="7">
        <f t="shared" si="21"/>
        <v>0.1120668838940254</v>
      </c>
      <c r="AF75" s="7">
        <f t="shared" si="21"/>
        <v>8.3376810112441468E-2</v>
      </c>
      <c r="AG75" s="7">
        <f t="shared" si="21"/>
        <v>0.10477213652124827</v>
      </c>
      <c r="AH75" s="7">
        <f t="shared" si="21"/>
        <v>0.13523821219052071</v>
      </c>
      <c r="AI75" s="7">
        <f t="shared" si="21"/>
        <v>0.19586009030151416</v>
      </c>
      <c r="AJ75" s="7">
        <f t="shared" si="21"/>
        <v>0.24100597630981641</v>
      </c>
      <c r="AK75" s="7">
        <f t="shared" si="21"/>
        <v>5.6683042729761671E-2</v>
      </c>
    </row>
    <row r="76" spans="1:37">
      <c r="G76" s="7"/>
      <c r="H76" s="7"/>
      <c r="I76" s="7"/>
      <c r="J76" s="7"/>
      <c r="M76" s="7"/>
      <c r="N76" s="7"/>
      <c r="O76" s="7"/>
      <c r="P76" s="7"/>
      <c r="Q76" s="7"/>
      <c r="R76" s="7"/>
      <c r="S76" s="7"/>
      <c r="T76" s="7">
        <f>CORREL($T$2:$T$63,T2:T63)</f>
        <v>1</v>
      </c>
      <c r="U76" s="7">
        <f t="shared" ref="U76:AK76" si="22">CORREL($T$2:$T$63,U2:U63)</f>
        <v>2.3360867887747133E-2</v>
      </c>
      <c r="V76" s="7">
        <f t="shared" si="22"/>
        <v>0.25947032144917193</v>
      </c>
      <c r="W76" s="7">
        <f t="shared" si="22"/>
        <v>7.4103729645909097E-2</v>
      </c>
      <c r="X76" s="7">
        <f t="shared" si="22"/>
        <v>3.3038169417541396E-2</v>
      </c>
      <c r="Y76" s="7">
        <f t="shared" si="22"/>
        <v>-0.36768995490843415</v>
      </c>
      <c r="Z76" s="7">
        <f t="shared" si="22"/>
        <v>0.5967193936154046</v>
      </c>
      <c r="AA76" s="7">
        <f t="shared" si="22"/>
        <v>0.60112385734033724</v>
      </c>
      <c r="AB76" s="7">
        <f t="shared" si="22"/>
        <v>0.37040589980908645</v>
      </c>
      <c r="AC76" s="7">
        <f t="shared" si="22"/>
        <v>0.39866583803488992</v>
      </c>
      <c r="AD76" s="7">
        <f t="shared" si="22"/>
        <v>9.9795031278082591E-2</v>
      </c>
      <c r="AE76" s="7">
        <f t="shared" si="22"/>
        <v>0.3076265111670039</v>
      </c>
      <c r="AF76" s="7">
        <f t="shared" si="22"/>
        <v>0.54369062284043623</v>
      </c>
      <c r="AG76" s="7">
        <f t="shared" si="22"/>
        <v>0.49644799052541133</v>
      </c>
      <c r="AH76" s="7">
        <f t="shared" si="22"/>
        <v>0.4917467826192638</v>
      </c>
      <c r="AI76" s="7">
        <f t="shared" si="22"/>
        <v>0.43694108362510981</v>
      </c>
      <c r="AJ76" s="7">
        <f t="shared" si="22"/>
        <v>0.2060853471798374</v>
      </c>
      <c r="AK76" s="7">
        <f t="shared" si="22"/>
        <v>-0.21148737346867377</v>
      </c>
    </row>
    <row r="77" spans="1:37">
      <c r="G77" s="7"/>
      <c r="H77" s="7"/>
      <c r="I77" s="7"/>
      <c r="J77" s="7"/>
      <c r="M77" s="7"/>
      <c r="N77" s="7"/>
      <c r="O77" s="7"/>
      <c r="P77" s="7"/>
      <c r="Q77" s="7"/>
      <c r="R77" s="7"/>
      <c r="S77" s="7"/>
      <c r="T77" s="7"/>
      <c r="U77" s="7">
        <f>CORREL($U$2:$U$63,U2:U63)</f>
        <v>0.99999999999999978</v>
      </c>
      <c r="V77" s="7">
        <f t="shared" ref="V77:AK77" si="23">CORREL($U$2:$U$63,V2:V63)</f>
        <v>0.45056292898242795</v>
      </c>
      <c r="W77" s="7">
        <f t="shared" si="23"/>
        <v>0.85742254051749167</v>
      </c>
      <c r="X77" s="7">
        <f t="shared" si="23"/>
        <v>0.52102677861431212</v>
      </c>
      <c r="Y77" s="7">
        <f t="shared" si="23"/>
        <v>0.11907976324190749</v>
      </c>
      <c r="Z77" s="7">
        <f t="shared" si="23"/>
        <v>3.0823334853168589E-2</v>
      </c>
      <c r="AA77" s="7">
        <f t="shared" si="23"/>
        <v>0.23167221731941232</v>
      </c>
      <c r="AB77" s="7">
        <f t="shared" si="23"/>
        <v>-0.23161324208494682</v>
      </c>
      <c r="AC77" s="7">
        <f t="shared" si="23"/>
        <v>-0.23654445614873254</v>
      </c>
      <c r="AD77" s="7">
        <f t="shared" si="23"/>
        <v>0.55582088954069997</v>
      </c>
      <c r="AE77" s="7">
        <f t="shared" si="23"/>
        <v>2.1340732223715575E-2</v>
      </c>
      <c r="AF77" s="7">
        <f t="shared" si="23"/>
        <v>0.15520371096946908</v>
      </c>
      <c r="AG77" s="7">
        <f t="shared" si="23"/>
        <v>0.11164619190704898</v>
      </c>
      <c r="AH77" s="7">
        <f t="shared" si="23"/>
        <v>5.0303076047256812E-2</v>
      </c>
      <c r="AI77" s="7">
        <f t="shared" si="23"/>
        <v>0.631683780003091</v>
      </c>
      <c r="AJ77" s="7">
        <f t="shared" si="23"/>
        <v>0.31711757238359783</v>
      </c>
      <c r="AK77" s="7">
        <f t="shared" si="23"/>
        <v>0.35030218880835423</v>
      </c>
    </row>
    <row r="78" spans="1:37">
      <c r="G78" s="7"/>
      <c r="H78" s="7"/>
      <c r="I78" s="7"/>
      <c r="J78" s="7"/>
      <c r="M78" s="7"/>
      <c r="N78" s="7"/>
      <c r="O78" s="7"/>
      <c r="P78" s="7"/>
      <c r="Q78" s="7"/>
      <c r="R78" s="7"/>
      <c r="S78" s="7"/>
      <c r="T78" s="7"/>
      <c r="U78" s="7"/>
      <c r="V78" s="7">
        <f>CORREL($R$2:$R$63,R2:R63)</f>
        <v>0.99999999999999989</v>
      </c>
      <c r="W78" s="7">
        <f t="shared" ref="W78:AK78" si="24">CORREL($R$2:$R$63,S2:S63)</f>
        <v>-0.15324746408850476</v>
      </c>
      <c r="X78" s="7">
        <f t="shared" si="24"/>
        <v>0.3384123020717707</v>
      </c>
      <c r="Y78" s="7">
        <f t="shared" si="24"/>
        <v>-0.39503052390113941</v>
      </c>
      <c r="Z78" s="7">
        <f t="shared" si="24"/>
        <v>-8.8582406283115395E-2</v>
      </c>
      <c r="AA78" s="7">
        <f t="shared" si="24"/>
        <v>-0.54396962590623088</v>
      </c>
      <c r="AB78" s="7">
        <f t="shared" si="24"/>
        <v>-0.36714547863995506</v>
      </c>
      <c r="AC78" s="7">
        <f t="shared" si="24"/>
        <v>7.7946485165141148E-3</v>
      </c>
      <c r="AD78" s="7">
        <f t="shared" si="24"/>
        <v>0.39757739910660073</v>
      </c>
      <c r="AE78" s="7">
        <f t="shared" si="24"/>
        <v>0.10182863611975376</v>
      </c>
      <c r="AF78" s="7">
        <f t="shared" si="24"/>
        <v>0.14474180036396173</v>
      </c>
      <c r="AG78" s="7">
        <f t="shared" si="24"/>
        <v>0.97110123804680781</v>
      </c>
      <c r="AH78" s="7">
        <f t="shared" si="24"/>
        <v>-0.54892958699917982</v>
      </c>
      <c r="AI78" s="7">
        <f t="shared" si="24"/>
        <v>-0.15815558473271993</v>
      </c>
      <c r="AJ78" s="7">
        <f t="shared" si="24"/>
        <v>0.12849187218907004</v>
      </c>
      <c r="AK78" s="7">
        <f t="shared" si="24"/>
        <v>1.4265481932107358E-2</v>
      </c>
    </row>
    <row r="79" spans="1:37">
      <c r="G79" s="7"/>
      <c r="H79" s="7"/>
      <c r="I79" s="7"/>
      <c r="J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f>CORREL($W$2:$W$63,W2:W63)</f>
        <v>1</v>
      </c>
      <c r="X79" s="7">
        <f t="shared" ref="X79:AK79" si="25">CORREL($W$2:$W$63,X2:X63)</f>
        <v>0.65019927051477189</v>
      </c>
      <c r="Y79" s="7">
        <f t="shared" si="25"/>
        <v>0.15385709629829081</v>
      </c>
      <c r="Z79" s="7">
        <f t="shared" si="25"/>
        <v>-4.9499938277634485E-2</v>
      </c>
      <c r="AA79" s="7">
        <f t="shared" si="25"/>
        <v>0.26362381983309729</v>
      </c>
      <c r="AB79" s="7">
        <f t="shared" si="25"/>
        <v>-5.405194143201484E-2</v>
      </c>
      <c r="AC79" s="7">
        <f t="shared" si="25"/>
        <v>-0.39255508603514888</v>
      </c>
      <c r="AD79" s="7">
        <f t="shared" si="25"/>
        <v>0.90305584447296872</v>
      </c>
      <c r="AE79" s="7">
        <f t="shared" si="25"/>
        <v>0.38502722799402739</v>
      </c>
      <c r="AF79" s="7">
        <f t="shared" si="25"/>
        <v>0.31454490259066903</v>
      </c>
      <c r="AG79" s="7">
        <f t="shared" si="25"/>
        <v>0.37781039778978359</v>
      </c>
      <c r="AH79" s="7">
        <f t="shared" si="25"/>
        <v>0.32046827881259488</v>
      </c>
      <c r="AI79" s="7">
        <f t="shared" si="25"/>
        <v>0.68118915854116946</v>
      </c>
      <c r="AJ79" s="7">
        <f t="shared" si="25"/>
        <v>0.45692132036907307</v>
      </c>
      <c r="AK79" s="7">
        <f t="shared" si="25"/>
        <v>0.39859152171364542</v>
      </c>
    </row>
    <row r="80" spans="1:37">
      <c r="G80" s="7"/>
      <c r="H80" s="7"/>
      <c r="I80" s="7"/>
      <c r="J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>
        <f>CORREL($X$2:$X$63,X2:X63)</f>
        <v>1</v>
      </c>
      <c r="Y80" s="7">
        <f t="shared" ref="Y80:AK80" si="26">CORREL($X$2:$X$63,Y2:Y63)</f>
        <v>0.10865654958985428</v>
      </c>
      <c r="Z80" s="7">
        <f t="shared" si="26"/>
        <v>5.5146194727853988E-2</v>
      </c>
      <c r="AA80" s="7">
        <f t="shared" si="26"/>
        <v>0.37400620677203622</v>
      </c>
      <c r="AB80" s="7">
        <f t="shared" si="26"/>
        <v>6.0195594671071627E-2</v>
      </c>
      <c r="AC80" s="7">
        <f t="shared" si="26"/>
        <v>-0.28222843516593071</v>
      </c>
      <c r="AD80" s="7">
        <f t="shared" si="26"/>
        <v>0.6190322304594813</v>
      </c>
      <c r="AE80" s="7">
        <f t="shared" si="26"/>
        <v>0.32756876897880127</v>
      </c>
      <c r="AF80" s="7">
        <f t="shared" si="26"/>
        <v>0.4220293486173442</v>
      </c>
      <c r="AG80" s="7">
        <f t="shared" si="26"/>
        <v>0.4228819962810898</v>
      </c>
      <c r="AH80" s="7">
        <f t="shared" si="26"/>
        <v>0.36367682162528076</v>
      </c>
      <c r="AI80" s="7">
        <f t="shared" si="26"/>
        <v>0.60352473852144939</v>
      </c>
      <c r="AJ80" s="7">
        <f t="shared" si="26"/>
        <v>0.43765538147897753</v>
      </c>
      <c r="AK80" s="7">
        <f t="shared" si="26"/>
        <v>0.11643171791533558</v>
      </c>
    </row>
    <row r="81" spans="7:37">
      <c r="G81" s="7"/>
      <c r="H81" s="7"/>
      <c r="I81" s="7"/>
      <c r="J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>
        <f>CORREL($Y$2:$Y$63,Y2:Y63)</f>
        <v>0.99999999999999989</v>
      </c>
      <c r="Z81" s="7">
        <f t="shared" ref="Z81:AK81" si="27">CORREL($Y$2:$Y$63,Z2:Z63)</f>
        <v>-0.28457013924906238</v>
      </c>
      <c r="AA81" s="7">
        <f t="shared" si="27"/>
        <v>-0.37213485839696148</v>
      </c>
      <c r="AB81" s="7">
        <f t="shared" si="27"/>
        <v>-0.18080505953417347</v>
      </c>
      <c r="AC81" s="7">
        <f t="shared" si="27"/>
        <v>-3.7044019739926569E-3</v>
      </c>
      <c r="AD81" s="7">
        <f t="shared" si="27"/>
        <v>0.1461785280664207</v>
      </c>
      <c r="AE81" s="7">
        <f t="shared" si="27"/>
        <v>-4.7528674261058473E-2</v>
      </c>
      <c r="AF81" s="7">
        <f t="shared" si="27"/>
        <v>-8.6342227677067424E-2</v>
      </c>
      <c r="AG81" s="7">
        <f t="shared" si="27"/>
        <v>-8.0266001468909567E-2</v>
      </c>
      <c r="AH81" s="7">
        <f t="shared" si="27"/>
        <v>-0.16474974029368314</v>
      </c>
      <c r="AI81" s="7">
        <f t="shared" si="27"/>
        <v>-3.7108852214288723E-3</v>
      </c>
      <c r="AJ81" s="7">
        <f t="shared" si="27"/>
        <v>0.12471261409231192</v>
      </c>
      <c r="AK81" s="7">
        <f t="shared" si="27"/>
        <v>0.589672865393432</v>
      </c>
    </row>
    <row r="82" spans="7:37">
      <c r="G82" s="7"/>
      <c r="H82" s="7"/>
      <c r="I82" s="7"/>
      <c r="J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>
        <f>CORREL($Z$2:$Z$63,Z2:Z63)</f>
        <v>0.99999999999999989</v>
      </c>
      <c r="AA82" s="7">
        <f t="shared" ref="AA82:AJ82" si="28">CORREL($Z$2:$Z$63,AA2:AA63)</f>
        <v>0.82276787767393733</v>
      </c>
      <c r="AB82" s="7">
        <f t="shared" si="28"/>
        <v>0.49576348147990418</v>
      </c>
      <c r="AC82" s="7">
        <f t="shared" si="28"/>
        <v>0.48401918219209544</v>
      </c>
      <c r="AD82" s="7">
        <f t="shared" si="28"/>
        <v>-9.5829783504267879E-2</v>
      </c>
      <c r="AE82" s="7">
        <f t="shared" si="28"/>
        <v>0.30031529700041243</v>
      </c>
      <c r="AF82" s="7">
        <f t="shared" si="28"/>
        <v>0.84353532297807432</v>
      </c>
      <c r="AG82" s="7">
        <f t="shared" si="28"/>
        <v>0.69170572909809225</v>
      </c>
      <c r="AH82" s="7">
        <f t="shared" si="28"/>
        <v>0.62173415532418574</v>
      </c>
      <c r="AI82" s="7">
        <f t="shared" si="28"/>
        <v>0.6791550608121133</v>
      </c>
      <c r="AJ82" s="7">
        <f t="shared" si="28"/>
        <v>0.36988000847996672</v>
      </c>
      <c r="AK82" s="7">
        <f>CORREL($Z$2:$Z$63,AK2:AK63)</f>
        <v>-0.18210292472838666</v>
      </c>
    </row>
    <row r="83" spans="7:37">
      <c r="G83" s="7"/>
      <c r="H83" s="7"/>
      <c r="I83" s="7"/>
      <c r="J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>
        <f>CORREL($AA$2:$AA$63,AA2:AA63)</f>
        <v>1</v>
      </c>
      <c r="AB83" s="7">
        <f t="shared" ref="AB83:AK83" si="29">CORREL($AA$2:$AA$63,AB2:AB63)</f>
        <v>0.40308410388735388</v>
      </c>
      <c r="AC83" s="7">
        <f t="shared" si="29"/>
        <v>0.21049694415842204</v>
      </c>
      <c r="AD83" s="7">
        <f t="shared" si="29"/>
        <v>0.24345903616397835</v>
      </c>
      <c r="AE83" s="7">
        <f t="shared" si="29"/>
        <v>0.38918898939530255</v>
      </c>
      <c r="AF83" s="7">
        <f t="shared" si="29"/>
        <v>0.8362151654476665</v>
      </c>
      <c r="AG83" s="7">
        <f t="shared" si="29"/>
        <v>0.72666873056971204</v>
      </c>
      <c r="AH83" s="7">
        <f t="shared" si="29"/>
        <v>0.66682504119874508</v>
      </c>
      <c r="AI83" s="7">
        <f t="shared" si="29"/>
        <v>0.7763699512004455</v>
      </c>
      <c r="AJ83" s="7">
        <f t="shared" si="29"/>
        <v>0.38921741512454749</v>
      </c>
      <c r="AK83" s="7">
        <f t="shared" si="29"/>
        <v>-0.31977170613517802</v>
      </c>
    </row>
    <row r="84" spans="7:37">
      <c r="G84" s="7"/>
      <c r="H84" s="7"/>
      <c r="I84" s="7"/>
      <c r="J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>
        <f>CORREL($AB$2:$AB$63,AB2:AB63)</f>
        <v>1</v>
      </c>
      <c r="AC84" s="7">
        <f t="shared" ref="AC84:AJ84" si="30">CORREL($AB$2:$AB$63,AC2:AC63)</f>
        <v>0.23384677740734466</v>
      </c>
      <c r="AD84" s="7">
        <f t="shared" si="30"/>
        <v>0.11370405711124483</v>
      </c>
      <c r="AE84" s="7">
        <f t="shared" si="30"/>
        <v>0.83313088090507115</v>
      </c>
      <c r="AF84" s="7">
        <f t="shared" si="30"/>
        <v>0.56165960563761486</v>
      </c>
      <c r="AG84" s="7">
        <f t="shared" si="30"/>
        <v>0.74222776504237431</v>
      </c>
      <c r="AH84" s="7">
        <f t="shared" si="30"/>
        <v>0.78226515016003251</v>
      </c>
      <c r="AI84" s="7">
        <f t="shared" si="30"/>
        <v>0.31641403076245195</v>
      </c>
      <c r="AJ84" s="7">
        <f t="shared" si="30"/>
        <v>0.48916007757752084</v>
      </c>
      <c r="AK84" s="7">
        <f>CORREL($AB$2:$AB$63,AK2:AK63)</f>
        <v>-3.8588034502448382E-2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19B1-7D39-4980-83D4-B184E98DCFA4}">
  <dimension ref="A1:BA120"/>
  <sheetViews>
    <sheetView tabSelected="1" topLeftCell="N1" zoomScale="85" zoomScaleNormal="85" workbookViewId="0">
      <pane ySplit="1" topLeftCell="A49" activePane="bottomLeft" state="frozen"/>
      <selection activeCell="C1" sqref="C1"/>
      <selection pane="bottomLeft" activeCell="Y49" sqref="Y1:Z1048576"/>
    </sheetView>
  </sheetViews>
  <sheetFormatPr defaultRowHeight="14.5"/>
  <cols>
    <col min="1" max="1" width="22.1796875" bestFit="1" customWidth="1"/>
    <col min="2" max="2" width="5.6328125" bestFit="1" customWidth="1"/>
    <col min="3" max="3" width="8.90625" bestFit="1" customWidth="1"/>
    <col min="4" max="6" width="4.453125" bestFit="1" customWidth="1"/>
    <col min="7" max="7" width="4.7265625" bestFit="1" customWidth="1"/>
    <col min="8" max="8" width="4.81640625" bestFit="1" customWidth="1"/>
    <col min="9" max="9" width="11.26953125" style="8" bestFit="1" customWidth="1"/>
    <col min="10" max="10" width="7.90625" bestFit="1" customWidth="1"/>
    <col min="11" max="11" width="13" bestFit="1" customWidth="1"/>
    <col min="12" max="12" width="7.36328125" bestFit="1" customWidth="1"/>
    <col min="13" max="13" width="14.453125" bestFit="1" customWidth="1"/>
    <col min="14" max="14" width="7.7265625" bestFit="1" customWidth="1"/>
    <col min="15" max="15" width="6.81640625" bestFit="1" customWidth="1"/>
    <col min="16" max="16" width="14.7265625" bestFit="1" customWidth="1"/>
    <col min="17" max="17" width="13.6328125" bestFit="1" customWidth="1"/>
    <col min="18" max="18" width="8.6328125" bestFit="1" customWidth="1"/>
    <col min="19" max="19" width="4.81640625" bestFit="1" customWidth="1"/>
    <col min="20" max="20" width="5.453125" bestFit="1" customWidth="1"/>
    <col min="21" max="21" width="7" bestFit="1" customWidth="1"/>
    <col min="22" max="22" width="6.90625" bestFit="1" customWidth="1"/>
    <col min="23" max="23" width="5.453125" bestFit="1" customWidth="1"/>
    <col min="25" max="25" width="6.08984375" bestFit="1" customWidth="1"/>
    <col min="26" max="26" width="5.453125" bestFit="1" customWidth="1"/>
    <col min="27" max="27" width="5.453125" style="10" bestFit="1" customWidth="1"/>
    <col min="28" max="28" width="6.1796875" bestFit="1" customWidth="1"/>
    <col min="30" max="30" width="4.1796875" bestFit="1" customWidth="1"/>
    <col min="35" max="35" width="4.1796875" style="10" bestFit="1" customWidth="1"/>
    <col min="37" max="37" width="8.453125" bestFit="1" customWidth="1"/>
    <col min="38" max="38" width="4.7265625" bestFit="1" customWidth="1"/>
    <col min="40" max="40" width="4.1796875" style="10" bestFit="1" customWidth="1"/>
    <col min="41" max="42" width="6.36328125" bestFit="1" customWidth="1"/>
  </cols>
  <sheetData>
    <row r="1" spans="1:50" s="3" customFormat="1">
      <c r="A1" s="39" t="s">
        <v>119</v>
      </c>
      <c r="B1" s="39" t="s">
        <v>118</v>
      </c>
      <c r="C1" s="39" t="s">
        <v>138</v>
      </c>
      <c r="D1" s="39" t="s">
        <v>35</v>
      </c>
      <c r="E1" s="39" t="s">
        <v>32</v>
      </c>
      <c r="F1" s="39" t="s">
        <v>6</v>
      </c>
      <c r="G1" s="39" t="s">
        <v>9</v>
      </c>
      <c r="H1" s="39" t="s">
        <v>2</v>
      </c>
      <c r="I1" s="40" t="s">
        <v>117</v>
      </c>
      <c r="J1" s="41" t="s">
        <v>116</v>
      </c>
      <c r="K1" s="39" t="s">
        <v>115</v>
      </c>
      <c r="L1" s="39" t="s">
        <v>114</v>
      </c>
      <c r="M1" s="39" t="s">
        <v>112</v>
      </c>
      <c r="N1" s="39" t="s">
        <v>103</v>
      </c>
      <c r="O1" s="42" t="s">
        <v>122</v>
      </c>
      <c r="P1" s="39" t="s">
        <v>121</v>
      </c>
      <c r="Q1" s="39" t="s">
        <v>113</v>
      </c>
      <c r="R1" s="39" t="s">
        <v>111</v>
      </c>
      <c r="S1" s="39" t="s">
        <v>108</v>
      </c>
      <c r="T1" s="39" t="s">
        <v>109</v>
      </c>
      <c r="U1" s="42" t="s">
        <v>106</v>
      </c>
      <c r="V1" s="44" t="s">
        <v>123</v>
      </c>
      <c r="W1" s="39" t="s">
        <v>102</v>
      </c>
      <c r="Y1" s="43" t="s">
        <v>104</v>
      </c>
      <c r="Z1" s="39" t="s">
        <v>110</v>
      </c>
      <c r="AA1" s="39" t="s">
        <v>107</v>
      </c>
      <c r="AB1" s="43" t="s">
        <v>96</v>
      </c>
      <c r="AD1" s="3" t="s">
        <v>32</v>
      </c>
      <c r="AE1" s="4" t="s">
        <v>105</v>
      </c>
      <c r="AG1" s="3" t="s">
        <v>100</v>
      </c>
      <c r="AI1" s="3" t="s">
        <v>101</v>
      </c>
      <c r="AJ1" s="4" t="s">
        <v>97</v>
      </c>
      <c r="AK1" s="9" t="s">
        <v>124</v>
      </c>
      <c r="AL1" s="9" t="s">
        <v>125</v>
      </c>
      <c r="AN1" s="3" t="s">
        <v>6</v>
      </c>
      <c r="AO1" s="3" t="s">
        <v>98</v>
      </c>
      <c r="AP1" s="3" t="s">
        <v>99</v>
      </c>
    </row>
    <row r="2" spans="1:50">
      <c r="A2" s="45" t="s">
        <v>94</v>
      </c>
      <c r="B2" s="46" t="s">
        <v>6</v>
      </c>
      <c r="C2" s="46">
        <f t="shared" ref="C2:C33" si="0">IF(B2="C",1,0)</f>
        <v>0</v>
      </c>
      <c r="D2" s="46">
        <f t="shared" ref="D2:D33" si="1">IF(B2="1B",1,0)</f>
        <v>0</v>
      </c>
      <c r="E2" s="46">
        <f t="shared" ref="E2:E33" si="2">IF(B2="2B",1,0)</f>
        <v>0</v>
      </c>
      <c r="F2" s="46">
        <f t="shared" ref="F2:F33" si="3">IF(B2="3B",1,0)</f>
        <v>1</v>
      </c>
      <c r="G2" s="46">
        <f t="shared" ref="G2:G33" si="4">IF(B2="SS",1,0)</f>
        <v>0</v>
      </c>
      <c r="H2" s="46">
        <f t="shared" ref="H2:H33" si="5">IF(B2="OF",1,0)</f>
        <v>0</v>
      </c>
      <c r="I2" s="47">
        <f>254/7</f>
        <v>36.285714285714285</v>
      </c>
      <c r="J2" s="48">
        <f t="shared" ref="J2:J33" si="6">LOG(I2)</f>
        <v>1.5597356766056811</v>
      </c>
      <c r="K2" s="46" t="s">
        <v>1</v>
      </c>
      <c r="L2" s="46" t="s">
        <v>84</v>
      </c>
      <c r="M2" s="46">
        <v>32</v>
      </c>
      <c r="N2" s="46">
        <v>126</v>
      </c>
      <c r="O2" s="49">
        <v>3.4</v>
      </c>
      <c r="P2" s="46">
        <v>7</v>
      </c>
      <c r="Q2" s="46">
        <v>30</v>
      </c>
      <c r="R2" s="46">
        <v>9</v>
      </c>
      <c r="S2" s="46">
        <v>24</v>
      </c>
      <c r="T2" s="46">
        <v>96</v>
      </c>
      <c r="U2" s="49">
        <v>5.0999999999999996</v>
      </c>
      <c r="V2" s="51">
        <v>15.5</v>
      </c>
      <c r="W2" s="46">
        <v>293</v>
      </c>
      <c r="Y2" s="50">
        <v>0.28699999999999998</v>
      </c>
      <c r="Z2" s="46">
        <v>174</v>
      </c>
      <c r="AA2" s="46">
        <v>99</v>
      </c>
      <c r="AB2" s="50">
        <v>0.48399999999999999</v>
      </c>
      <c r="AD2" s="17">
        <v>42</v>
      </c>
      <c r="AE2" s="22">
        <v>0.85399999999999998</v>
      </c>
      <c r="AG2" s="17">
        <v>108</v>
      </c>
      <c r="AI2" s="17">
        <v>605</v>
      </c>
      <c r="AJ2" s="22">
        <v>0.36899999999999999</v>
      </c>
      <c r="AK2" s="21">
        <v>45.5</v>
      </c>
      <c r="AL2" s="21">
        <v>90.9</v>
      </c>
      <c r="AN2" s="17">
        <v>3</v>
      </c>
      <c r="AO2" s="17">
        <v>75</v>
      </c>
      <c r="AP2" s="23">
        <v>7</v>
      </c>
    </row>
    <row r="3" spans="1:50">
      <c r="A3" s="52" t="s">
        <v>95</v>
      </c>
      <c r="B3" s="53" t="s">
        <v>2</v>
      </c>
      <c r="C3" s="53">
        <f t="shared" si="0"/>
        <v>0</v>
      </c>
      <c r="D3" s="53">
        <f t="shared" si="1"/>
        <v>0</v>
      </c>
      <c r="E3" s="53">
        <f t="shared" si="2"/>
        <v>0</v>
      </c>
      <c r="F3" s="53">
        <f t="shared" si="3"/>
        <v>0</v>
      </c>
      <c r="G3" s="53">
        <f t="shared" si="4"/>
        <v>0</v>
      </c>
      <c r="H3" s="53">
        <f t="shared" si="5"/>
        <v>1</v>
      </c>
      <c r="I3" s="54">
        <f>426.5/12</f>
        <v>35.541666666666664</v>
      </c>
      <c r="J3" s="48">
        <f t="shared" si="6"/>
        <v>1.5507377894559169</v>
      </c>
      <c r="K3" s="53" t="s">
        <v>1</v>
      </c>
      <c r="L3" s="53" t="s">
        <v>84</v>
      </c>
      <c r="M3" s="53">
        <f>29+1</f>
        <v>30</v>
      </c>
      <c r="N3" s="53">
        <v>176</v>
      </c>
      <c r="O3" s="55">
        <v>5.5</v>
      </c>
      <c r="P3" s="53">
        <v>12</v>
      </c>
      <c r="Q3" s="53">
        <v>27</v>
      </c>
      <c r="R3" s="53">
        <f>21-11+1</f>
        <v>11</v>
      </c>
      <c r="S3" s="53">
        <v>39</v>
      </c>
      <c r="T3" s="53">
        <v>103</v>
      </c>
      <c r="U3" s="55">
        <v>9.6</v>
      </c>
      <c r="V3" s="57">
        <v>21.5</v>
      </c>
      <c r="W3" s="53">
        <v>341</v>
      </c>
      <c r="Y3" s="56">
        <v>0.30499999999999999</v>
      </c>
      <c r="Z3" s="53">
        <v>178</v>
      </c>
      <c r="AA3" s="53">
        <v>122</v>
      </c>
      <c r="AB3" s="56">
        <v>0.58299999999999996</v>
      </c>
      <c r="AD3" s="25">
        <v>34</v>
      </c>
      <c r="AE3" s="29">
        <v>1.002</v>
      </c>
      <c r="AG3" s="25">
        <v>153</v>
      </c>
      <c r="AI3" s="25">
        <v>586</v>
      </c>
      <c r="AJ3" s="29">
        <v>0.41899999999999998</v>
      </c>
      <c r="AK3" s="28">
        <v>49</v>
      </c>
      <c r="AL3" s="28">
        <v>91.9</v>
      </c>
      <c r="AN3" s="25">
        <v>6</v>
      </c>
      <c r="AO3" s="25">
        <v>109</v>
      </c>
      <c r="AP3" s="30">
        <v>26</v>
      </c>
    </row>
    <row r="4" spans="1:50" ht="15" thickBot="1">
      <c r="A4" s="45" t="s">
        <v>92</v>
      </c>
      <c r="B4" s="46" t="s">
        <v>9</v>
      </c>
      <c r="C4" s="46">
        <f t="shared" si="0"/>
        <v>0</v>
      </c>
      <c r="D4" s="46">
        <f t="shared" si="1"/>
        <v>0</v>
      </c>
      <c r="E4" s="46">
        <f t="shared" si="2"/>
        <v>0</v>
      </c>
      <c r="F4" s="46">
        <f t="shared" si="3"/>
        <v>0</v>
      </c>
      <c r="G4" s="46">
        <f t="shared" si="4"/>
        <v>1</v>
      </c>
      <c r="H4" s="46">
        <f t="shared" si="5"/>
        <v>0</v>
      </c>
      <c r="I4" s="47">
        <f>341/10</f>
        <v>34.1</v>
      </c>
      <c r="J4" s="48">
        <f t="shared" si="6"/>
        <v>1.5327543789924978</v>
      </c>
      <c r="K4" s="46" t="s">
        <v>5</v>
      </c>
      <c r="L4" s="46" t="s">
        <v>4</v>
      </c>
      <c r="M4" s="46">
        <v>28</v>
      </c>
      <c r="N4" s="46">
        <v>116</v>
      </c>
      <c r="O4" s="49">
        <v>3.9</v>
      </c>
      <c r="P4" s="46">
        <v>10</v>
      </c>
      <c r="Q4" s="46">
        <v>27</v>
      </c>
      <c r="R4" s="46">
        <v>7</v>
      </c>
      <c r="S4" s="46">
        <v>28</v>
      </c>
      <c r="T4" s="46">
        <v>85</v>
      </c>
      <c r="U4" s="49">
        <v>5.6</v>
      </c>
      <c r="V4" s="51">
        <v>14.7</v>
      </c>
      <c r="W4" s="46">
        <v>308</v>
      </c>
      <c r="Y4" s="50">
        <v>0.27800000000000002</v>
      </c>
      <c r="Z4" s="46">
        <v>180</v>
      </c>
      <c r="AA4" s="46">
        <v>104</v>
      </c>
      <c r="AB4" s="50">
        <v>0.47799999999999998</v>
      </c>
      <c r="AD4" s="17">
        <v>37</v>
      </c>
      <c r="AE4" s="22">
        <v>0.82099999999999995</v>
      </c>
      <c r="AG4" s="17">
        <v>106</v>
      </c>
      <c r="AI4" s="17">
        <v>645</v>
      </c>
      <c r="AJ4" s="22">
        <v>0.34300000000000003</v>
      </c>
      <c r="AK4" s="21">
        <v>42.5</v>
      </c>
      <c r="AL4" s="21">
        <v>90</v>
      </c>
      <c r="AN4" s="17">
        <v>3</v>
      </c>
      <c r="AO4" s="17">
        <v>61</v>
      </c>
      <c r="AP4" s="23">
        <v>20</v>
      </c>
    </row>
    <row r="5" spans="1:50">
      <c r="A5" s="52" t="s">
        <v>93</v>
      </c>
      <c r="B5" s="53" t="s">
        <v>6</v>
      </c>
      <c r="C5" s="53">
        <f t="shared" si="0"/>
        <v>0</v>
      </c>
      <c r="D5" s="53">
        <f t="shared" si="1"/>
        <v>0</v>
      </c>
      <c r="E5" s="53">
        <f t="shared" si="2"/>
        <v>0</v>
      </c>
      <c r="F5" s="53">
        <f t="shared" si="3"/>
        <v>1</v>
      </c>
      <c r="G5" s="53">
        <f t="shared" si="4"/>
        <v>0</v>
      </c>
      <c r="H5" s="53">
        <f t="shared" si="5"/>
        <v>0</v>
      </c>
      <c r="I5" s="54">
        <f>260/8</f>
        <v>32.5</v>
      </c>
      <c r="J5" s="48">
        <f t="shared" si="6"/>
        <v>1.5118833609788744</v>
      </c>
      <c r="K5" s="53" t="s">
        <v>1</v>
      </c>
      <c r="L5" s="53" t="s">
        <v>80</v>
      </c>
      <c r="M5" s="53">
        <v>31</v>
      </c>
      <c r="N5" s="53">
        <v>121</v>
      </c>
      <c r="O5" s="55">
        <v>5.2</v>
      </c>
      <c r="P5" s="53">
        <v>8</v>
      </c>
      <c r="Q5" s="53">
        <v>28</v>
      </c>
      <c r="R5" s="53">
        <v>9</v>
      </c>
      <c r="S5" s="53">
        <v>35</v>
      </c>
      <c r="T5" s="53">
        <v>113</v>
      </c>
      <c r="U5" s="55">
        <v>5.8</v>
      </c>
      <c r="V5" s="57">
        <v>15</v>
      </c>
      <c r="W5" s="53">
        <v>330</v>
      </c>
      <c r="Y5" s="56">
        <v>0.28799999999999998</v>
      </c>
      <c r="Z5" s="53">
        <v>178</v>
      </c>
      <c r="AA5" s="53">
        <v>96</v>
      </c>
      <c r="AB5" s="56">
        <v>0.53500000000000003</v>
      </c>
      <c r="AD5" s="25">
        <v>39</v>
      </c>
      <c r="AE5" s="29">
        <v>0.88</v>
      </c>
      <c r="AG5" s="25">
        <v>102</v>
      </c>
      <c r="AI5" s="25">
        <v>617</v>
      </c>
      <c r="AJ5" s="29">
        <v>0.34499999999999997</v>
      </c>
      <c r="AK5" s="28">
        <v>42.1</v>
      </c>
      <c r="AL5" s="28">
        <v>90</v>
      </c>
      <c r="AN5" s="25">
        <v>4</v>
      </c>
      <c r="AO5" s="25">
        <v>54</v>
      </c>
      <c r="AP5" s="30">
        <v>2</v>
      </c>
      <c r="AS5" s="38"/>
      <c r="AT5" s="38"/>
    </row>
    <row r="6" spans="1:50">
      <c r="A6" s="45" t="s">
        <v>91</v>
      </c>
      <c r="B6" s="46" t="s">
        <v>9</v>
      </c>
      <c r="C6" s="46">
        <f t="shared" si="0"/>
        <v>0</v>
      </c>
      <c r="D6" s="46">
        <f t="shared" si="1"/>
        <v>0</v>
      </c>
      <c r="E6" s="46">
        <f t="shared" si="2"/>
        <v>0</v>
      </c>
      <c r="F6" s="46">
        <f t="shared" si="3"/>
        <v>0</v>
      </c>
      <c r="G6" s="46">
        <f t="shared" si="4"/>
        <v>1</v>
      </c>
      <c r="H6" s="46">
        <f t="shared" si="5"/>
        <v>0</v>
      </c>
      <c r="I6" s="47">
        <f>325/10</f>
        <v>32.5</v>
      </c>
      <c r="J6" s="48">
        <f t="shared" si="6"/>
        <v>1.5118833609788744</v>
      </c>
      <c r="K6" s="46" t="s">
        <v>40</v>
      </c>
      <c r="L6" s="46" t="s">
        <v>78</v>
      </c>
      <c r="M6" s="46">
        <v>28</v>
      </c>
      <c r="N6" s="46">
        <v>131</v>
      </c>
      <c r="O6" s="49">
        <v>3.8</v>
      </c>
      <c r="P6" s="46">
        <v>10</v>
      </c>
      <c r="Q6" s="46">
        <v>27</v>
      </c>
      <c r="R6" s="46">
        <v>7</v>
      </c>
      <c r="S6" s="46">
        <v>26</v>
      </c>
      <c r="T6" s="46">
        <v>93</v>
      </c>
      <c r="U6" s="49">
        <v>5.4</v>
      </c>
      <c r="V6" s="51">
        <v>18.5</v>
      </c>
      <c r="W6" s="46">
        <v>310</v>
      </c>
      <c r="Y6" s="50">
        <v>0.29699999999999999</v>
      </c>
      <c r="Z6" s="46">
        <v>183</v>
      </c>
      <c r="AA6" s="46">
        <v>100</v>
      </c>
      <c r="AB6" s="50">
        <v>0.504</v>
      </c>
      <c r="AD6" s="17">
        <v>42</v>
      </c>
      <c r="AE6" s="22">
        <v>0.87</v>
      </c>
      <c r="AG6" s="17">
        <v>128</v>
      </c>
      <c r="AI6" s="17">
        <v>616</v>
      </c>
      <c r="AJ6" s="22">
        <v>0.36699999999999999</v>
      </c>
      <c r="AK6" s="21">
        <v>47</v>
      </c>
      <c r="AL6" s="21">
        <v>90.9</v>
      </c>
      <c r="AN6" s="17">
        <v>3</v>
      </c>
      <c r="AO6" s="17">
        <v>65</v>
      </c>
      <c r="AP6" s="23">
        <v>3</v>
      </c>
      <c r="AS6" s="35"/>
      <c r="AT6" s="62"/>
    </row>
    <row r="7" spans="1:50">
      <c r="A7" s="52" t="s">
        <v>90</v>
      </c>
      <c r="B7" s="53" t="s">
        <v>35</v>
      </c>
      <c r="C7" s="53">
        <f t="shared" si="0"/>
        <v>0</v>
      </c>
      <c r="D7" s="53">
        <f t="shared" si="1"/>
        <v>1</v>
      </c>
      <c r="E7" s="53">
        <f t="shared" si="2"/>
        <v>0</v>
      </c>
      <c r="F7" s="53">
        <f t="shared" si="3"/>
        <v>0</v>
      </c>
      <c r="G7" s="53">
        <f t="shared" si="4"/>
        <v>0</v>
      </c>
      <c r="H7" s="53">
        <f t="shared" si="5"/>
        <v>0</v>
      </c>
      <c r="I7" s="54">
        <f>248/8</f>
        <v>31</v>
      </c>
      <c r="J7" s="48">
        <f t="shared" si="6"/>
        <v>1.4913616938342726</v>
      </c>
      <c r="K7" s="53" t="s">
        <v>1</v>
      </c>
      <c r="L7" s="53" t="s">
        <v>62</v>
      </c>
      <c r="M7" s="53">
        <v>39</v>
      </c>
      <c r="N7" s="53">
        <v>145</v>
      </c>
      <c r="O7" s="55">
        <v>4.5999999999999996</v>
      </c>
      <c r="P7" s="53">
        <v>8</v>
      </c>
      <c r="Q7" s="53">
        <v>33</v>
      </c>
      <c r="R7" s="53">
        <v>19</v>
      </c>
      <c r="S7" s="53">
        <v>31</v>
      </c>
      <c r="T7" s="53">
        <v>113</v>
      </c>
      <c r="U7" s="55">
        <v>4.3</v>
      </c>
      <c r="V7" s="57">
        <v>17.600000000000001</v>
      </c>
      <c r="W7" s="53">
        <v>321</v>
      </c>
      <c r="Y7" s="56">
        <v>0.31</v>
      </c>
      <c r="Z7" s="53">
        <v>187</v>
      </c>
      <c r="AA7" s="53">
        <v>94</v>
      </c>
      <c r="AB7" s="56">
        <v>0.53200000000000003</v>
      </c>
      <c r="AD7" s="25">
        <v>37</v>
      </c>
      <c r="AE7" s="29">
        <v>0.92</v>
      </c>
      <c r="AG7" s="25">
        <v>121</v>
      </c>
      <c r="AI7" s="25">
        <v>603</v>
      </c>
      <c r="AJ7" s="29">
        <v>0.38700000000000001</v>
      </c>
      <c r="AK7" s="28">
        <v>52.5</v>
      </c>
      <c r="AL7" s="28">
        <v>92.8</v>
      </c>
      <c r="AN7" s="25">
        <v>1</v>
      </c>
      <c r="AO7" s="25">
        <v>75</v>
      </c>
      <c r="AP7" s="30">
        <v>2</v>
      </c>
      <c r="AS7" s="35"/>
      <c r="AT7" s="62"/>
    </row>
    <row r="8" spans="1:50">
      <c r="A8" s="45" t="s">
        <v>69</v>
      </c>
      <c r="B8" s="46" t="s">
        <v>2</v>
      </c>
      <c r="C8" s="46">
        <f t="shared" si="0"/>
        <v>0</v>
      </c>
      <c r="D8" s="46">
        <f t="shared" si="1"/>
        <v>0</v>
      </c>
      <c r="E8" s="46">
        <f t="shared" si="2"/>
        <v>0</v>
      </c>
      <c r="F8" s="46">
        <f t="shared" si="3"/>
        <v>0</v>
      </c>
      <c r="G8" s="46">
        <f t="shared" si="4"/>
        <v>0</v>
      </c>
      <c r="H8" s="46">
        <f t="shared" si="5"/>
        <v>1</v>
      </c>
      <c r="I8" s="47">
        <f>365/12</f>
        <v>30.416666666666668</v>
      </c>
      <c r="J8" s="48">
        <f t="shared" si="6"/>
        <v>1.48311161840885</v>
      </c>
      <c r="K8" s="46" t="s">
        <v>1</v>
      </c>
      <c r="L8" s="46" t="s">
        <v>27</v>
      </c>
      <c r="M8" s="46">
        <v>29</v>
      </c>
      <c r="N8" s="46">
        <v>134</v>
      </c>
      <c r="O8" s="49">
        <v>4</v>
      </c>
      <c r="P8" s="46">
        <v>12</v>
      </c>
      <c r="Q8" s="46">
        <v>27</v>
      </c>
      <c r="R8" s="46">
        <v>8</v>
      </c>
      <c r="S8" s="46">
        <v>30</v>
      </c>
      <c r="T8" s="46">
        <v>95</v>
      </c>
      <c r="U8" s="49">
        <v>8.3000000000000007</v>
      </c>
      <c r="V8" s="51">
        <v>13.3</v>
      </c>
      <c r="W8" s="46">
        <v>336</v>
      </c>
      <c r="Y8" s="50">
        <v>0.29599999999999999</v>
      </c>
      <c r="Z8" s="46">
        <v>192</v>
      </c>
      <c r="AA8" s="46">
        <v>126</v>
      </c>
      <c r="AB8" s="50">
        <v>0.51800000000000002</v>
      </c>
      <c r="AD8" s="17">
        <v>45</v>
      </c>
      <c r="AE8" s="22">
        <v>0.89</v>
      </c>
      <c r="AG8" s="17">
        <v>77</v>
      </c>
      <c r="AI8" s="17">
        <v>649</v>
      </c>
      <c r="AJ8" s="22">
        <v>0.373</v>
      </c>
      <c r="AK8" s="21">
        <v>45.9</v>
      </c>
      <c r="AL8" s="21">
        <v>90.8</v>
      </c>
      <c r="AN8" s="17">
        <v>5</v>
      </c>
      <c r="AO8" s="17">
        <v>77</v>
      </c>
      <c r="AP8" s="23">
        <v>24</v>
      </c>
      <c r="AS8" s="35"/>
      <c r="AT8" s="62"/>
    </row>
    <row r="9" spans="1:50">
      <c r="A9" s="52" t="s">
        <v>89</v>
      </c>
      <c r="B9" s="53" t="s">
        <v>6</v>
      </c>
      <c r="C9" s="53">
        <f t="shared" si="0"/>
        <v>0</v>
      </c>
      <c r="D9" s="53">
        <f t="shared" si="1"/>
        <v>0</v>
      </c>
      <c r="E9" s="53">
        <f t="shared" si="2"/>
        <v>0</v>
      </c>
      <c r="F9" s="53">
        <f t="shared" si="3"/>
        <v>1</v>
      </c>
      <c r="G9" s="53">
        <f t="shared" si="4"/>
        <v>0</v>
      </c>
      <c r="H9" s="53">
        <f t="shared" si="5"/>
        <v>0</v>
      </c>
      <c r="I9" s="54">
        <f>300/10</f>
        <v>30</v>
      </c>
      <c r="J9" s="48">
        <f t="shared" si="6"/>
        <v>1.4771212547196624</v>
      </c>
      <c r="K9" s="53" t="s">
        <v>1</v>
      </c>
      <c r="L9" s="53" t="s">
        <v>64</v>
      </c>
      <c r="M9" s="53">
        <v>29</v>
      </c>
      <c r="N9" s="53">
        <v>122</v>
      </c>
      <c r="O9" s="55">
        <v>4.5</v>
      </c>
      <c r="P9" s="53">
        <v>10</v>
      </c>
      <c r="Q9" s="53">
        <v>26</v>
      </c>
      <c r="R9" s="53">
        <v>10</v>
      </c>
      <c r="S9" s="53">
        <v>31</v>
      </c>
      <c r="T9" s="53">
        <v>94</v>
      </c>
      <c r="U9" s="55">
        <v>5.7</v>
      </c>
      <c r="V9" s="57">
        <v>16.600000000000001</v>
      </c>
      <c r="W9" s="53">
        <v>311</v>
      </c>
      <c r="Y9" s="56">
        <v>0.28000000000000003</v>
      </c>
      <c r="Z9" s="53">
        <v>178</v>
      </c>
      <c r="AA9" s="53">
        <v>92</v>
      </c>
      <c r="AB9" s="56">
        <v>0.48799999999999999</v>
      </c>
      <c r="AD9" s="25">
        <v>34</v>
      </c>
      <c r="AE9" s="29">
        <v>0.82599999999999996</v>
      </c>
      <c r="AG9" s="25">
        <v>117</v>
      </c>
      <c r="AI9" s="25">
        <v>637</v>
      </c>
      <c r="AJ9" s="29">
        <v>0.33800000000000002</v>
      </c>
      <c r="AK9" s="28">
        <v>49.8</v>
      </c>
      <c r="AL9" s="28">
        <v>92</v>
      </c>
      <c r="AN9" s="25">
        <v>2</v>
      </c>
      <c r="AO9" s="25">
        <v>56</v>
      </c>
      <c r="AP9" s="30">
        <v>10</v>
      </c>
      <c r="AS9" s="35"/>
      <c r="AT9" s="62"/>
    </row>
    <row r="10" spans="1:50" ht="15" thickBot="1">
      <c r="A10" s="45" t="s">
        <v>127</v>
      </c>
      <c r="B10" s="46" t="s">
        <v>35</v>
      </c>
      <c r="C10" s="46">
        <f t="shared" si="0"/>
        <v>0</v>
      </c>
      <c r="D10" s="46">
        <f t="shared" si="1"/>
        <v>1</v>
      </c>
      <c r="E10" s="46">
        <f t="shared" si="2"/>
        <v>0</v>
      </c>
      <c r="F10" s="46">
        <f t="shared" si="3"/>
        <v>0</v>
      </c>
      <c r="G10" s="46">
        <f t="shared" si="4"/>
        <v>0</v>
      </c>
      <c r="H10" s="46">
        <f t="shared" si="5"/>
        <v>0</v>
      </c>
      <c r="I10" s="47">
        <v>27</v>
      </c>
      <c r="J10" s="48">
        <f t="shared" si="6"/>
        <v>1.4313637641589874</v>
      </c>
      <c r="K10" s="46" t="s">
        <v>13</v>
      </c>
      <c r="L10" s="46" t="s">
        <v>27</v>
      </c>
      <c r="M10" s="46">
        <v>32</v>
      </c>
      <c r="N10" s="46">
        <v>138</v>
      </c>
      <c r="O10" s="49">
        <v>4.0999999999999996</v>
      </c>
      <c r="P10" s="46">
        <v>6</v>
      </c>
      <c r="Q10" s="46">
        <v>32</v>
      </c>
      <c r="R10" s="46">
        <v>12</v>
      </c>
      <c r="S10" s="46">
        <v>28</v>
      </c>
      <c r="T10" s="46">
        <v>97</v>
      </c>
      <c r="U10" s="49">
        <v>4.5</v>
      </c>
      <c r="V10" s="51">
        <v>19.7</v>
      </c>
      <c r="W10" s="46">
        <v>304</v>
      </c>
      <c r="Y10" s="50">
        <v>0.29499999999999998</v>
      </c>
      <c r="Z10" s="46">
        <v>176</v>
      </c>
      <c r="AA10" s="46">
        <v>100</v>
      </c>
      <c r="AB10" s="50">
        <v>0.50900000000000001</v>
      </c>
      <c r="AD10" s="17">
        <v>38</v>
      </c>
      <c r="AE10" s="22">
        <v>0.89300000000000002</v>
      </c>
      <c r="AG10" s="17">
        <v>136</v>
      </c>
      <c r="AI10" s="17">
        <v>597</v>
      </c>
      <c r="AJ10" s="22">
        <v>0.38400000000000001</v>
      </c>
      <c r="AK10" s="21">
        <v>46.2</v>
      </c>
      <c r="AL10" s="21">
        <v>90.7</v>
      </c>
      <c r="AN10" s="17">
        <v>3</v>
      </c>
      <c r="AO10" s="17">
        <v>80</v>
      </c>
      <c r="AP10" s="23">
        <v>5</v>
      </c>
      <c r="AS10" s="36"/>
      <c r="AT10" s="36"/>
    </row>
    <row r="11" spans="1:50">
      <c r="A11" s="52" t="s">
        <v>82</v>
      </c>
      <c r="B11" s="53" t="s">
        <v>2</v>
      </c>
      <c r="C11" s="53">
        <f t="shared" si="0"/>
        <v>0</v>
      </c>
      <c r="D11" s="53">
        <f t="shared" si="1"/>
        <v>0</v>
      </c>
      <c r="E11" s="53">
        <f t="shared" si="2"/>
        <v>0</v>
      </c>
      <c r="F11" s="53">
        <f t="shared" si="3"/>
        <v>0</v>
      </c>
      <c r="G11" s="53">
        <f t="shared" si="4"/>
        <v>0</v>
      </c>
      <c r="H11" s="53">
        <f t="shared" si="5"/>
        <v>1</v>
      </c>
      <c r="I11" s="54">
        <f>188.5/7</f>
        <v>26.928571428571427</v>
      </c>
      <c r="J11" s="48">
        <f t="shared" si="6"/>
        <v>1.4302133145275548</v>
      </c>
      <c r="K11" s="53" t="s">
        <v>13</v>
      </c>
      <c r="L11" s="53" t="s">
        <v>49</v>
      </c>
      <c r="M11" s="53">
        <v>30</v>
      </c>
      <c r="N11" s="53">
        <v>132</v>
      </c>
      <c r="O11" s="55">
        <v>3.4</v>
      </c>
      <c r="P11" s="53">
        <v>7</v>
      </c>
      <c r="Q11" s="53">
        <v>28</v>
      </c>
      <c r="R11" s="53">
        <v>9</v>
      </c>
      <c r="S11" s="53">
        <v>24</v>
      </c>
      <c r="T11" s="53">
        <v>85</v>
      </c>
      <c r="U11" s="55">
        <v>4.9000000000000004</v>
      </c>
      <c r="V11" s="57">
        <v>21.4</v>
      </c>
      <c r="W11" s="53">
        <v>292</v>
      </c>
      <c r="Y11" s="56">
        <v>0.29199999999999998</v>
      </c>
      <c r="Z11" s="53">
        <v>179</v>
      </c>
      <c r="AA11" s="53">
        <v>103</v>
      </c>
      <c r="AB11" s="56">
        <v>0.47699999999999998</v>
      </c>
      <c r="AD11" s="25">
        <v>35</v>
      </c>
      <c r="AE11" s="29">
        <v>0.85699999999999998</v>
      </c>
      <c r="AG11" s="25">
        <v>151</v>
      </c>
      <c r="AI11" s="25">
        <v>612</v>
      </c>
      <c r="AJ11" s="29">
        <v>0.379</v>
      </c>
      <c r="AK11" s="28">
        <v>51.9</v>
      </c>
      <c r="AL11" s="28">
        <v>92.5</v>
      </c>
      <c r="AN11" s="25">
        <v>4</v>
      </c>
      <c r="AO11" s="25">
        <v>83</v>
      </c>
      <c r="AP11" s="30">
        <v>20</v>
      </c>
    </row>
    <row r="12" spans="1:50" ht="15" thickBot="1">
      <c r="A12" s="45" t="s">
        <v>81</v>
      </c>
      <c r="B12" s="46" t="s">
        <v>35</v>
      </c>
      <c r="C12" s="46">
        <f t="shared" si="0"/>
        <v>0</v>
      </c>
      <c r="D12" s="46">
        <f t="shared" si="1"/>
        <v>1</v>
      </c>
      <c r="E12" s="46">
        <f t="shared" si="2"/>
        <v>0</v>
      </c>
      <c r="F12" s="46">
        <f t="shared" si="3"/>
        <v>0</v>
      </c>
      <c r="G12" s="46">
        <f t="shared" si="4"/>
        <v>0</v>
      </c>
      <c r="H12" s="46">
        <f t="shared" si="5"/>
        <v>0</v>
      </c>
      <c r="I12" s="47">
        <f>130/5</f>
        <v>26</v>
      </c>
      <c r="J12" s="48">
        <f t="shared" si="6"/>
        <v>1.414973347970818</v>
      </c>
      <c r="K12" s="46" t="s">
        <v>1</v>
      </c>
      <c r="L12" s="46" t="s">
        <v>80</v>
      </c>
      <c r="M12" s="46">
        <v>34</v>
      </c>
      <c r="N12" s="46">
        <v>142</v>
      </c>
      <c r="O12" s="49">
        <v>4.4000000000000004</v>
      </c>
      <c r="P12" s="46">
        <v>5</v>
      </c>
      <c r="Q12" s="46">
        <v>31</v>
      </c>
      <c r="R12" s="46">
        <v>11</v>
      </c>
      <c r="S12" s="46">
        <v>31</v>
      </c>
      <c r="T12" s="46">
        <v>102</v>
      </c>
      <c r="U12" s="49">
        <v>5.6</v>
      </c>
      <c r="V12" s="51">
        <v>22.3</v>
      </c>
      <c r="W12" s="46">
        <v>308</v>
      </c>
      <c r="Y12" s="50">
        <v>0.29299999999999998</v>
      </c>
      <c r="Z12" s="46">
        <v>173</v>
      </c>
      <c r="AA12" s="46">
        <v>104</v>
      </c>
      <c r="AB12" s="50">
        <v>0.52100000000000002</v>
      </c>
      <c r="AD12" s="17">
        <v>38</v>
      </c>
      <c r="AE12" s="22">
        <v>0.91100000000000003</v>
      </c>
      <c r="AG12" s="17">
        <v>155</v>
      </c>
      <c r="AI12" s="17">
        <v>592</v>
      </c>
      <c r="AJ12" s="22">
        <v>0.38900000000000001</v>
      </c>
      <c r="AK12" s="21">
        <v>49.4</v>
      </c>
      <c r="AL12" s="21">
        <v>91.9</v>
      </c>
      <c r="AN12" s="17">
        <v>2</v>
      </c>
      <c r="AO12" s="17">
        <v>92</v>
      </c>
      <c r="AP12" s="23">
        <v>15</v>
      </c>
    </row>
    <row r="13" spans="1:50">
      <c r="A13" s="52" t="s">
        <v>131</v>
      </c>
      <c r="B13" s="53" t="s">
        <v>6</v>
      </c>
      <c r="C13" s="53">
        <f t="shared" si="0"/>
        <v>0</v>
      </c>
      <c r="D13" s="53">
        <f t="shared" si="1"/>
        <v>0</v>
      </c>
      <c r="E13" s="53">
        <f t="shared" si="2"/>
        <v>0</v>
      </c>
      <c r="F13" s="53">
        <f t="shared" si="3"/>
        <v>1</v>
      </c>
      <c r="G13" s="53">
        <f t="shared" si="4"/>
        <v>0</v>
      </c>
      <c r="H13" s="53">
        <f t="shared" si="5"/>
        <v>0</v>
      </c>
      <c r="I13" s="54">
        <v>26</v>
      </c>
      <c r="J13" s="48">
        <f t="shared" si="6"/>
        <v>1.414973347970818</v>
      </c>
      <c r="K13" s="53" t="s">
        <v>1</v>
      </c>
      <c r="L13" s="53" t="s">
        <v>66</v>
      </c>
      <c r="M13" s="53">
        <v>30</v>
      </c>
      <c r="N13" s="53">
        <v>132</v>
      </c>
      <c r="O13" s="55">
        <v>4.4000000000000004</v>
      </c>
      <c r="P13" s="53">
        <v>7</v>
      </c>
      <c r="Q13" s="53">
        <v>30</v>
      </c>
      <c r="R13" s="53">
        <v>7</v>
      </c>
      <c r="S13" s="53">
        <v>31</v>
      </c>
      <c r="T13" s="53">
        <v>89</v>
      </c>
      <c r="U13" s="55">
        <v>5.3</v>
      </c>
      <c r="V13" s="57">
        <v>23.7</v>
      </c>
      <c r="W13" s="53">
        <v>304</v>
      </c>
      <c r="Y13" s="56">
        <v>0.27800000000000002</v>
      </c>
      <c r="Z13" s="53">
        <v>167</v>
      </c>
      <c r="AA13" s="53">
        <v>108</v>
      </c>
      <c r="AB13" s="56">
        <v>0.504</v>
      </c>
      <c r="AD13" s="25">
        <v>37</v>
      </c>
      <c r="AE13" s="29">
        <v>0.88</v>
      </c>
      <c r="AG13" s="25">
        <v>166</v>
      </c>
      <c r="AI13" s="25">
        <v>602</v>
      </c>
      <c r="AJ13" s="29">
        <v>0.376</v>
      </c>
      <c r="AK13" s="28">
        <v>40.299999999999997</v>
      </c>
      <c r="AL13" s="28">
        <v>88.2</v>
      </c>
      <c r="AN13" s="25">
        <v>3</v>
      </c>
      <c r="AO13" s="25">
        <v>81</v>
      </c>
      <c r="AP13" s="30">
        <v>8</v>
      </c>
      <c r="AS13" s="37"/>
      <c r="AT13" s="37"/>
      <c r="AU13" s="37"/>
      <c r="AV13" s="37"/>
      <c r="AW13" s="37"/>
      <c r="AX13" s="37"/>
    </row>
    <row r="14" spans="1:50">
      <c r="A14" s="45" t="s">
        <v>83</v>
      </c>
      <c r="B14" s="46" t="s">
        <v>2</v>
      </c>
      <c r="C14" s="46">
        <f t="shared" si="0"/>
        <v>0</v>
      </c>
      <c r="D14" s="46">
        <f t="shared" si="1"/>
        <v>0</v>
      </c>
      <c r="E14" s="46">
        <f t="shared" si="2"/>
        <v>0</v>
      </c>
      <c r="F14" s="46">
        <f t="shared" si="3"/>
        <v>0</v>
      </c>
      <c r="G14" s="46">
        <f t="shared" si="4"/>
        <v>0</v>
      </c>
      <c r="H14" s="46">
        <f t="shared" si="5"/>
        <v>1</v>
      </c>
      <c r="I14" s="47">
        <f>330/13</f>
        <v>25.384615384615383</v>
      </c>
      <c r="J14" s="48">
        <f t="shared" si="6"/>
        <v>1.4045705875710506</v>
      </c>
      <c r="K14" s="46" t="s">
        <v>13</v>
      </c>
      <c r="L14" s="46" t="s">
        <v>31</v>
      </c>
      <c r="M14" s="46">
        <v>30</v>
      </c>
      <c r="N14" s="46">
        <v>142</v>
      </c>
      <c r="O14" s="49">
        <v>4.9000000000000004</v>
      </c>
      <c r="P14" s="46">
        <v>13</v>
      </c>
      <c r="Q14" s="46">
        <v>26</v>
      </c>
      <c r="R14" s="46">
        <v>10</v>
      </c>
      <c r="S14" s="46">
        <v>34</v>
      </c>
      <c r="T14" s="46">
        <v>95</v>
      </c>
      <c r="U14" s="49">
        <v>5.0999999999999996</v>
      </c>
      <c r="V14" s="51">
        <v>21.7</v>
      </c>
      <c r="W14" s="46">
        <v>302</v>
      </c>
      <c r="Y14" s="50">
        <v>0.27900000000000003</v>
      </c>
      <c r="Z14" s="46">
        <v>161</v>
      </c>
      <c r="AA14" s="46">
        <v>107</v>
      </c>
      <c r="AB14" s="50">
        <v>0.52400000000000002</v>
      </c>
      <c r="AD14" s="17">
        <v>34</v>
      </c>
      <c r="AE14" s="22">
        <v>0.91600000000000004</v>
      </c>
      <c r="AG14" s="17">
        <v>150</v>
      </c>
      <c r="AI14" s="17">
        <v>575</v>
      </c>
      <c r="AJ14" s="22">
        <v>0.39200000000000002</v>
      </c>
      <c r="AK14" s="21">
        <v>47.9</v>
      </c>
      <c r="AL14" s="21">
        <v>91.9</v>
      </c>
      <c r="AN14" s="17">
        <v>3</v>
      </c>
      <c r="AO14" s="17">
        <v>105</v>
      </c>
      <c r="AP14" s="23">
        <v>14</v>
      </c>
      <c r="AS14" s="35"/>
      <c r="AT14" s="35"/>
      <c r="AU14" s="35"/>
      <c r="AV14" s="35"/>
      <c r="AW14" s="35"/>
      <c r="AX14" s="35"/>
    </row>
    <row r="15" spans="1:50">
      <c r="A15" s="52" t="s">
        <v>88</v>
      </c>
      <c r="B15" s="53" t="s">
        <v>2</v>
      </c>
      <c r="C15" s="53">
        <f t="shared" si="0"/>
        <v>0</v>
      </c>
      <c r="D15" s="53">
        <f t="shared" si="1"/>
        <v>0</v>
      </c>
      <c r="E15" s="53">
        <f t="shared" si="2"/>
        <v>0</v>
      </c>
      <c r="F15" s="53">
        <f t="shared" si="3"/>
        <v>0</v>
      </c>
      <c r="G15" s="53">
        <f t="shared" si="4"/>
        <v>0</v>
      </c>
      <c r="H15" s="53">
        <f t="shared" si="5"/>
        <v>1</v>
      </c>
      <c r="I15" s="54">
        <f>150/6</f>
        <v>25</v>
      </c>
      <c r="J15" s="48">
        <f t="shared" si="6"/>
        <v>1.3979400086720377</v>
      </c>
      <c r="K15" s="53" t="s">
        <v>1</v>
      </c>
      <c r="L15" s="53" t="s">
        <v>0</v>
      </c>
      <c r="M15" s="53">
        <v>32</v>
      </c>
      <c r="N15" s="53">
        <v>132</v>
      </c>
      <c r="O15" s="55">
        <v>5</v>
      </c>
      <c r="P15" s="53">
        <v>6</v>
      </c>
      <c r="Q15" s="53">
        <v>31</v>
      </c>
      <c r="R15" s="53">
        <v>8</v>
      </c>
      <c r="S15" s="53">
        <v>36</v>
      </c>
      <c r="T15" s="53">
        <v>94</v>
      </c>
      <c r="U15" s="55">
        <v>5.6</v>
      </c>
      <c r="V15" s="57">
        <v>22.1</v>
      </c>
      <c r="W15" s="53">
        <v>312</v>
      </c>
      <c r="Y15" s="56">
        <v>0.26900000000000002</v>
      </c>
      <c r="Z15" s="53">
        <v>169</v>
      </c>
      <c r="AA15" s="53">
        <v>116</v>
      </c>
      <c r="AB15" s="56">
        <v>0.497</v>
      </c>
      <c r="AD15" s="25">
        <v>29</v>
      </c>
      <c r="AE15" s="29">
        <v>0.85699999999999998</v>
      </c>
      <c r="AG15" s="25">
        <v>160</v>
      </c>
      <c r="AI15" s="25">
        <v>628</v>
      </c>
      <c r="AJ15" s="29">
        <v>0.36</v>
      </c>
      <c r="AK15" s="28">
        <v>44.1</v>
      </c>
      <c r="AL15" s="28">
        <v>89.7</v>
      </c>
      <c r="AN15" s="25">
        <v>3</v>
      </c>
      <c r="AO15" s="25">
        <v>80</v>
      </c>
      <c r="AP15" s="30">
        <v>10</v>
      </c>
      <c r="AS15" s="35"/>
      <c r="AT15" s="35"/>
      <c r="AU15" s="35"/>
      <c r="AV15" s="35"/>
      <c r="AW15" s="35"/>
      <c r="AX15" s="35"/>
    </row>
    <row r="16" spans="1:50" ht="15" thickBot="1">
      <c r="A16" s="45" t="s">
        <v>87</v>
      </c>
      <c r="B16" s="46" t="s">
        <v>2</v>
      </c>
      <c r="C16" s="46">
        <f t="shared" si="0"/>
        <v>0</v>
      </c>
      <c r="D16" s="46">
        <f t="shared" si="1"/>
        <v>0</v>
      </c>
      <c r="E16" s="46">
        <f t="shared" si="2"/>
        <v>0</v>
      </c>
      <c r="F16" s="46">
        <f t="shared" si="3"/>
        <v>0</v>
      </c>
      <c r="G16" s="46">
        <f t="shared" si="4"/>
        <v>0</v>
      </c>
      <c r="H16" s="46">
        <f t="shared" si="5"/>
        <v>1</v>
      </c>
      <c r="I16" s="47">
        <f>325/13</f>
        <v>25</v>
      </c>
      <c r="J16" s="48">
        <f t="shared" si="6"/>
        <v>1.3979400086720377</v>
      </c>
      <c r="K16" s="46" t="s">
        <v>1</v>
      </c>
      <c r="L16" s="46" t="s">
        <v>15</v>
      </c>
      <c r="M16" s="46">
        <v>32</v>
      </c>
      <c r="N16" s="46">
        <v>143</v>
      </c>
      <c r="O16" s="49">
        <v>6.2</v>
      </c>
      <c r="P16" s="46">
        <v>13</v>
      </c>
      <c r="Q16" s="46">
        <v>25</v>
      </c>
      <c r="R16" s="46">
        <v>12</v>
      </c>
      <c r="S16" s="46">
        <v>42</v>
      </c>
      <c r="T16" s="46">
        <v>109</v>
      </c>
      <c r="U16" s="49">
        <v>5.4</v>
      </c>
      <c r="V16" s="51">
        <v>28</v>
      </c>
      <c r="W16" s="46">
        <v>321</v>
      </c>
      <c r="Y16" s="50">
        <v>0.26800000000000002</v>
      </c>
      <c r="Z16" s="46">
        <v>159</v>
      </c>
      <c r="AA16" s="46">
        <v>93</v>
      </c>
      <c r="AB16" s="50">
        <v>0.54300000000000004</v>
      </c>
      <c r="AD16" s="17">
        <v>32</v>
      </c>
      <c r="AE16" s="22">
        <v>0.90100000000000002</v>
      </c>
      <c r="AG16" s="17">
        <v>191</v>
      </c>
      <c r="AI16" s="17">
        <v>592</v>
      </c>
      <c r="AJ16" s="22">
        <v>0.35799999999999998</v>
      </c>
      <c r="AK16" s="21">
        <v>55</v>
      </c>
      <c r="AL16" s="21">
        <v>94.7</v>
      </c>
      <c r="AN16" s="17">
        <v>1</v>
      </c>
      <c r="AO16" s="17">
        <v>79</v>
      </c>
      <c r="AP16" s="23">
        <v>5</v>
      </c>
      <c r="AS16" s="36"/>
      <c r="AT16" s="36"/>
      <c r="AU16" s="36"/>
      <c r="AV16" s="36"/>
      <c r="AW16" s="36"/>
      <c r="AX16" s="36"/>
    </row>
    <row r="17" spans="1:53" ht="15" thickBot="1">
      <c r="A17" s="52" t="s">
        <v>79</v>
      </c>
      <c r="B17" s="53" t="s">
        <v>32</v>
      </c>
      <c r="C17" s="53">
        <f t="shared" si="0"/>
        <v>0</v>
      </c>
      <c r="D17" s="53">
        <f t="shared" si="1"/>
        <v>0</v>
      </c>
      <c r="E17" s="53">
        <f t="shared" si="2"/>
        <v>1</v>
      </c>
      <c r="F17" s="53">
        <f t="shared" si="3"/>
        <v>0</v>
      </c>
      <c r="G17" s="53">
        <f t="shared" si="4"/>
        <v>0</v>
      </c>
      <c r="H17" s="53">
        <f t="shared" si="5"/>
        <v>0</v>
      </c>
      <c r="I17" s="54">
        <f>175/7</f>
        <v>25</v>
      </c>
      <c r="J17" s="48">
        <f t="shared" si="6"/>
        <v>1.3979400086720377</v>
      </c>
      <c r="K17" s="53" t="s">
        <v>1</v>
      </c>
      <c r="L17" s="53" t="s">
        <v>78</v>
      </c>
      <c r="M17" s="53">
        <v>31</v>
      </c>
      <c r="N17" s="53">
        <v>110</v>
      </c>
      <c r="O17" s="55">
        <v>3.7</v>
      </c>
      <c r="P17" s="53">
        <v>7</v>
      </c>
      <c r="Q17" s="53">
        <v>31</v>
      </c>
      <c r="R17" s="53">
        <v>9</v>
      </c>
      <c r="S17" s="53">
        <v>25</v>
      </c>
      <c r="T17" s="53">
        <v>77</v>
      </c>
      <c r="U17" s="55">
        <v>4.5999999999999996</v>
      </c>
      <c r="V17" s="57">
        <v>20.2</v>
      </c>
      <c r="W17" s="53">
        <v>276</v>
      </c>
      <c r="Y17" s="56">
        <v>0.25600000000000001</v>
      </c>
      <c r="Z17" s="53">
        <v>159</v>
      </c>
      <c r="AA17" s="53">
        <v>92</v>
      </c>
      <c r="AB17" s="56">
        <v>0.44400000000000001</v>
      </c>
      <c r="AD17" s="25">
        <v>33</v>
      </c>
      <c r="AE17" s="29">
        <v>0.76800000000000002</v>
      </c>
      <c r="AG17" s="25">
        <v>139</v>
      </c>
      <c r="AI17" s="25">
        <v>622</v>
      </c>
      <c r="AJ17" s="29">
        <v>0.32400000000000001</v>
      </c>
      <c r="AK17" s="28">
        <v>36.9</v>
      </c>
      <c r="AL17" s="28">
        <v>88.2</v>
      </c>
      <c r="AN17" s="25">
        <v>4</v>
      </c>
      <c r="AO17" s="25">
        <v>62</v>
      </c>
      <c r="AP17" s="30">
        <v>13</v>
      </c>
    </row>
    <row r="18" spans="1:53">
      <c r="A18" s="45" t="s">
        <v>74</v>
      </c>
      <c r="B18" s="46" t="s">
        <v>32</v>
      </c>
      <c r="C18" s="46">
        <f t="shared" si="0"/>
        <v>0</v>
      </c>
      <c r="D18" s="46">
        <f t="shared" si="1"/>
        <v>0</v>
      </c>
      <c r="E18" s="46">
        <f t="shared" si="2"/>
        <v>1</v>
      </c>
      <c r="F18" s="46">
        <f t="shared" si="3"/>
        <v>0</v>
      </c>
      <c r="G18" s="46">
        <f t="shared" si="4"/>
        <v>0</v>
      </c>
      <c r="H18" s="46">
        <f t="shared" si="5"/>
        <v>0</v>
      </c>
      <c r="I18" s="47">
        <f>240/10</f>
        <v>24</v>
      </c>
      <c r="J18" s="48">
        <f t="shared" si="6"/>
        <v>1.3802112417116059</v>
      </c>
      <c r="K18" s="46" t="s">
        <v>13</v>
      </c>
      <c r="L18" s="46" t="s">
        <v>73</v>
      </c>
      <c r="M18" s="46">
        <v>40</v>
      </c>
      <c r="N18" s="46">
        <v>126</v>
      </c>
      <c r="O18" s="49">
        <v>3.5</v>
      </c>
      <c r="P18" s="46">
        <v>10</v>
      </c>
      <c r="Q18" s="46">
        <v>31</v>
      </c>
      <c r="R18" s="46">
        <v>16</v>
      </c>
      <c r="S18" s="46">
        <v>24</v>
      </c>
      <c r="T18" s="46">
        <v>94</v>
      </c>
      <c r="U18" s="49">
        <v>5</v>
      </c>
      <c r="V18" s="51">
        <v>12.6</v>
      </c>
      <c r="W18" s="46">
        <v>309</v>
      </c>
      <c r="Y18" s="50">
        <v>0.30299999999999999</v>
      </c>
      <c r="Z18" s="46">
        <v>190</v>
      </c>
      <c r="AA18" s="46">
        <v>91</v>
      </c>
      <c r="AB18" s="50">
        <v>0.49199999999999999</v>
      </c>
      <c r="AD18" s="17">
        <v>41</v>
      </c>
      <c r="AE18" s="22">
        <v>0.84399999999999997</v>
      </c>
      <c r="AG18" s="17">
        <v>86</v>
      </c>
      <c r="AI18" s="17">
        <v>629</v>
      </c>
      <c r="AJ18" s="22">
        <v>0.35199999999999998</v>
      </c>
      <c r="AK18" s="21">
        <v>49.1</v>
      </c>
      <c r="AL18" s="21">
        <v>91.4</v>
      </c>
      <c r="AN18" s="17">
        <v>2</v>
      </c>
      <c r="AO18" s="17">
        <v>45</v>
      </c>
      <c r="AP18" s="23">
        <v>4</v>
      </c>
      <c r="AS18" s="37"/>
      <c r="AT18" s="37"/>
      <c r="AU18" s="37"/>
      <c r="AV18" s="37"/>
      <c r="AW18" s="37"/>
      <c r="AX18" s="37"/>
      <c r="AY18" s="37"/>
      <c r="AZ18" s="37"/>
      <c r="BA18" s="37"/>
    </row>
    <row r="19" spans="1:53">
      <c r="A19" s="52" t="s">
        <v>86</v>
      </c>
      <c r="B19" s="53" t="s">
        <v>32</v>
      </c>
      <c r="C19" s="53">
        <f t="shared" si="0"/>
        <v>0</v>
      </c>
      <c r="D19" s="53">
        <f t="shared" si="1"/>
        <v>0</v>
      </c>
      <c r="E19" s="53">
        <f t="shared" si="2"/>
        <v>1</v>
      </c>
      <c r="F19" s="53">
        <f t="shared" si="3"/>
        <v>0</v>
      </c>
      <c r="G19" s="53">
        <f t="shared" si="4"/>
        <v>0</v>
      </c>
      <c r="H19" s="53">
        <f t="shared" si="5"/>
        <v>0</v>
      </c>
      <c r="I19" s="54">
        <f>163.5/7</f>
        <v>23.357142857142858</v>
      </c>
      <c r="J19" s="48">
        <f t="shared" si="6"/>
        <v>1.368419716982048</v>
      </c>
      <c r="K19" s="53" t="s">
        <v>1</v>
      </c>
      <c r="L19" s="53" t="s">
        <v>25</v>
      </c>
      <c r="M19" s="53">
        <v>32</v>
      </c>
      <c r="N19" s="53">
        <v>125</v>
      </c>
      <c r="O19" s="55">
        <v>2.6</v>
      </c>
      <c r="P19" s="53">
        <v>7</v>
      </c>
      <c r="Q19" s="53">
        <v>28</v>
      </c>
      <c r="R19" s="53">
        <v>11</v>
      </c>
      <c r="S19" s="53">
        <v>18</v>
      </c>
      <c r="T19" s="53">
        <v>72</v>
      </c>
      <c r="U19" s="55">
        <v>4.7</v>
      </c>
      <c r="V19" s="57">
        <v>11.9</v>
      </c>
      <c r="W19" s="53">
        <v>301</v>
      </c>
      <c r="Y19" s="56">
        <v>0.308</v>
      </c>
      <c r="Z19" s="53">
        <v>200</v>
      </c>
      <c r="AA19" s="53">
        <v>100</v>
      </c>
      <c r="AB19" s="56">
        <v>0.46200000000000002</v>
      </c>
      <c r="AD19" s="25">
        <v>38</v>
      </c>
      <c r="AE19" s="29">
        <v>0.82099999999999995</v>
      </c>
      <c r="AG19" s="25">
        <v>85</v>
      </c>
      <c r="AI19" s="25">
        <v>651</v>
      </c>
      <c r="AJ19" s="29">
        <v>0.36</v>
      </c>
      <c r="AK19" s="28">
        <v>35.200000000000003</v>
      </c>
      <c r="AL19" s="28">
        <v>86.7</v>
      </c>
      <c r="AN19" s="25">
        <v>1</v>
      </c>
      <c r="AO19" s="25">
        <v>50</v>
      </c>
      <c r="AP19" s="30">
        <v>29</v>
      </c>
      <c r="AS19" s="35"/>
      <c r="AT19" s="62"/>
      <c r="AU19" s="62"/>
      <c r="AV19" s="62"/>
      <c r="AW19" s="62"/>
      <c r="AX19" s="62"/>
      <c r="AY19" s="62"/>
      <c r="AZ19" s="62"/>
      <c r="BA19" s="62"/>
    </row>
    <row r="20" spans="1:53">
      <c r="A20" s="45" t="s">
        <v>63</v>
      </c>
      <c r="B20" s="46" t="s">
        <v>9</v>
      </c>
      <c r="C20" s="46">
        <f t="shared" si="0"/>
        <v>0</v>
      </c>
      <c r="D20" s="46">
        <f t="shared" si="1"/>
        <v>0</v>
      </c>
      <c r="E20" s="46">
        <f t="shared" si="2"/>
        <v>0</v>
      </c>
      <c r="F20" s="46">
        <f t="shared" si="3"/>
        <v>0</v>
      </c>
      <c r="G20" s="46">
        <f t="shared" si="4"/>
        <v>1</v>
      </c>
      <c r="H20" s="46">
        <f t="shared" si="5"/>
        <v>0</v>
      </c>
      <c r="I20" s="47">
        <f>140/6</f>
        <v>23.333333333333332</v>
      </c>
      <c r="J20" s="48">
        <f t="shared" si="6"/>
        <v>1.3679767852945943</v>
      </c>
      <c r="K20" s="46" t="s">
        <v>1</v>
      </c>
      <c r="L20" s="46" t="s">
        <v>62</v>
      </c>
      <c r="M20" s="46">
        <v>29</v>
      </c>
      <c r="N20" s="46">
        <v>104</v>
      </c>
      <c r="O20" s="49">
        <v>4.5999999999999996</v>
      </c>
      <c r="P20" s="46">
        <v>6</v>
      </c>
      <c r="Q20" s="46">
        <v>29</v>
      </c>
      <c r="R20" s="46">
        <v>8</v>
      </c>
      <c r="S20" s="46">
        <v>28</v>
      </c>
      <c r="T20" s="46">
        <v>87</v>
      </c>
      <c r="U20" s="49">
        <v>4.4000000000000004</v>
      </c>
      <c r="V20" s="51">
        <v>29.3</v>
      </c>
      <c r="W20" s="46">
        <v>272</v>
      </c>
      <c r="Y20" s="50">
        <v>0.26400000000000001</v>
      </c>
      <c r="Z20" s="46">
        <v>151</v>
      </c>
      <c r="AA20" s="46">
        <v>85</v>
      </c>
      <c r="AB20" s="50">
        <v>0.47699999999999998</v>
      </c>
      <c r="AD20" s="17">
        <v>30</v>
      </c>
      <c r="AE20" s="22">
        <v>0.78300000000000003</v>
      </c>
      <c r="AG20" s="17">
        <v>179</v>
      </c>
      <c r="AI20" s="17">
        <v>571</v>
      </c>
      <c r="AJ20" s="22">
        <v>0.307</v>
      </c>
      <c r="AK20" s="21">
        <v>44.9</v>
      </c>
      <c r="AL20" s="21">
        <v>89.9</v>
      </c>
      <c r="AN20" s="17">
        <v>4</v>
      </c>
      <c r="AO20" s="17">
        <v>29</v>
      </c>
      <c r="AP20" s="23">
        <v>15</v>
      </c>
      <c r="AS20" s="35"/>
      <c r="AT20" s="62"/>
      <c r="AU20" s="62"/>
      <c r="AV20" s="62"/>
      <c r="AW20" s="62"/>
      <c r="AX20" s="62"/>
      <c r="AY20" s="62"/>
      <c r="AZ20" s="62"/>
      <c r="BA20" s="62"/>
    </row>
    <row r="21" spans="1:53">
      <c r="A21" s="52" t="s">
        <v>129</v>
      </c>
      <c r="B21" s="53" t="s">
        <v>9</v>
      </c>
      <c r="C21" s="53">
        <f t="shared" si="0"/>
        <v>0</v>
      </c>
      <c r="D21" s="53">
        <f t="shared" si="1"/>
        <v>0</v>
      </c>
      <c r="E21" s="53">
        <f t="shared" si="2"/>
        <v>0</v>
      </c>
      <c r="F21" s="53">
        <f t="shared" si="3"/>
        <v>0</v>
      </c>
      <c r="G21" s="53">
        <f t="shared" si="4"/>
        <v>1</v>
      </c>
      <c r="H21" s="53">
        <f t="shared" si="5"/>
        <v>0</v>
      </c>
      <c r="I21" s="54">
        <v>23.332999999999998</v>
      </c>
      <c r="J21" s="48">
        <f t="shared" si="6"/>
        <v>1.3679705810433938</v>
      </c>
      <c r="K21" s="53" t="s">
        <v>1</v>
      </c>
      <c r="L21" s="53" t="s">
        <v>12</v>
      </c>
      <c r="M21" s="53">
        <v>29</v>
      </c>
      <c r="N21" s="53">
        <v>112</v>
      </c>
      <c r="O21" s="55">
        <v>5</v>
      </c>
      <c r="P21" s="53">
        <v>6</v>
      </c>
      <c r="Q21" s="53">
        <v>29</v>
      </c>
      <c r="R21" s="53">
        <v>6</v>
      </c>
      <c r="S21" s="53">
        <v>34</v>
      </c>
      <c r="T21" s="53">
        <v>98</v>
      </c>
      <c r="U21" s="55">
        <v>5.8</v>
      </c>
      <c r="V21" s="57">
        <v>27.6</v>
      </c>
      <c r="W21" s="53">
        <v>321</v>
      </c>
      <c r="Y21" s="56">
        <v>0.27200000000000002</v>
      </c>
      <c r="Z21" s="53">
        <v>167</v>
      </c>
      <c r="AA21" s="53">
        <v>101</v>
      </c>
      <c r="AB21" s="56">
        <v>0.52300000000000002</v>
      </c>
      <c r="AD21" s="25">
        <v>39</v>
      </c>
      <c r="AE21" s="29">
        <v>0.86299999999999999</v>
      </c>
      <c r="AG21" s="25">
        <v>188</v>
      </c>
      <c r="AI21" s="25">
        <v>614</v>
      </c>
      <c r="AJ21" s="29">
        <v>0.34</v>
      </c>
      <c r="AK21" s="28">
        <v>45.9</v>
      </c>
      <c r="AL21" s="28">
        <v>90.9</v>
      </c>
      <c r="AN21" s="25">
        <v>6</v>
      </c>
      <c r="AO21" s="25">
        <v>58</v>
      </c>
      <c r="AP21" s="30">
        <v>22</v>
      </c>
      <c r="AS21" s="35"/>
      <c r="AT21" s="62"/>
      <c r="AU21" s="62"/>
      <c r="AV21" s="62"/>
      <c r="AW21" s="62"/>
      <c r="AX21" s="62"/>
      <c r="AY21" s="62"/>
      <c r="AZ21" s="62"/>
      <c r="BA21" s="62"/>
    </row>
    <row r="22" spans="1:53">
      <c r="A22" s="45" t="s">
        <v>72</v>
      </c>
      <c r="B22" s="46" t="s">
        <v>53</v>
      </c>
      <c r="C22" s="46">
        <f t="shared" si="0"/>
        <v>1</v>
      </c>
      <c r="D22" s="46">
        <f t="shared" si="1"/>
        <v>0</v>
      </c>
      <c r="E22" s="46">
        <f t="shared" si="2"/>
        <v>0</v>
      </c>
      <c r="F22" s="46">
        <f t="shared" si="3"/>
        <v>0</v>
      </c>
      <c r="G22" s="46">
        <f t="shared" si="4"/>
        <v>0</v>
      </c>
      <c r="H22" s="46">
        <f t="shared" si="5"/>
        <v>0</v>
      </c>
      <c r="I22" s="47">
        <f>115.5/5</f>
        <v>23.1</v>
      </c>
      <c r="J22" s="48">
        <f t="shared" si="6"/>
        <v>1.3636119798921444</v>
      </c>
      <c r="K22" s="46" t="s">
        <v>1</v>
      </c>
      <c r="L22" s="46" t="s">
        <v>31</v>
      </c>
      <c r="M22" s="46">
        <v>32</v>
      </c>
      <c r="N22" s="46">
        <v>111</v>
      </c>
      <c r="O22" s="49">
        <v>3.2</v>
      </c>
      <c r="P22" s="46">
        <v>5</v>
      </c>
      <c r="Q22" s="46">
        <v>30</v>
      </c>
      <c r="R22" s="46">
        <v>8</v>
      </c>
      <c r="S22" s="46">
        <v>21</v>
      </c>
      <c r="T22" s="46">
        <v>81</v>
      </c>
      <c r="U22" s="49">
        <v>4.4000000000000004</v>
      </c>
      <c r="V22" s="51">
        <v>19.8</v>
      </c>
      <c r="W22" s="46">
        <v>269</v>
      </c>
      <c r="Y22" s="50">
        <v>0.27500000000000002</v>
      </c>
      <c r="Z22" s="46">
        <v>163</v>
      </c>
      <c r="AA22" s="46">
        <v>83</v>
      </c>
      <c r="AB22" s="50">
        <v>0.45300000000000001</v>
      </c>
      <c r="AD22" s="17">
        <v>34</v>
      </c>
      <c r="AE22" s="22">
        <v>0.78300000000000003</v>
      </c>
      <c r="AG22" s="17">
        <v>129</v>
      </c>
      <c r="AI22" s="17">
        <v>594</v>
      </c>
      <c r="AJ22" s="22">
        <v>0.33100000000000002</v>
      </c>
      <c r="AK22" s="21">
        <v>42.1</v>
      </c>
      <c r="AL22" s="21">
        <v>89.6</v>
      </c>
      <c r="AN22" s="17">
        <v>4</v>
      </c>
      <c r="AO22" s="17">
        <v>42</v>
      </c>
      <c r="AP22" s="23">
        <v>11</v>
      </c>
      <c r="AS22" s="35"/>
      <c r="AT22" s="62"/>
      <c r="AU22" s="62"/>
      <c r="AV22" s="62"/>
      <c r="AW22" s="62"/>
      <c r="AX22" s="62"/>
      <c r="AY22" s="62"/>
      <c r="AZ22" s="62"/>
      <c r="BA22" s="62"/>
    </row>
    <row r="23" spans="1:53">
      <c r="A23" s="52" t="s">
        <v>76</v>
      </c>
      <c r="B23" s="53" t="s">
        <v>2</v>
      </c>
      <c r="C23" s="53">
        <f t="shared" si="0"/>
        <v>0</v>
      </c>
      <c r="D23" s="53">
        <f t="shared" si="1"/>
        <v>0</v>
      </c>
      <c r="E23" s="53">
        <f t="shared" si="2"/>
        <v>0</v>
      </c>
      <c r="F23" s="53">
        <f t="shared" si="3"/>
        <v>0</v>
      </c>
      <c r="G23" s="53">
        <f t="shared" si="4"/>
        <v>0</v>
      </c>
      <c r="H23" s="53">
        <f t="shared" si="5"/>
        <v>1</v>
      </c>
      <c r="I23" s="54">
        <f>184/8</f>
        <v>23</v>
      </c>
      <c r="J23" s="48">
        <f t="shared" si="6"/>
        <v>1.3617278360175928</v>
      </c>
      <c r="K23" s="53" t="s">
        <v>40</v>
      </c>
      <c r="L23" s="53" t="s">
        <v>75</v>
      </c>
      <c r="M23" s="53">
        <v>32</v>
      </c>
      <c r="N23" s="53">
        <v>102</v>
      </c>
      <c r="O23" s="55">
        <v>2.6</v>
      </c>
      <c r="P23" s="53">
        <v>8</v>
      </c>
      <c r="Q23" s="53">
        <v>26</v>
      </c>
      <c r="R23" s="53">
        <v>12</v>
      </c>
      <c r="S23" s="53">
        <v>17</v>
      </c>
      <c r="T23" s="53">
        <v>67</v>
      </c>
      <c r="U23" s="55">
        <v>4.2</v>
      </c>
      <c r="V23" s="57">
        <v>17.5</v>
      </c>
      <c r="W23" s="53">
        <v>234</v>
      </c>
      <c r="Y23" s="56">
        <v>0.25900000000000001</v>
      </c>
      <c r="Z23" s="53">
        <v>148</v>
      </c>
      <c r="AA23" s="53">
        <v>82</v>
      </c>
      <c r="AB23" s="56">
        <v>0.41</v>
      </c>
      <c r="AD23" s="25">
        <v>28</v>
      </c>
      <c r="AE23" s="29">
        <v>0.75</v>
      </c>
      <c r="AG23" s="25">
        <v>113</v>
      </c>
      <c r="AI23" s="25">
        <v>570</v>
      </c>
      <c r="AJ23" s="29">
        <v>0.34100000000000003</v>
      </c>
      <c r="AK23" s="28">
        <v>41.1</v>
      </c>
      <c r="AL23" s="28">
        <v>88.6</v>
      </c>
      <c r="AN23" s="25">
        <v>4</v>
      </c>
      <c r="AO23" s="25">
        <v>67</v>
      </c>
      <c r="AP23" s="30">
        <v>12</v>
      </c>
      <c r="AS23" s="35"/>
      <c r="AT23" s="62"/>
      <c r="AU23" s="62"/>
      <c r="AV23" s="62"/>
      <c r="AW23" s="62"/>
      <c r="AX23" s="62"/>
      <c r="AY23" s="62"/>
      <c r="AZ23" s="62"/>
      <c r="BA23" s="62"/>
    </row>
    <row r="24" spans="1:53">
      <c r="A24" s="45" t="s">
        <v>71</v>
      </c>
      <c r="B24" s="46" t="s">
        <v>6</v>
      </c>
      <c r="C24" s="46">
        <f t="shared" si="0"/>
        <v>0</v>
      </c>
      <c r="D24" s="46">
        <f t="shared" si="1"/>
        <v>0</v>
      </c>
      <c r="E24" s="46">
        <f t="shared" si="2"/>
        <v>0</v>
      </c>
      <c r="F24" s="46">
        <f t="shared" si="3"/>
        <v>1</v>
      </c>
      <c r="G24" s="46">
        <f t="shared" si="4"/>
        <v>0</v>
      </c>
      <c r="H24" s="46">
        <f t="shared" si="5"/>
        <v>0</v>
      </c>
      <c r="I24" s="47">
        <f>92/4</f>
        <v>23</v>
      </c>
      <c r="J24" s="48">
        <f t="shared" si="6"/>
        <v>1.3617278360175928</v>
      </c>
      <c r="K24" s="46" t="s">
        <v>1</v>
      </c>
      <c r="L24" s="46" t="s">
        <v>70</v>
      </c>
      <c r="M24" s="46">
        <v>36</v>
      </c>
      <c r="N24" s="46">
        <v>135</v>
      </c>
      <c r="O24" s="49">
        <v>4.9000000000000004</v>
      </c>
      <c r="P24" s="46">
        <v>4</v>
      </c>
      <c r="Q24" s="46">
        <v>34</v>
      </c>
      <c r="R24" s="46">
        <v>11</v>
      </c>
      <c r="S24" s="46">
        <v>34</v>
      </c>
      <c r="T24" s="46">
        <v>98</v>
      </c>
      <c r="U24" s="49">
        <v>6</v>
      </c>
      <c r="V24" s="51">
        <v>20</v>
      </c>
      <c r="W24" s="46">
        <v>298</v>
      </c>
      <c r="Y24" s="50">
        <v>0.26900000000000002</v>
      </c>
      <c r="Z24" s="46">
        <v>159</v>
      </c>
      <c r="AA24" s="46">
        <v>100</v>
      </c>
      <c r="AB24" s="50">
        <v>0.505</v>
      </c>
      <c r="AD24" s="17">
        <v>34</v>
      </c>
      <c r="AE24" s="22">
        <v>0.872</v>
      </c>
      <c r="AG24" s="17">
        <v>138</v>
      </c>
      <c r="AI24" s="17">
        <v>591</v>
      </c>
      <c r="AJ24" s="22">
        <v>0.36699999999999999</v>
      </c>
      <c r="AK24" s="21">
        <v>52.8</v>
      </c>
      <c r="AL24" s="21">
        <v>93.1</v>
      </c>
      <c r="AN24" s="17">
        <v>2</v>
      </c>
      <c r="AO24" s="17">
        <v>88</v>
      </c>
      <c r="AP24" s="23">
        <v>5</v>
      </c>
      <c r="AS24" s="35"/>
      <c r="AT24" s="62"/>
      <c r="AU24" s="62"/>
      <c r="AV24" s="62"/>
      <c r="AW24" s="62"/>
      <c r="AX24" s="62"/>
      <c r="AY24" s="62"/>
      <c r="AZ24" s="62"/>
      <c r="BA24" s="62"/>
    </row>
    <row r="25" spans="1:53">
      <c r="A25" s="52" t="s">
        <v>77</v>
      </c>
      <c r="B25" s="53" t="s">
        <v>35</v>
      </c>
      <c r="C25" s="53">
        <f t="shared" si="0"/>
        <v>0</v>
      </c>
      <c r="D25" s="53">
        <f t="shared" si="1"/>
        <v>1</v>
      </c>
      <c r="E25" s="53">
        <f t="shared" si="2"/>
        <v>0</v>
      </c>
      <c r="F25" s="53">
        <f t="shared" si="3"/>
        <v>0</v>
      </c>
      <c r="G25" s="53">
        <f t="shared" si="4"/>
        <v>0</v>
      </c>
      <c r="H25" s="53">
        <f t="shared" si="5"/>
        <v>0</v>
      </c>
      <c r="I25" s="54">
        <f>225/10</f>
        <v>22.5</v>
      </c>
      <c r="J25" s="48">
        <f t="shared" si="6"/>
        <v>1.3521825181113625</v>
      </c>
      <c r="K25" s="53" t="s">
        <v>40</v>
      </c>
      <c r="L25" s="53" t="s">
        <v>17</v>
      </c>
      <c r="M25" s="53">
        <v>38</v>
      </c>
      <c r="N25" s="53">
        <v>148</v>
      </c>
      <c r="O25" s="55">
        <v>4.0999999999999996</v>
      </c>
      <c r="P25" s="53">
        <v>10</v>
      </c>
      <c r="Q25" s="53">
        <v>30</v>
      </c>
      <c r="R25" s="53">
        <v>15</v>
      </c>
      <c r="S25" s="53">
        <v>28</v>
      </c>
      <c r="T25" s="53">
        <v>91</v>
      </c>
      <c r="U25" s="55">
        <v>5.5</v>
      </c>
      <c r="V25" s="57">
        <v>18.2</v>
      </c>
      <c r="W25" s="53">
        <v>298</v>
      </c>
      <c r="Y25" s="56">
        <v>0.30199999999999999</v>
      </c>
      <c r="Z25" s="53">
        <v>173</v>
      </c>
      <c r="AA25" s="53">
        <v>95</v>
      </c>
      <c r="AB25" s="56">
        <v>0.52</v>
      </c>
      <c r="AD25" s="25">
        <v>37</v>
      </c>
      <c r="AE25" s="29">
        <v>0.93700000000000006</v>
      </c>
      <c r="AG25" s="25">
        <v>126</v>
      </c>
      <c r="AI25" s="25">
        <v>573</v>
      </c>
      <c r="AJ25" s="29">
        <v>0.41599999999999998</v>
      </c>
      <c r="AK25" s="28">
        <v>41.2</v>
      </c>
      <c r="AL25" s="28">
        <v>89.4</v>
      </c>
      <c r="AN25" s="25">
        <v>2</v>
      </c>
      <c r="AO25" s="25">
        <v>110</v>
      </c>
      <c r="AP25" s="30">
        <v>7</v>
      </c>
      <c r="AS25" s="35"/>
      <c r="AT25" s="62"/>
      <c r="AU25" s="62"/>
      <c r="AV25" s="62"/>
      <c r="AW25" s="62"/>
      <c r="AX25" s="62"/>
      <c r="AY25" s="62"/>
      <c r="AZ25" s="62"/>
      <c r="BA25" s="62"/>
    </row>
    <row r="26" spans="1:53">
      <c r="A26" s="45" t="s">
        <v>57</v>
      </c>
      <c r="B26" s="46" t="s">
        <v>2</v>
      </c>
      <c r="C26" s="46">
        <f t="shared" si="0"/>
        <v>0</v>
      </c>
      <c r="D26" s="46">
        <f t="shared" si="1"/>
        <v>0</v>
      </c>
      <c r="E26" s="46">
        <f t="shared" si="2"/>
        <v>0</v>
      </c>
      <c r="F26" s="46">
        <f t="shared" si="3"/>
        <v>0</v>
      </c>
      <c r="G26" s="46">
        <f t="shared" si="4"/>
        <v>0</v>
      </c>
      <c r="H26" s="46">
        <f t="shared" si="5"/>
        <v>1</v>
      </c>
      <c r="I26" s="47">
        <f>110/5</f>
        <v>22</v>
      </c>
      <c r="J26" s="48">
        <f t="shared" si="6"/>
        <v>1.3424226808222062</v>
      </c>
      <c r="K26" s="46" t="s">
        <v>1</v>
      </c>
      <c r="L26" s="46" t="s">
        <v>12</v>
      </c>
      <c r="M26" s="46">
        <v>34</v>
      </c>
      <c r="N26" s="46">
        <v>134</v>
      </c>
      <c r="O26" s="49">
        <v>5</v>
      </c>
      <c r="P26" s="46">
        <v>5</v>
      </c>
      <c r="Q26" s="46">
        <v>30</v>
      </c>
      <c r="R26" s="46">
        <v>11</v>
      </c>
      <c r="S26" s="46">
        <v>34</v>
      </c>
      <c r="T26" s="46">
        <v>107</v>
      </c>
      <c r="U26" s="49">
        <v>3.4</v>
      </c>
      <c r="V26" s="51">
        <v>24.2</v>
      </c>
      <c r="W26" s="46">
        <v>320</v>
      </c>
      <c r="Y26" s="50">
        <v>0.28999999999999998</v>
      </c>
      <c r="Z26" s="46">
        <v>176</v>
      </c>
      <c r="AA26" s="46">
        <v>91</v>
      </c>
      <c r="AB26" s="50">
        <v>0.52800000000000002</v>
      </c>
      <c r="AD26" s="17">
        <v>38</v>
      </c>
      <c r="AE26" s="22">
        <v>0.88100000000000001</v>
      </c>
      <c r="AG26" s="17">
        <v>163</v>
      </c>
      <c r="AI26" s="17">
        <v>606</v>
      </c>
      <c r="AJ26" s="22">
        <v>0.35299999999999998</v>
      </c>
      <c r="AK26" s="21">
        <v>50.8</v>
      </c>
      <c r="AL26" s="21">
        <v>91.9</v>
      </c>
      <c r="AN26" s="17">
        <v>3</v>
      </c>
      <c r="AO26" s="17">
        <v>59</v>
      </c>
      <c r="AP26" s="23">
        <v>3</v>
      </c>
      <c r="AS26" s="35"/>
      <c r="AT26" s="62"/>
      <c r="AU26" s="62"/>
      <c r="AV26" s="62"/>
      <c r="AW26" s="62"/>
      <c r="AX26" s="62"/>
      <c r="AY26" s="62"/>
      <c r="AZ26" s="62"/>
      <c r="BA26" s="62"/>
    </row>
    <row r="27" spans="1:53">
      <c r="A27" s="52" t="s">
        <v>85</v>
      </c>
      <c r="B27" s="53" t="s">
        <v>2</v>
      </c>
      <c r="C27" s="53">
        <f t="shared" si="0"/>
        <v>0</v>
      </c>
      <c r="D27" s="53">
        <f t="shared" si="1"/>
        <v>0</v>
      </c>
      <c r="E27" s="53">
        <f t="shared" si="2"/>
        <v>0</v>
      </c>
      <c r="F27" s="53">
        <f t="shared" si="3"/>
        <v>0</v>
      </c>
      <c r="G27" s="53">
        <f t="shared" si="4"/>
        <v>0</v>
      </c>
      <c r="H27" s="53">
        <f t="shared" si="5"/>
        <v>1</v>
      </c>
      <c r="I27" s="54">
        <f>106/5</f>
        <v>21.2</v>
      </c>
      <c r="J27" s="48">
        <f t="shared" si="6"/>
        <v>1.3263358609287514</v>
      </c>
      <c r="K27" s="53" t="s">
        <v>1</v>
      </c>
      <c r="L27" s="53" t="s">
        <v>84</v>
      </c>
      <c r="M27" s="53">
        <v>34</v>
      </c>
      <c r="N27" s="53">
        <v>118</v>
      </c>
      <c r="O27" s="55">
        <v>4.3</v>
      </c>
      <c r="P27" s="53">
        <v>5</v>
      </c>
      <c r="Q27" s="53">
        <v>30</v>
      </c>
      <c r="R27" s="53">
        <v>15</v>
      </c>
      <c r="S27" s="53">
        <v>29</v>
      </c>
      <c r="T27" s="53">
        <v>89</v>
      </c>
      <c r="U27" s="55">
        <v>2.9</v>
      </c>
      <c r="V27" s="57">
        <v>25.7</v>
      </c>
      <c r="W27" s="53">
        <v>279</v>
      </c>
      <c r="Y27" s="56">
        <v>0.26200000000000001</v>
      </c>
      <c r="Z27" s="53">
        <v>155</v>
      </c>
      <c r="AA27" s="53">
        <v>94</v>
      </c>
      <c r="AB27" s="56">
        <v>0.47099999999999997</v>
      </c>
      <c r="AD27" s="25">
        <v>31</v>
      </c>
      <c r="AE27" s="29">
        <v>0.81399999999999995</v>
      </c>
      <c r="AG27" s="25">
        <v>173</v>
      </c>
      <c r="AI27" s="25">
        <v>591</v>
      </c>
      <c r="AJ27" s="29">
        <v>0.34300000000000003</v>
      </c>
      <c r="AK27" s="28">
        <v>46.2</v>
      </c>
      <c r="AL27" s="28">
        <v>90.6</v>
      </c>
      <c r="AN27" s="25">
        <v>3</v>
      </c>
      <c r="AO27" s="25">
        <v>69</v>
      </c>
      <c r="AP27" s="30">
        <v>13</v>
      </c>
      <c r="AS27" s="35"/>
      <c r="AT27" s="62"/>
      <c r="AU27" s="62"/>
      <c r="AV27" s="62"/>
      <c r="AW27" s="62"/>
      <c r="AX27" s="62"/>
      <c r="AY27" s="62"/>
      <c r="AZ27" s="62"/>
      <c r="BA27" s="62"/>
    </row>
    <row r="28" spans="1:53" ht="15" thickBot="1">
      <c r="A28" s="45" t="s">
        <v>126</v>
      </c>
      <c r="B28" s="46" t="s">
        <v>53</v>
      </c>
      <c r="C28" s="46">
        <f t="shared" si="0"/>
        <v>1</v>
      </c>
      <c r="D28" s="46">
        <f t="shared" si="1"/>
        <v>0</v>
      </c>
      <c r="E28" s="46">
        <f t="shared" si="2"/>
        <v>0</v>
      </c>
      <c r="F28" s="46">
        <f t="shared" si="3"/>
        <v>0</v>
      </c>
      <c r="G28" s="46">
        <f t="shared" si="4"/>
        <v>0</v>
      </c>
      <c r="H28" s="46">
        <f t="shared" si="5"/>
        <v>0</v>
      </c>
      <c r="I28" s="47">
        <f>82/4</f>
        <v>20.5</v>
      </c>
      <c r="J28" s="48">
        <f t="shared" si="6"/>
        <v>1.3117538610557542</v>
      </c>
      <c r="K28" s="46" t="s">
        <v>1</v>
      </c>
      <c r="L28" s="46" t="s">
        <v>52</v>
      </c>
      <c r="M28" s="46">
        <v>32</v>
      </c>
      <c r="N28" s="46">
        <v>104</v>
      </c>
      <c r="O28" s="49">
        <v>4.4000000000000004</v>
      </c>
      <c r="P28" s="46">
        <v>4</v>
      </c>
      <c r="Q28" s="46">
        <v>31</v>
      </c>
      <c r="R28" s="46">
        <v>10</v>
      </c>
      <c r="S28" s="46">
        <v>28</v>
      </c>
      <c r="T28" s="46">
        <v>93</v>
      </c>
      <c r="U28" s="49">
        <v>4.2</v>
      </c>
      <c r="V28" s="51">
        <v>17.7</v>
      </c>
      <c r="W28" s="46">
        <v>283</v>
      </c>
      <c r="Y28" s="50">
        <v>0.27</v>
      </c>
      <c r="Z28" s="46">
        <v>165</v>
      </c>
      <c r="AA28" s="46">
        <v>70</v>
      </c>
      <c r="AB28" s="50">
        <v>0.46300000000000002</v>
      </c>
      <c r="AD28" s="17">
        <v>30</v>
      </c>
      <c r="AE28" s="22">
        <v>0.76500000000000001</v>
      </c>
      <c r="AG28" s="17">
        <v>114</v>
      </c>
      <c r="AI28" s="17">
        <v>612</v>
      </c>
      <c r="AJ28" s="22">
        <v>0.30199999999999999</v>
      </c>
      <c r="AK28" s="21">
        <v>46.8</v>
      </c>
      <c r="AL28" s="21">
        <v>90.5</v>
      </c>
      <c r="AN28" s="17">
        <v>1</v>
      </c>
      <c r="AO28" s="17">
        <v>23</v>
      </c>
      <c r="AP28" s="23">
        <v>1</v>
      </c>
      <c r="AS28" s="36"/>
      <c r="AT28" s="63"/>
      <c r="AU28" s="63"/>
      <c r="AV28" s="63"/>
      <c r="AW28" s="63"/>
      <c r="AX28" s="63"/>
      <c r="AY28" s="63"/>
      <c r="AZ28" s="63"/>
      <c r="BA28" s="63"/>
    </row>
    <row r="29" spans="1:53">
      <c r="A29" s="52" t="s">
        <v>61</v>
      </c>
      <c r="B29" s="53" t="s">
        <v>9</v>
      </c>
      <c r="C29" s="53">
        <f t="shared" si="0"/>
        <v>0</v>
      </c>
      <c r="D29" s="53">
        <f t="shared" si="1"/>
        <v>0</v>
      </c>
      <c r="E29" s="53">
        <f t="shared" si="2"/>
        <v>0</v>
      </c>
      <c r="F29" s="53">
        <f t="shared" si="3"/>
        <v>0</v>
      </c>
      <c r="G29" s="53">
        <f t="shared" si="4"/>
        <v>1</v>
      </c>
      <c r="H29" s="53">
        <f t="shared" si="5"/>
        <v>0</v>
      </c>
      <c r="I29" s="54">
        <f>120/6</f>
        <v>20</v>
      </c>
      <c r="J29" s="48">
        <f t="shared" si="6"/>
        <v>1.3010299956639813</v>
      </c>
      <c r="K29" s="53" t="s">
        <v>1</v>
      </c>
      <c r="L29" s="53" t="s">
        <v>12</v>
      </c>
      <c r="M29" s="53">
        <v>29</v>
      </c>
      <c r="N29" s="53">
        <v>115</v>
      </c>
      <c r="O29" s="55">
        <v>3</v>
      </c>
      <c r="P29" s="53">
        <v>6</v>
      </c>
      <c r="Q29" s="53">
        <v>26</v>
      </c>
      <c r="R29" s="53">
        <v>9</v>
      </c>
      <c r="S29" s="53">
        <v>21</v>
      </c>
      <c r="T29" s="53">
        <v>89</v>
      </c>
      <c r="U29" s="55">
        <v>4.2</v>
      </c>
      <c r="V29" s="57">
        <v>18.3</v>
      </c>
      <c r="W29" s="53">
        <v>285</v>
      </c>
      <c r="Y29" s="56">
        <v>0.28999999999999998</v>
      </c>
      <c r="Z29" s="53">
        <v>180</v>
      </c>
      <c r="AA29" s="53">
        <v>97</v>
      </c>
      <c r="AB29" s="56">
        <v>0.45900000000000002</v>
      </c>
      <c r="AD29" s="25">
        <v>39</v>
      </c>
      <c r="AE29" s="29">
        <v>0.81200000000000006</v>
      </c>
      <c r="AG29" s="25">
        <v>126</v>
      </c>
      <c r="AI29" s="25">
        <v>622</v>
      </c>
      <c r="AJ29" s="29">
        <v>0.35299999999999998</v>
      </c>
      <c r="AK29" s="28">
        <v>40.9</v>
      </c>
      <c r="AL29" s="28">
        <v>89.4</v>
      </c>
      <c r="AN29" s="25">
        <v>2</v>
      </c>
      <c r="AO29" s="25">
        <v>59</v>
      </c>
      <c r="AP29" s="30">
        <v>10</v>
      </c>
    </row>
    <row r="30" spans="1:53">
      <c r="A30" s="45" t="s">
        <v>26</v>
      </c>
      <c r="B30" s="46" t="s">
        <v>6</v>
      </c>
      <c r="C30" s="46">
        <f t="shared" si="0"/>
        <v>0</v>
      </c>
      <c r="D30" s="46">
        <f t="shared" si="1"/>
        <v>0</v>
      </c>
      <c r="E30" s="46">
        <f t="shared" si="2"/>
        <v>0</v>
      </c>
      <c r="F30" s="46">
        <f t="shared" si="3"/>
        <v>1</v>
      </c>
      <c r="G30" s="46">
        <f t="shared" si="4"/>
        <v>0</v>
      </c>
      <c r="H30" s="46">
        <f t="shared" si="5"/>
        <v>0</v>
      </c>
      <c r="I30" s="47">
        <f>100/5</f>
        <v>20</v>
      </c>
      <c r="J30" s="48">
        <f t="shared" si="6"/>
        <v>1.3010299956639813</v>
      </c>
      <c r="K30" s="46" t="s">
        <v>1</v>
      </c>
      <c r="L30" s="46" t="s">
        <v>25</v>
      </c>
      <c r="M30" s="46">
        <v>28</v>
      </c>
      <c r="N30" s="46">
        <v>138</v>
      </c>
      <c r="O30" s="49">
        <v>4.2</v>
      </c>
      <c r="P30" s="46">
        <v>5</v>
      </c>
      <c r="Q30" s="46">
        <v>25</v>
      </c>
      <c r="R30" s="46">
        <v>6</v>
      </c>
      <c r="S30" s="46">
        <v>29</v>
      </c>
      <c r="T30" s="46">
        <v>99</v>
      </c>
      <c r="U30" s="49">
        <v>6.5</v>
      </c>
      <c r="V30" s="51">
        <v>14.1</v>
      </c>
      <c r="W30" s="46">
        <v>304</v>
      </c>
      <c r="Y30" s="50">
        <v>0.28100000000000003</v>
      </c>
      <c r="Z30" s="46">
        <v>168</v>
      </c>
      <c r="AA30" s="46">
        <v>104</v>
      </c>
      <c r="AB30" s="50">
        <v>0.50700000000000001</v>
      </c>
      <c r="AD30" s="17">
        <v>42</v>
      </c>
      <c r="AE30" s="22">
        <v>0.88400000000000001</v>
      </c>
      <c r="AG30" s="17">
        <v>99</v>
      </c>
      <c r="AI30" s="17">
        <v>600</v>
      </c>
      <c r="AJ30" s="22">
        <v>0.377</v>
      </c>
      <c r="AK30" s="21">
        <v>40.200000000000003</v>
      </c>
      <c r="AL30" s="21">
        <v>89.2</v>
      </c>
      <c r="AN30" s="17">
        <v>3</v>
      </c>
      <c r="AO30" s="17">
        <v>88</v>
      </c>
      <c r="AP30" s="23">
        <v>9</v>
      </c>
    </row>
    <row r="31" spans="1:53">
      <c r="A31" s="52" t="s">
        <v>128</v>
      </c>
      <c r="B31" s="53" t="s">
        <v>2</v>
      </c>
      <c r="C31" s="53">
        <f t="shared" si="0"/>
        <v>0</v>
      </c>
      <c r="D31" s="53">
        <f t="shared" si="1"/>
        <v>0</v>
      </c>
      <c r="E31" s="53">
        <f t="shared" si="2"/>
        <v>0</v>
      </c>
      <c r="F31" s="53">
        <f t="shared" si="3"/>
        <v>0</v>
      </c>
      <c r="G31" s="53">
        <f t="shared" si="4"/>
        <v>0</v>
      </c>
      <c r="H31" s="53">
        <f t="shared" si="5"/>
        <v>1</v>
      </c>
      <c r="I31" s="54">
        <v>20</v>
      </c>
      <c r="J31" s="48">
        <f t="shared" si="6"/>
        <v>1.3010299956639813</v>
      </c>
      <c r="K31" s="53" t="s">
        <v>1</v>
      </c>
      <c r="L31" s="53" t="s">
        <v>31</v>
      </c>
      <c r="M31" s="53">
        <v>30</v>
      </c>
      <c r="N31" s="53">
        <v>115</v>
      </c>
      <c r="O31" s="55">
        <v>3.8</v>
      </c>
      <c r="P31" s="53">
        <v>5</v>
      </c>
      <c r="Q31" s="53">
        <v>30</v>
      </c>
      <c r="R31" s="53">
        <v>9</v>
      </c>
      <c r="S31" s="53">
        <v>25</v>
      </c>
      <c r="T31" s="53">
        <v>89</v>
      </c>
      <c r="U31" s="55">
        <v>1.8</v>
      </c>
      <c r="V31" s="57">
        <v>23</v>
      </c>
      <c r="W31" s="53">
        <v>298</v>
      </c>
      <c r="Y31" s="56">
        <v>0.27800000000000002</v>
      </c>
      <c r="Z31" s="53">
        <v>171</v>
      </c>
      <c r="AA31" s="53">
        <v>81</v>
      </c>
      <c r="AB31" s="56">
        <v>0.48599999999999999</v>
      </c>
      <c r="AD31" s="25">
        <v>41</v>
      </c>
      <c r="AE31" s="29">
        <v>0.81399999999999995</v>
      </c>
      <c r="AG31" s="25">
        <v>154</v>
      </c>
      <c r="AI31" s="25">
        <v>613</v>
      </c>
      <c r="AJ31" s="29">
        <v>0.32900000000000001</v>
      </c>
      <c r="AK31" s="28">
        <v>42.7</v>
      </c>
      <c r="AL31" s="28">
        <v>89.5</v>
      </c>
      <c r="AN31" s="25">
        <v>5</v>
      </c>
      <c r="AO31" s="25">
        <v>44</v>
      </c>
      <c r="AP31" s="30">
        <v>2</v>
      </c>
    </row>
    <row r="32" spans="1:53">
      <c r="A32" s="45" t="s">
        <v>130</v>
      </c>
      <c r="B32" s="46" t="s">
        <v>2</v>
      </c>
      <c r="C32" s="46">
        <f t="shared" si="0"/>
        <v>0</v>
      </c>
      <c r="D32" s="46">
        <f t="shared" si="1"/>
        <v>0</v>
      </c>
      <c r="E32" s="46">
        <f t="shared" si="2"/>
        <v>0</v>
      </c>
      <c r="F32" s="46">
        <f t="shared" si="3"/>
        <v>0</v>
      </c>
      <c r="G32" s="46">
        <f t="shared" si="4"/>
        <v>0</v>
      </c>
      <c r="H32" s="46">
        <f t="shared" si="5"/>
        <v>1</v>
      </c>
      <c r="I32" s="47">
        <v>19.75</v>
      </c>
      <c r="J32" s="48">
        <f t="shared" si="6"/>
        <v>1.2955670999624791</v>
      </c>
      <c r="K32" s="46" t="s">
        <v>13</v>
      </c>
      <c r="L32" s="46" t="s">
        <v>31</v>
      </c>
      <c r="M32" s="46">
        <v>29</v>
      </c>
      <c r="N32" s="46">
        <v>119</v>
      </c>
      <c r="O32" s="49">
        <v>5.9</v>
      </c>
      <c r="P32" s="46">
        <v>4</v>
      </c>
      <c r="Q32" s="46">
        <v>29</v>
      </c>
      <c r="R32" s="46">
        <v>7</v>
      </c>
      <c r="S32" s="46">
        <v>37</v>
      </c>
      <c r="T32" s="46">
        <v>85</v>
      </c>
      <c r="U32" s="49">
        <v>2.2000000000000002</v>
      </c>
      <c r="V32" s="51">
        <v>27.8</v>
      </c>
      <c r="W32" s="46">
        <v>265</v>
      </c>
      <c r="Y32" s="50">
        <v>0.23699999999999999</v>
      </c>
      <c r="Z32" s="46">
        <v>127</v>
      </c>
      <c r="AA32" s="46">
        <v>91</v>
      </c>
      <c r="AB32" s="50">
        <v>0.49299999999999999</v>
      </c>
      <c r="AD32" s="17">
        <v>22</v>
      </c>
      <c r="AE32" s="22">
        <v>0.83599999999999997</v>
      </c>
      <c r="AG32" s="17">
        <v>175</v>
      </c>
      <c r="AI32" s="17">
        <v>538</v>
      </c>
      <c r="AJ32" s="22">
        <v>0.34300000000000003</v>
      </c>
      <c r="AK32" s="21">
        <v>51.1</v>
      </c>
      <c r="AL32" s="21">
        <v>32.1</v>
      </c>
      <c r="AN32" s="17">
        <v>2</v>
      </c>
      <c r="AO32" s="17">
        <v>82</v>
      </c>
      <c r="AP32" s="23">
        <v>3</v>
      </c>
      <c r="AS32" t="s">
        <v>148</v>
      </c>
    </row>
    <row r="33" spans="1:48" ht="15" thickBot="1">
      <c r="A33" s="52" t="s">
        <v>42</v>
      </c>
      <c r="B33" s="53" t="s">
        <v>2</v>
      </c>
      <c r="C33" s="53">
        <f t="shared" si="0"/>
        <v>0</v>
      </c>
      <c r="D33" s="53">
        <f t="shared" si="1"/>
        <v>0</v>
      </c>
      <c r="E33" s="53">
        <f t="shared" si="2"/>
        <v>0</v>
      </c>
      <c r="F33" s="53">
        <f t="shared" si="3"/>
        <v>0</v>
      </c>
      <c r="G33" s="53">
        <f t="shared" si="4"/>
        <v>0</v>
      </c>
      <c r="H33" s="53">
        <f t="shared" si="5"/>
        <v>1</v>
      </c>
      <c r="I33" s="54">
        <f>78/4</f>
        <v>19.5</v>
      </c>
      <c r="J33" s="48">
        <f t="shared" si="6"/>
        <v>1.2900346113625181</v>
      </c>
      <c r="K33" s="53" t="s">
        <v>1</v>
      </c>
      <c r="L33" s="53" t="s">
        <v>4</v>
      </c>
      <c r="M33" s="53">
        <v>33</v>
      </c>
      <c r="N33" s="53">
        <v>116</v>
      </c>
      <c r="O33" s="55">
        <v>2.7</v>
      </c>
      <c r="P33" s="53">
        <v>4</v>
      </c>
      <c r="Q33" s="53">
        <v>33</v>
      </c>
      <c r="R33" s="53">
        <v>10</v>
      </c>
      <c r="S33" s="53">
        <v>18</v>
      </c>
      <c r="T33" s="53">
        <v>72</v>
      </c>
      <c r="U33" s="55">
        <v>5</v>
      </c>
      <c r="V33" s="57">
        <v>20</v>
      </c>
      <c r="W33" s="53">
        <v>280</v>
      </c>
      <c r="Y33" s="56">
        <v>0.28899999999999998</v>
      </c>
      <c r="Z33" s="53">
        <v>179</v>
      </c>
      <c r="AA33" s="53">
        <v>97</v>
      </c>
      <c r="AB33" s="56">
        <v>0.45100000000000001</v>
      </c>
      <c r="AD33" s="25">
        <v>33</v>
      </c>
      <c r="AE33" s="29">
        <v>0.79700000000000004</v>
      </c>
      <c r="AG33" s="25">
        <v>136</v>
      </c>
      <c r="AI33" s="25">
        <v>620</v>
      </c>
      <c r="AJ33" s="29">
        <v>0.34599999999999997</v>
      </c>
      <c r="AK33" s="28">
        <v>39.4</v>
      </c>
      <c r="AL33" s="28">
        <v>87.1</v>
      </c>
      <c r="AN33" s="25">
        <v>7</v>
      </c>
      <c r="AO33" s="25">
        <v>36</v>
      </c>
      <c r="AP33" s="30">
        <v>42</v>
      </c>
    </row>
    <row r="34" spans="1:48">
      <c r="A34" s="45" t="s">
        <v>56</v>
      </c>
      <c r="B34" s="46" t="s">
        <v>9</v>
      </c>
      <c r="C34" s="46">
        <f t="shared" ref="C34:C65" si="7">IF(B34="C",1,0)</f>
        <v>0</v>
      </c>
      <c r="D34" s="46">
        <f t="shared" ref="D34:D68" si="8">IF(B34="1B",1,0)</f>
        <v>0</v>
      </c>
      <c r="E34" s="46">
        <f t="shared" ref="E34:E68" si="9">IF(B34="2B",1,0)</f>
        <v>0</v>
      </c>
      <c r="F34" s="46">
        <f t="shared" ref="F34:F68" si="10">IF(B34="3B",1,0)</f>
        <v>0</v>
      </c>
      <c r="G34" s="46">
        <f t="shared" ref="G34:G68" si="11">IF(B34="SS",1,0)</f>
        <v>1</v>
      </c>
      <c r="H34" s="46">
        <f t="shared" ref="H34:H68" si="12">IF(B34="OF",1,0)</f>
        <v>0</v>
      </c>
      <c r="I34" s="47">
        <v>18.5</v>
      </c>
      <c r="J34" s="48">
        <f t="shared" ref="J34:J65" si="13">LOG(I34)</f>
        <v>1.2671717284030137</v>
      </c>
      <c r="K34" s="46" t="s">
        <v>1</v>
      </c>
      <c r="L34" s="46" t="s">
        <v>27</v>
      </c>
      <c r="M34" s="46">
        <v>29</v>
      </c>
      <c r="N34" s="46">
        <v>122</v>
      </c>
      <c r="O34" s="49">
        <v>3.4</v>
      </c>
      <c r="P34" s="46">
        <v>1</v>
      </c>
      <c r="Q34" s="46">
        <v>29</v>
      </c>
      <c r="R34" s="46">
        <v>7</v>
      </c>
      <c r="S34" s="46">
        <v>24</v>
      </c>
      <c r="T34" s="46">
        <v>79</v>
      </c>
      <c r="U34" s="49">
        <v>5.8</v>
      </c>
      <c r="V34" s="51">
        <v>17.899999999999999</v>
      </c>
      <c r="W34" s="46">
        <v>321</v>
      </c>
      <c r="Y34" s="50">
        <v>0.30299999999999999</v>
      </c>
      <c r="Z34" s="46">
        <v>197</v>
      </c>
      <c r="AA34" s="46">
        <v>114</v>
      </c>
      <c r="AB34" s="50">
        <v>0.49199999999999999</v>
      </c>
      <c r="AD34" s="17">
        <v>36</v>
      </c>
      <c r="AE34" s="22">
        <v>0.85</v>
      </c>
      <c r="AG34" s="17">
        <v>127</v>
      </c>
      <c r="AI34" s="17">
        <v>652</v>
      </c>
      <c r="AJ34" s="22">
        <v>0.35799999999999998</v>
      </c>
      <c r="AK34" s="21">
        <v>43.8</v>
      </c>
      <c r="AL34" s="21">
        <v>89.9</v>
      </c>
      <c r="AN34" s="17">
        <v>8</v>
      </c>
      <c r="AO34" s="17">
        <v>52</v>
      </c>
      <c r="AP34" s="23">
        <v>48</v>
      </c>
      <c r="AS34" s="37" t="s">
        <v>149</v>
      </c>
      <c r="AT34" s="37" t="s">
        <v>150</v>
      </c>
      <c r="AU34" s="37" t="s">
        <v>151</v>
      </c>
      <c r="AV34" s="37" t="s">
        <v>152</v>
      </c>
    </row>
    <row r="35" spans="1:48">
      <c r="A35" s="52" t="s">
        <v>55</v>
      </c>
      <c r="B35" s="53" t="s">
        <v>35</v>
      </c>
      <c r="C35" s="53">
        <f t="shared" si="7"/>
        <v>0</v>
      </c>
      <c r="D35" s="53">
        <f t="shared" si="8"/>
        <v>1</v>
      </c>
      <c r="E35" s="53">
        <f t="shared" si="9"/>
        <v>0</v>
      </c>
      <c r="F35" s="53">
        <f t="shared" si="10"/>
        <v>0</v>
      </c>
      <c r="G35" s="53">
        <f t="shared" si="11"/>
        <v>0</v>
      </c>
      <c r="H35" s="53">
        <f t="shared" si="12"/>
        <v>0</v>
      </c>
      <c r="I35" s="54">
        <v>18.399999999999999</v>
      </c>
      <c r="J35" s="48">
        <f t="shared" si="13"/>
        <v>1.2648178230095364</v>
      </c>
      <c r="K35" s="53" t="s">
        <v>40</v>
      </c>
      <c r="L35" s="53" t="s">
        <v>43</v>
      </c>
      <c r="M35" s="53">
        <v>34</v>
      </c>
      <c r="N35" s="53">
        <v>125</v>
      </c>
      <c r="O35" s="55">
        <v>3.5</v>
      </c>
      <c r="P35" s="53">
        <v>1</v>
      </c>
      <c r="Q35" s="53">
        <v>34</v>
      </c>
      <c r="R35" s="53">
        <v>11</v>
      </c>
      <c r="S35" s="53">
        <v>22</v>
      </c>
      <c r="T35" s="53">
        <v>74</v>
      </c>
      <c r="U35" s="55">
        <v>3.6</v>
      </c>
      <c r="V35" s="57">
        <v>23.5</v>
      </c>
      <c r="W35" s="53">
        <v>253</v>
      </c>
      <c r="Y35" s="56">
        <v>0.26400000000000001</v>
      </c>
      <c r="Z35" s="53">
        <v>144</v>
      </c>
      <c r="AA35" s="53">
        <v>79</v>
      </c>
      <c r="AB35" s="56">
        <v>0.46400000000000002</v>
      </c>
      <c r="AD35" s="25">
        <v>34</v>
      </c>
      <c r="AE35" s="29">
        <v>0.82299999999999995</v>
      </c>
      <c r="AG35" s="25">
        <v>148</v>
      </c>
      <c r="AI35" s="25">
        <v>544</v>
      </c>
      <c r="AJ35" s="29">
        <v>0.35799999999999998</v>
      </c>
      <c r="AK35" s="28">
        <v>40.700000000000003</v>
      </c>
      <c r="AL35" s="28">
        <v>88.1</v>
      </c>
      <c r="AN35" s="25">
        <v>5</v>
      </c>
      <c r="AO35" s="25">
        <v>76</v>
      </c>
      <c r="AP35" s="30">
        <v>6</v>
      </c>
      <c r="AS35" s="35">
        <v>1</v>
      </c>
      <c r="AT35" s="35">
        <v>25.143877481424347</v>
      </c>
      <c r="AU35" s="35">
        <v>11.141836804289937</v>
      </c>
      <c r="AV35" s="35">
        <v>2.120307972676696</v>
      </c>
    </row>
    <row r="36" spans="1:48">
      <c r="A36" s="45" t="s">
        <v>54</v>
      </c>
      <c r="B36" s="46" t="s">
        <v>53</v>
      </c>
      <c r="C36" s="46">
        <f t="shared" si="7"/>
        <v>1</v>
      </c>
      <c r="D36" s="46">
        <f t="shared" si="8"/>
        <v>0</v>
      </c>
      <c r="E36" s="46">
        <f t="shared" si="9"/>
        <v>0</v>
      </c>
      <c r="F36" s="46">
        <f t="shared" si="10"/>
        <v>0</v>
      </c>
      <c r="G36" s="46">
        <f t="shared" si="11"/>
        <v>0</v>
      </c>
      <c r="H36" s="46">
        <f t="shared" si="12"/>
        <v>0</v>
      </c>
      <c r="I36" s="47">
        <f>73/4</f>
        <v>18.25</v>
      </c>
      <c r="J36" s="48">
        <f t="shared" si="13"/>
        <v>1.2612628687924936</v>
      </c>
      <c r="K36" s="46" t="s">
        <v>5</v>
      </c>
      <c r="L36" s="46" t="s">
        <v>29</v>
      </c>
      <c r="M36" s="46">
        <v>33</v>
      </c>
      <c r="N36" s="46">
        <v>119</v>
      </c>
      <c r="O36" s="49">
        <v>4.5</v>
      </c>
      <c r="P36" s="46">
        <v>4</v>
      </c>
      <c r="Q36" s="46">
        <v>31</v>
      </c>
      <c r="R36" s="46">
        <v>10</v>
      </c>
      <c r="S36" s="46">
        <v>27</v>
      </c>
      <c r="T36" s="46">
        <v>80</v>
      </c>
      <c r="U36" s="49">
        <v>3.5</v>
      </c>
      <c r="V36" s="51">
        <v>23.7</v>
      </c>
      <c r="W36" s="46">
        <v>232</v>
      </c>
      <c r="Y36" s="50">
        <v>0.24</v>
      </c>
      <c r="Z36" s="46">
        <v>124</v>
      </c>
      <c r="AA36" s="46">
        <v>73</v>
      </c>
      <c r="AB36" s="50">
        <v>0.45100000000000001</v>
      </c>
      <c r="AD36" s="17">
        <v>24</v>
      </c>
      <c r="AE36" s="22">
        <v>0.80700000000000005</v>
      </c>
      <c r="AG36" s="17">
        <v>145</v>
      </c>
      <c r="AI36" s="17">
        <v>514</v>
      </c>
      <c r="AJ36" s="22">
        <v>0.35499999999999998</v>
      </c>
      <c r="AK36" s="21">
        <v>47.1</v>
      </c>
      <c r="AL36" s="21">
        <v>90.8</v>
      </c>
      <c r="AN36" s="17">
        <v>1</v>
      </c>
      <c r="AO36" s="17">
        <v>91</v>
      </c>
      <c r="AP36" s="23">
        <v>2</v>
      </c>
      <c r="AS36" s="35">
        <v>2</v>
      </c>
      <c r="AT36" s="35">
        <v>28.527260263293499</v>
      </c>
      <c r="AU36" s="35">
        <v>7.0144064033731652</v>
      </c>
      <c r="AV36" s="35">
        <v>1.3348518814187047</v>
      </c>
    </row>
    <row r="37" spans="1:48">
      <c r="A37" s="52" t="s">
        <v>67</v>
      </c>
      <c r="B37" s="53" t="s">
        <v>2</v>
      </c>
      <c r="C37" s="53">
        <f t="shared" si="7"/>
        <v>0</v>
      </c>
      <c r="D37" s="53">
        <f t="shared" si="8"/>
        <v>0</v>
      </c>
      <c r="E37" s="53">
        <f t="shared" si="9"/>
        <v>0</v>
      </c>
      <c r="F37" s="53">
        <f t="shared" si="10"/>
        <v>0</v>
      </c>
      <c r="G37" s="53">
        <f t="shared" si="11"/>
        <v>0</v>
      </c>
      <c r="H37" s="53">
        <f t="shared" si="12"/>
        <v>1</v>
      </c>
      <c r="I37" s="54">
        <f>108/6</f>
        <v>18</v>
      </c>
      <c r="J37" s="48">
        <f t="shared" si="13"/>
        <v>1.255272505103306</v>
      </c>
      <c r="K37" s="53" t="s">
        <v>40</v>
      </c>
      <c r="L37" s="53" t="s">
        <v>66</v>
      </c>
      <c r="M37" s="53">
        <v>36</v>
      </c>
      <c r="N37" s="53">
        <v>114</v>
      </c>
      <c r="O37" s="55">
        <v>3.6</v>
      </c>
      <c r="P37" s="53">
        <v>6</v>
      </c>
      <c r="Q37" s="53">
        <v>32</v>
      </c>
      <c r="R37" s="53">
        <v>11</v>
      </c>
      <c r="S37" s="53">
        <v>24</v>
      </c>
      <c r="T37" s="53">
        <v>81</v>
      </c>
      <c r="U37" s="55">
        <v>2.5</v>
      </c>
      <c r="V37" s="57">
        <v>16.7</v>
      </c>
      <c r="W37" s="53">
        <v>305</v>
      </c>
      <c r="Y37" s="56">
        <v>0.3</v>
      </c>
      <c r="Z37" s="53">
        <v>185</v>
      </c>
      <c r="AA37" s="53">
        <v>105</v>
      </c>
      <c r="AB37" s="56">
        <v>0.495</v>
      </c>
      <c r="AD37" s="25">
        <v>34</v>
      </c>
      <c r="AE37" s="29">
        <v>0.85399999999999998</v>
      </c>
      <c r="AG37" s="25">
        <v>114</v>
      </c>
      <c r="AI37" s="25">
        <v>616</v>
      </c>
      <c r="AJ37" s="29">
        <v>0.35899999999999999</v>
      </c>
      <c r="AK37" s="28">
        <v>37.700000000000003</v>
      </c>
      <c r="AL37" s="28">
        <v>87.6</v>
      </c>
      <c r="AN37" s="25">
        <v>7</v>
      </c>
      <c r="AO37" s="25">
        <v>47</v>
      </c>
      <c r="AP37" s="30">
        <v>17</v>
      </c>
      <c r="AS37" s="35">
        <v>3</v>
      </c>
      <c r="AT37" s="35">
        <v>24.327791779129718</v>
      </c>
      <c r="AU37" s="35">
        <v>9.772208220870283</v>
      </c>
      <c r="AV37" s="35">
        <v>1.8596656337122228</v>
      </c>
    </row>
    <row r="38" spans="1:48">
      <c r="A38" s="45" t="s">
        <v>65</v>
      </c>
      <c r="B38" s="46" t="s">
        <v>35</v>
      </c>
      <c r="C38" s="46">
        <f t="shared" si="7"/>
        <v>0</v>
      </c>
      <c r="D38" s="46">
        <f t="shared" si="8"/>
        <v>1</v>
      </c>
      <c r="E38" s="46">
        <f t="shared" si="9"/>
        <v>0</v>
      </c>
      <c r="F38" s="46">
        <f t="shared" si="10"/>
        <v>0</v>
      </c>
      <c r="G38" s="46">
        <f t="shared" si="11"/>
        <v>0</v>
      </c>
      <c r="H38" s="46">
        <f t="shared" si="12"/>
        <v>0</v>
      </c>
      <c r="I38" s="47">
        <f>144/8</f>
        <v>18</v>
      </c>
      <c r="J38" s="48">
        <f t="shared" si="13"/>
        <v>1.255272505103306</v>
      </c>
      <c r="K38" s="46" t="s">
        <v>40</v>
      </c>
      <c r="L38" s="46" t="s">
        <v>64</v>
      </c>
      <c r="M38" s="46">
        <v>32</v>
      </c>
      <c r="N38" s="46">
        <v>108</v>
      </c>
      <c r="O38" s="49">
        <v>2.9</v>
      </c>
      <c r="P38" s="46">
        <v>8</v>
      </c>
      <c r="Q38" s="46">
        <v>28</v>
      </c>
      <c r="R38" s="46">
        <v>11</v>
      </c>
      <c r="S38" s="46">
        <v>20</v>
      </c>
      <c r="T38" s="46">
        <v>87</v>
      </c>
      <c r="U38" s="49">
        <v>1.9</v>
      </c>
      <c r="V38" s="51">
        <v>17.8</v>
      </c>
      <c r="W38" s="46">
        <v>264</v>
      </c>
      <c r="Y38" s="50">
        <v>0.27700000000000002</v>
      </c>
      <c r="Z38" s="46">
        <v>170</v>
      </c>
      <c r="AA38" s="46">
        <v>80</v>
      </c>
      <c r="AB38" s="50">
        <v>0.43099999999999999</v>
      </c>
      <c r="AD38" s="17">
        <v>31</v>
      </c>
      <c r="AE38" s="22">
        <v>0.76700000000000002</v>
      </c>
      <c r="AG38" s="17">
        <v>119</v>
      </c>
      <c r="AI38" s="17">
        <v>612</v>
      </c>
      <c r="AJ38" s="22">
        <v>0.33600000000000002</v>
      </c>
      <c r="AK38" s="21">
        <v>47.3</v>
      </c>
      <c r="AL38" s="21">
        <v>90.8</v>
      </c>
      <c r="AN38" s="17">
        <v>2</v>
      </c>
      <c r="AO38" s="17">
        <v>54</v>
      </c>
      <c r="AP38" s="23">
        <v>8</v>
      </c>
      <c r="AS38" s="35">
        <v>4</v>
      </c>
      <c r="AT38" s="35">
        <v>25.062399954201467</v>
      </c>
      <c r="AU38" s="35">
        <v>7.4376000457985327</v>
      </c>
      <c r="AV38" s="35">
        <v>1.4153862555781891</v>
      </c>
    </row>
    <row r="39" spans="1:48">
      <c r="A39" s="52" t="s">
        <v>60</v>
      </c>
      <c r="B39" s="53" t="s">
        <v>6</v>
      </c>
      <c r="C39" s="53">
        <f t="shared" si="7"/>
        <v>0</v>
      </c>
      <c r="D39" s="53">
        <f t="shared" si="8"/>
        <v>0</v>
      </c>
      <c r="E39" s="53">
        <f t="shared" si="9"/>
        <v>0</v>
      </c>
      <c r="F39" s="53">
        <f t="shared" si="10"/>
        <v>1</v>
      </c>
      <c r="G39" s="53">
        <f t="shared" si="11"/>
        <v>0</v>
      </c>
      <c r="H39" s="53">
        <f t="shared" si="12"/>
        <v>0</v>
      </c>
      <c r="I39" s="54">
        <f>34/2</f>
        <v>17</v>
      </c>
      <c r="J39" s="48">
        <f t="shared" si="13"/>
        <v>1.2304489213782739</v>
      </c>
      <c r="K39" s="53" t="s">
        <v>1</v>
      </c>
      <c r="L39" s="53" t="s">
        <v>27</v>
      </c>
      <c r="M39" s="53">
        <v>37</v>
      </c>
      <c r="N39" s="53">
        <v>127</v>
      </c>
      <c r="O39" s="55">
        <v>3.3</v>
      </c>
      <c r="P39" s="53">
        <v>2</v>
      </c>
      <c r="Q39" s="53">
        <v>36</v>
      </c>
      <c r="R39" s="53">
        <v>13</v>
      </c>
      <c r="S39" s="53">
        <v>19</v>
      </c>
      <c r="T39" s="53">
        <v>75</v>
      </c>
      <c r="U39" s="55">
        <v>4.2</v>
      </c>
      <c r="V39" s="57">
        <v>14.8</v>
      </c>
      <c r="W39" s="53">
        <v>244</v>
      </c>
      <c r="Y39" s="56">
        <v>0.28999999999999998</v>
      </c>
      <c r="Z39" s="53">
        <v>151</v>
      </c>
      <c r="AA39" s="53">
        <v>76</v>
      </c>
      <c r="AB39" s="56">
        <v>0.47</v>
      </c>
      <c r="AD39" s="25">
        <v>33</v>
      </c>
      <c r="AE39" s="29">
        <v>0.83699999999999997</v>
      </c>
      <c r="AG39" s="25">
        <v>87</v>
      </c>
      <c r="AI39" s="25">
        <v>519</v>
      </c>
      <c r="AJ39" s="29">
        <v>0.36799999999999999</v>
      </c>
      <c r="AK39" s="28">
        <v>42.4</v>
      </c>
      <c r="AL39" s="28">
        <v>90.3</v>
      </c>
      <c r="AN39" s="25">
        <v>1</v>
      </c>
      <c r="AO39" s="25">
        <v>53</v>
      </c>
      <c r="AP39" s="30">
        <v>5</v>
      </c>
      <c r="AS39" s="35">
        <v>5</v>
      </c>
      <c r="AT39" s="35">
        <v>24.792364792218585</v>
      </c>
      <c r="AU39" s="35">
        <v>7.707635207781415</v>
      </c>
      <c r="AV39" s="35">
        <v>1.4667743450747877</v>
      </c>
    </row>
    <row r="40" spans="1:48">
      <c r="A40" s="45" t="s">
        <v>51</v>
      </c>
      <c r="B40" s="46" t="s">
        <v>2</v>
      </c>
      <c r="C40" s="46">
        <f t="shared" si="7"/>
        <v>0</v>
      </c>
      <c r="D40" s="46">
        <f t="shared" si="8"/>
        <v>0</v>
      </c>
      <c r="E40" s="46">
        <f t="shared" si="9"/>
        <v>0</v>
      </c>
      <c r="F40" s="46">
        <f t="shared" si="10"/>
        <v>0</v>
      </c>
      <c r="G40" s="46">
        <f t="shared" si="11"/>
        <v>0</v>
      </c>
      <c r="H40" s="46">
        <f t="shared" si="12"/>
        <v>1</v>
      </c>
      <c r="I40" s="47">
        <v>17</v>
      </c>
      <c r="J40" s="48">
        <f t="shared" si="13"/>
        <v>1.2304489213782739</v>
      </c>
      <c r="K40" s="46" t="s">
        <v>40</v>
      </c>
      <c r="L40" s="46" t="s">
        <v>27</v>
      </c>
      <c r="M40" s="46">
        <v>26</v>
      </c>
      <c r="N40" s="46">
        <v>126</v>
      </c>
      <c r="O40" s="49">
        <v>5.5</v>
      </c>
      <c r="P40" s="46">
        <v>1</v>
      </c>
      <c r="Q40" s="46">
        <v>26</v>
      </c>
      <c r="R40" s="46">
        <v>5</v>
      </c>
      <c r="S40" s="46">
        <v>36</v>
      </c>
      <c r="T40" s="46">
        <v>95</v>
      </c>
      <c r="U40" s="49">
        <v>4.5</v>
      </c>
      <c r="V40" s="51">
        <v>22.2</v>
      </c>
      <c r="W40" s="46">
        <v>292</v>
      </c>
      <c r="Y40" s="50">
        <v>0.25700000000000001</v>
      </c>
      <c r="Z40" s="46">
        <v>147</v>
      </c>
      <c r="AA40" s="46">
        <v>98</v>
      </c>
      <c r="AB40" s="50">
        <v>0.51100000000000001</v>
      </c>
      <c r="AD40" s="17">
        <v>29</v>
      </c>
      <c r="AE40" s="22">
        <v>0.85699999999999998</v>
      </c>
      <c r="AG40" s="17">
        <v>146</v>
      </c>
      <c r="AI40" s="17">
        <v>572</v>
      </c>
      <c r="AJ40" s="22">
        <v>0.34599999999999997</v>
      </c>
      <c r="AK40" s="21">
        <v>44.9</v>
      </c>
      <c r="AL40" s="21">
        <v>90.4</v>
      </c>
      <c r="AN40" s="17">
        <v>4</v>
      </c>
      <c r="AO40" s="17">
        <v>78</v>
      </c>
      <c r="AP40" s="23">
        <v>13</v>
      </c>
      <c r="AS40" s="35">
        <v>6</v>
      </c>
      <c r="AT40" s="35">
        <v>23.088118245139505</v>
      </c>
      <c r="AU40" s="35">
        <v>7.9118817548604952</v>
      </c>
      <c r="AV40" s="35">
        <v>1.5056427641488057</v>
      </c>
    </row>
    <row r="41" spans="1:48">
      <c r="A41" s="52" t="s">
        <v>59</v>
      </c>
      <c r="B41" s="53" t="s">
        <v>35</v>
      </c>
      <c r="C41" s="53">
        <f t="shared" si="7"/>
        <v>0</v>
      </c>
      <c r="D41" s="53">
        <f t="shared" si="8"/>
        <v>1</v>
      </c>
      <c r="E41" s="53">
        <f t="shared" si="9"/>
        <v>0</v>
      </c>
      <c r="F41" s="53">
        <f t="shared" si="10"/>
        <v>0</v>
      </c>
      <c r="G41" s="53">
        <f t="shared" si="11"/>
        <v>0</v>
      </c>
      <c r="H41" s="53">
        <f t="shared" si="12"/>
        <v>0</v>
      </c>
      <c r="I41" s="54">
        <f>50/3</f>
        <v>16.666666666666668</v>
      </c>
      <c r="J41" s="48">
        <f t="shared" si="13"/>
        <v>1.2218487496163564</v>
      </c>
      <c r="K41" s="53" t="s">
        <v>1</v>
      </c>
      <c r="L41" s="53" t="s">
        <v>29</v>
      </c>
      <c r="M41" s="53">
        <v>35</v>
      </c>
      <c r="N41" s="53">
        <v>135</v>
      </c>
      <c r="O41" s="55">
        <v>4.7</v>
      </c>
      <c r="P41" s="53">
        <v>3</v>
      </c>
      <c r="Q41" s="53">
        <v>33</v>
      </c>
      <c r="R41" s="53">
        <v>8</v>
      </c>
      <c r="S41" s="53">
        <v>33</v>
      </c>
      <c r="T41" s="53">
        <v>115</v>
      </c>
      <c r="U41" s="55">
        <v>4</v>
      </c>
      <c r="V41" s="57">
        <v>20.3</v>
      </c>
      <c r="W41" s="53">
        <v>326</v>
      </c>
      <c r="Y41" s="56">
        <v>0.28999999999999998</v>
      </c>
      <c r="Z41" s="53">
        <v>184</v>
      </c>
      <c r="AA41" s="53">
        <v>89</v>
      </c>
      <c r="AB41" s="56">
        <v>0.51500000000000001</v>
      </c>
      <c r="AD41" s="25">
        <v>38</v>
      </c>
      <c r="AE41" s="29">
        <v>0.86499999999999999</v>
      </c>
      <c r="AG41" s="25">
        <v>142</v>
      </c>
      <c r="AI41" s="25">
        <v>634</v>
      </c>
      <c r="AJ41" s="29">
        <v>0.35</v>
      </c>
      <c r="AK41" s="28">
        <v>48.7</v>
      </c>
      <c r="AL41" s="28">
        <v>91.7</v>
      </c>
      <c r="AN41" s="25">
        <v>2</v>
      </c>
      <c r="AO41" s="25">
        <v>47</v>
      </c>
      <c r="AP41" s="30">
        <v>2</v>
      </c>
      <c r="AS41" s="35">
        <v>7</v>
      </c>
      <c r="AT41" s="35">
        <v>31.408254395584798</v>
      </c>
      <c r="AU41" s="35">
        <v>-0.9915877289181303</v>
      </c>
      <c r="AV41" s="35">
        <v>-0.18870060692541973</v>
      </c>
    </row>
    <row r="42" spans="1:48">
      <c r="A42" s="45" t="s">
        <v>58</v>
      </c>
      <c r="B42" s="46" t="s">
        <v>6</v>
      </c>
      <c r="C42" s="46">
        <f t="shared" si="7"/>
        <v>0</v>
      </c>
      <c r="D42" s="46">
        <f t="shared" si="8"/>
        <v>0</v>
      </c>
      <c r="E42" s="46">
        <f t="shared" si="9"/>
        <v>0</v>
      </c>
      <c r="F42" s="46">
        <f t="shared" si="10"/>
        <v>1</v>
      </c>
      <c r="G42" s="46">
        <f t="shared" si="11"/>
        <v>0</v>
      </c>
      <c r="H42" s="46">
        <f t="shared" si="12"/>
        <v>0</v>
      </c>
      <c r="I42" s="47">
        <f>100/6</f>
        <v>16.666666666666668</v>
      </c>
      <c r="J42" s="48">
        <f t="shared" si="13"/>
        <v>1.2218487496163564</v>
      </c>
      <c r="K42" s="46" t="s">
        <v>1</v>
      </c>
      <c r="L42" s="46" t="s">
        <v>43</v>
      </c>
      <c r="M42" s="46">
        <v>36</v>
      </c>
      <c r="N42" s="46">
        <v>120</v>
      </c>
      <c r="O42" s="49">
        <v>4.0999999999999996</v>
      </c>
      <c r="P42" s="46">
        <v>6</v>
      </c>
      <c r="Q42" s="46">
        <v>30</v>
      </c>
      <c r="R42" s="46">
        <v>14</v>
      </c>
      <c r="S42" s="46">
        <v>28</v>
      </c>
      <c r="T42" s="46">
        <v>97</v>
      </c>
      <c r="U42" s="49">
        <v>5.0999999999999996</v>
      </c>
      <c r="V42" s="51">
        <v>20.100000000000001</v>
      </c>
      <c r="W42" s="46">
        <v>287</v>
      </c>
      <c r="Y42" s="50">
        <v>0.26600000000000001</v>
      </c>
      <c r="Z42" s="46">
        <v>162</v>
      </c>
      <c r="AA42" s="46">
        <v>85</v>
      </c>
      <c r="AB42" s="50">
        <v>0.47299999999999998</v>
      </c>
      <c r="AD42" s="17">
        <v>36</v>
      </c>
      <c r="AE42" s="22">
        <v>0.80800000000000005</v>
      </c>
      <c r="AG42" s="17">
        <v>137</v>
      </c>
      <c r="AI42" s="17">
        <v>607</v>
      </c>
      <c r="AJ42" s="22">
        <v>0.33500000000000002</v>
      </c>
      <c r="AK42" s="21">
        <v>42.9</v>
      </c>
      <c r="AL42" s="21">
        <v>90.1</v>
      </c>
      <c r="AN42" s="17">
        <v>2</v>
      </c>
      <c r="AO42" s="17">
        <v>60</v>
      </c>
      <c r="AP42" s="23">
        <v>5</v>
      </c>
      <c r="AS42" s="35">
        <v>8</v>
      </c>
      <c r="AT42" s="35">
        <v>23.29080233119042</v>
      </c>
      <c r="AU42" s="35">
        <v>6.7091976688095798</v>
      </c>
      <c r="AV42" s="35">
        <v>1.2767702091959912</v>
      </c>
    </row>
    <row r="43" spans="1:48">
      <c r="A43" s="52" t="s">
        <v>47</v>
      </c>
      <c r="B43" s="53" t="s">
        <v>2</v>
      </c>
      <c r="C43" s="53">
        <f t="shared" si="7"/>
        <v>0</v>
      </c>
      <c r="D43" s="53">
        <f t="shared" si="8"/>
        <v>0</v>
      </c>
      <c r="E43" s="53">
        <f t="shared" si="9"/>
        <v>0</v>
      </c>
      <c r="F43" s="53">
        <f t="shared" si="10"/>
        <v>0</v>
      </c>
      <c r="G43" s="53">
        <f t="shared" si="11"/>
        <v>0</v>
      </c>
      <c r="H43" s="53">
        <f t="shared" si="12"/>
        <v>1</v>
      </c>
      <c r="I43" s="54">
        <f>65/4</f>
        <v>16.25</v>
      </c>
      <c r="J43" s="48">
        <f t="shared" si="13"/>
        <v>1.2108533653148932</v>
      </c>
      <c r="K43" s="53" t="s">
        <v>1</v>
      </c>
      <c r="L43" s="53" t="s">
        <v>8</v>
      </c>
      <c r="M43" s="53">
        <v>31</v>
      </c>
      <c r="N43" s="53">
        <v>114</v>
      </c>
      <c r="O43" s="55">
        <v>4</v>
      </c>
      <c r="P43" s="53">
        <v>4</v>
      </c>
      <c r="Q43" s="53">
        <v>30</v>
      </c>
      <c r="R43" s="53">
        <v>9</v>
      </c>
      <c r="S43" s="53">
        <v>27</v>
      </c>
      <c r="T43" s="53">
        <v>91</v>
      </c>
      <c r="U43" s="55">
        <v>3.3</v>
      </c>
      <c r="V43" s="57">
        <v>21.2</v>
      </c>
      <c r="W43" s="53">
        <v>284</v>
      </c>
      <c r="Y43" s="56">
        <v>0.27300000000000002</v>
      </c>
      <c r="Z43" s="53">
        <v>168</v>
      </c>
      <c r="AA43" s="53">
        <v>82</v>
      </c>
      <c r="AB43" s="56">
        <v>0.46100000000000002</v>
      </c>
      <c r="AD43" s="25">
        <v>28</v>
      </c>
      <c r="AE43" s="29">
        <v>0.79400000000000004</v>
      </c>
      <c r="AG43" s="25">
        <v>143</v>
      </c>
      <c r="AI43" s="25">
        <v>616</v>
      </c>
      <c r="AJ43" s="29">
        <v>0.33300000000000002</v>
      </c>
      <c r="AK43" s="28">
        <v>49</v>
      </c>
      <c r="AL43" s="28">
        <v>91.9</v>
      </c>
      <c r="AN43" s="25">
        <v>3</v>
      </c>
      <c r="AO43" s="25">
        <v>54</v>
      </c>
      <c r="AP43" s="30">
        <v>4</v>
      </c>
      <c r="AS43" s="35">
        <v>9</v>
      </c>
      <c r="AT43" s="35">
        <v>22.450479799835922</v>
      </c>
      <c r="AU43" s="35">
        <v>4.5495202001640784</v>
      </c>
      <c r="AV43" s="35">
        <v>0.86578040243305576</v>
      </c>
    </row>
    <row r="44" spans="1:48">
      <c r="A44" s="45" t="s">
        <v>50</v>
      </c>
      <c r="B44" s="46" t="s">
        <v>2</v>
      </c>
      <c r="C44" s="46">
        <f t="shared" si="7"/>
        <v>0</v>
      </c>
      <c r="D44" s="46">
        <f t="shared" si="8"/>
        <v>0</v>
      </c>
      <c r="E44" s="46">
        <f t="shared" si="9"/>
        <v>0</v>
      </c>
      <c r="F44" s="46">
        <f t="shared" si="10"/>
        <v>0</v>
      </c>
      <c r="G44" s="46">
        <f t="shared" si="11"/>
        <v>0</v>
      </c>
      <c r="H44" s="46">
        <f t="shared" si="12"/>
        <v>1</v>
      </c>
      <c r="I44" s="47">
        <f>80/5</f>
        <v>16</v>
      </c>
      <c r="J44" s="48">
        <f t="shared" si="13"/>
        <v>1.2041199826559248</v>
      </c>
      <c r="K44" s="46" t="s">
        <v>1</v>
      </c>
      <c r="L44" s="46" t="s">
        <v>49</v>
      </c>
      <c r="M44" s="46">
        <v>36</v>
      </c>
      <c r="N44" s="46">
        <v>104</v>
      </c>
      <c r="O44" s="49">
        <v>1.9</v>
      </c>
      <c r="P44" s="46">
        <v>5</v>
      </c>
      <c r="Q44" s="46">
        <v>32</v>
      </c>
      <c r="R44" s="46">
        <v>12</v>
      </c>
      <c r="S44" s="46">
        <v>12</v>
      </c>
      <c r="T44" s="46">
        <v>64</v>
      </c>
      <c r="U44" s="49">
        <v>5.6</v>
      </c>
      <c r="V44" s="51">
        <v>17.8</v>
      </c>
      <c r="W44" s="46">
        <v>247</v>
      </c>
      <c r="Y44" s="50">
        <v>0.28599999999999998</v>
      </c>
      <c r="Z44" s="46">
        <v>171</v>
      </c>
      <c r="AA44" s="46">
        <v>87</v>
      </c>
      <c r="AB44" s="50">
        <v>0.41299999999999998</v>
      </c>
      <c r="AD44" s="17">
        <v>32</v>
      </c>
      <c r="AE44" s="22">
        <v>0.75900000000000001</v>
      </c>
      <c r="AG44" s="17">
        <v>117</v>
      </c>
      <c r="AI44" s="17">
        <v>599</v>
      </c>
      <c r="AJ44" s="22">
        <v>0.34699999999999998</v>
      </c>
      <c r="AK44" s="21">
        <v>41.6</v>
      </c>
      <c r="AL44" s="21">
        <v>89.7</v>
      </c>
      <c r="AN44" s="17">
        <v>3</v>
      </c>
      <c r="AO44" s="17">
        <v>51</v>
      </c>
      <c r="AP44" s="23">
        <v>27</v>
      </c>
      <c r="AS44" s="35">
        <v>10</v>
      </c>
      <c r="AT44" s="35">
        <v>22.186017203645154</v>
      </c>
      <c r="AU44" s="35">
        <v>4.7425542249262733</v>
      </c>
      <c r="AV44" s="35">
        <v>0.90251506197712339</v>
      </c>
    </row>
    <row r="45" spans="1:48">
      <c r="A45" s="52" t="s">
        <v>46</v>
      </c>
      <c r="B45" s="53" t="s">
        <v>2</v>
      </c>
      <c r="C45" s="53">
        <f t="shared" si="7"/>
        <v>0</v>
      </c>
      <c r="D45" s="53">
        <f t="shared" si="8"/>
        <v>0</v>
      </c>
      <c r="E45" s="53">
        <f t="shared" si="9"/>
        <v>0</v>
      </c>
      <c r="F45" s="53">
        <f t="shared" si="10"/>
        <v>0</v>
      </c>
      <c r="G45" s="53">
        <f t="shared" si="11"/>
        <v>0</v>
      </c>
      <c r="H45" s="53">
        <f t="shared" si="12"/>
        <v>1</v>
      </c>
      <c r="I45" s="54">
        <f>32/2</f>
        <v>16</v>
      </c>
      <c r="J45" s="48">
        <f t="shared" si="13"/>
        <v>1.2041199826559248</v>
      </c>
      <c r="K45" s="53" t="s">
        <v>40</v>
      </c>
      <c r="L45" s="53" t="s">
        <v>25</v>
      </c>
      <c r="M45" s="53">
        <v>35</v>
      </c>
      <c r="N45" s="53">
        <v>117</v>
      </c>
      <c r="O45" s="55">
        <v>2.1</v>
      </c>
      <c r="P45" s="53">
        <v>2</v>
      </c>
      <c r="Q45" s="53">
        <v>34</v>
      </c>
      <c r="R45" s="53">
        <v>13</v>
      </c>
      <c r="S45" s="53">
        <v>14</v>
      </c>
      <c r="T45" s="53">
        <v>81</v>
      </c>
      <c r="U45" s="55">
        <v>3.9</v>
      </c>
      <c r="V45" s="57">
        <v>10.8</v>
      </c>
      <c r="W45" s="53">
        <v>275</v>
      </c>
      <c r="Y45" s="56">
        <v>0.29799999999999999</v>
      </c>
      <c r="Z45" s="53">
        <v>186</v>
      </c>
      <c r="AA45" s="53">
        <v>86</v>
      </c>
      <c r="AB45" s="56">
        <v>0.44</v>
      </c>
      <c r="AD45" s="25">
        <v>39</v>
      </c>
      <c r="AE45" s="29">
        <v>0.79500000000000004</v>
      </c>
      <c r="AG45" s="25">
        <v>74</v>
      </c>
      <c r="AI45" s="25">
        <v>625</v>
      </c>
      <c r="AJ45" s="29">
        <v>0.35499999999999998</v>
      </c>
      <c r="AK45" s="28">
        <v>40.200000000000003</v>
      </c>
      <c r="AL45" s="28">
        <v>89.4</v>
      </c>
      <c r="AN45" s="25">
        <v>3</v>
      </c>
      <c r="AO45" s="25">
        <v>54</v>
      </c>
      <c r="AP45" s="30">
        <v>15</v>
      </c>
      <c r="AS45" s="35">
        <v>11</v>
      </c>
      <c r="AT45" s="35">
        <v>24.3332536853306</v>
      </c>
      <c r="AU45" s="35">
        <v>1.6667463146693997</v>
      </c>
      <c r="AV45" s="35">
        <v>0.31718428132624676</v>
      </c>
    </row>
    <row r="46" spans="1:48">
      <c r="A46" s="45" t="s">
        <v>45</v>
      </c>
      <c r="B46" s="46" t="s">
        <v>6</v>
      </c>
      <c r="C46" s="46">
        <f t="shared" si="7"/>
        <v>0</v>
      </c>
      <c r="D46" s="46">
        <f t="shared" si="8"/>
        <v>0</v>
      </c>
      <c r="E46" s="46">
        <f t="shared" si="9"/>
        <v>0</v>
      </c>
      <c r="F46" s="46">
        <f t="shared" si="10"/>
        <v>1</v>
      </c>
      <c r="G46" s="46">
        <f t="shared" si="11"/>
        <v>0</v>
      </c>
      <c r="H46" s="46">
        <f t="shared" si="12"/>
        <v>0</v>
      </c>
      <c r="I46" s="47">
        <f>64/4</f>
        <v>16</v>
      </c>
      <c r="J46" s="48">
        <f t="shared" si="13"/>
        <v>1.2041199826559248</v>
      </c>
      <c r="K46" s="46" t="s">
        <v>13</v>
      </c>
      <c r="L46" s="46" t="s">
        <v>17</v>
      </c>
      <c r="M46" s="46">
        <v>33</v>
      </c>
      <c r="N46" s="46">
        <v>99</v>
      </c>
      <c r="O46" s="49">
        <v>4</v>
      </c>
      <c r="P46" s="46">
        <v>4</v>
      </c>
      <c r="Q46" s="46">
        <v>31</v>
      </c>
      <c r="R46" s="46">
        <v>11</v>
      </c>
      <c r="S46" s="46">
        <v>26</v>
      </c>
      <c r="T46" s="46">
        <v>80</v>
      </c>
      <c r="U46" s="49">
        <v>1.8</v>
      </c>
      <c r="V46" s="51">
        <v>16.3</v>
      </c>
      <c r="W46" s="46">
        <v>256</v>
      </c>
      <c r="Y46" s="50">
        <v>0.249</v>
      </c>
      <c r="Z46" s="46">
        <v>145</v>
      </c>
      <c r="AA46" s="46">
        <v>68</v>
      </c>
      <c r="AB46" s="50">
        <v>0.439</v>
      </c>
      <c r="AD46" s="17">
        <v>32</v>
      </c>
      <c r="AE46" s="22">
        <v>0.749</v>
      </c>
      <c r="AG46" s="17">
        <v>105</v>
      </c>
      <c r="AI46" s="17">
        <v>584</v>
      </c>
      <c r="AJ46" s="22">
        <v>0.309</v>
      </c>
      <c r="AK46" s="21">
        <v>42</v>
      </c>
      <c r="AL46" s="21">
        <v>89.4</v>
      </c>
      <c r="AN46" s="17">
        <v>1</v>
      </c>
      <c r="AO46" s="17">
        <v>46</v>
      </c>
      <c r="AP46" s="23">
        <v>2</v>
      </c>
      <c r="AS46" s="35">
        <v>12</v>
      </c>
      <c r="AT46" s="35">
        <v>22.594099363756293</v>
      </c>
      <c r="AU46" s="35">
        <v>3.4059006362437074</v>
      </c>
      <c r="AV46" s="35">
        <v>0.64814791313328612</v>
      </c>
    </row>
    <row r="47" spans="1:48">
      <c r="A47" s="52" t="s">
        <v>41</v>
      </c>
      <c r="B47" s="53" t="s">
        <v>2</v>
      </c>
      <c r="C47" s="53">
        <f t="shared" si="7"/>
        <v>0</v>
      </c>
      <c r="D47" s="53">
        <f t="shared" si="8"/>
        <v>0</v>
      </c>
      <c r="E47" s="53">
        <f t="shared" si="9"/>
        <v>0</v>
      </c>
      <c r="F47" s="53">
        <f t="shared" si="10"/>
        <v>0</v>
      </c>
      <c r="G47" s="53">
        <f t="shared" si="11"/>
        <v>0</v>
      </c>
      <c r="H47" s="53">
        <f t="shared" si="12"/>
        <v>1</v>
      </c>
      <c r="I47" s="54">
        <v>15.5</v>
      </c>
      <c r="J47" s="48">
        <f t="shared" si="13"/>
        <v>1.1903316981702914</v>
      </c>
      <c r="K47" s="53" t="s">
        <v>40</v>
      </c>
      <c r="L47" s="53" t="s">
        <v>19</v>
      </c>
      <c r="M47" s="53">
        <v>23</v>
      </c>
      <c r="N47" s="53">
        <v>160</v>
      </c>
      <c r="O47" s="55">
        <v>4.9000000000000004</v>
      </c>
      <c r="P47" s="53">
        <v>1</v>
      </c>
      <c r="Q47" s="53">
        <v>23</v>
      </c>
      <c r="R47" s="53">
        <v>4</v>
      </c>
      <c r="S47" s="53">
        <v>34</v>
      </c>
      <c r="T47" s="53">
        <v>109</v>
      </c>
      <c r="U47" s="55">
        <v>6.1</v>
      </c>
      <c r="V47" s="57">
        <v>17.600000000000001</v>
      </c>
      <c r="W47" s="53">
        <v>309</v>
      </c>
      <c r="Y47" s="56">
        <v>0.30099999999999999</v>
      </c>
      <c r="Z47" s="53">
        <v>169</v>
      </c>
      <c r="AA47" s="53">
        <v>118</v>
      </c>
      <c r="AB47" s="56">
        <v>0.55000000000000004</v>
      </c>
      <c r="AD47" s="25">
        <v>32</v>
      </c>
      <c r="AE47" s="29">
        <v>0.98099999999999998</v>
      </c>
      <c r="AG47" s="25">
        <v>123</v>
      </c>
      <c r="AI47" s="25">
        <v>563</v>
      </c>
      <c r="AJ47" s="29">
        <v>0.432</v>
      </c>
      <c r="AK47" s="28">
        <v>50.7</v>
      </c>
      <c r="AL47" s="28">
        <v>91.9</v>
      </c>
      <c r="AN47" s="25">
        <v>3</v>
      </c>
      <c r="AO47" s="25">
        <v>130</v>
      </c>
      <c r="AP47" s="30">
        <v>11</v>
      </c>
      <c r="AS47" s="35">
        <v>13</v>
      </c>
      <c r="AT47" s="35">
        <v>22.010967020132128</v>
      </c>
      <c r="AU47" s="35">
        <v>3.3736483644832553</v>
      </c>
      <c r="AV47" s="35">
        <v>0.64201025826077074</v>
      </c>
    </row>
    <row r="48" spans="1:48">
      <c r="A48" s="45" t="s">
        <v>120</v>
      </c>
      <c r="B48" s="46" t="s">
        <v>6</v>
      </c>
      <c r="C48" s="46">
        <f t="shared" si="7"/>
        <v>0</v>
      </c>
      <c r="D48" s="46">
        <f t="shared" si="8"/>
        <v>0</v>
      </c>
      <c r="E48" s="46">
        <f t="shared" si="9"/>
        <v>0</v>
      </c>
      <c r="F48" s="46">
        <f t="shared" si="10"/>
        <v>1</v>
      </c>
      <c r="G48" s="46">
        <f t="shared" si="11"/>
        <v>0</v>
      </c>
      <c r="H48" s="46">
        <f t="shared" si="12"/>
        <v>0</v>
      </c>
      <c r="I48" s="47">
        <f>90/6</f>
        <v>15</v>
      </c>
      <c r="J48" s="48">
        <f t="shared" si="13"/>
        <v>1.1760912590556813</v>
      </c>
      <c r="K48" s="46" t="s">
        <v>1</v>
      </c>
      <c r="L48" s="46" t="s">
        <v>15</v>
      </c>
      <c r="M48" s="46">
        <v>33</v>
      </c>
      <c r="N48" s="46">
        <v>101</v>
      </c>
      <c r="O48" s="49">
        <v>1.8</v>
      </c>
      <c r="P48" s="46">
        <v>6</v>
      </c>
      <c r="Q48" s="46">
        <v>32</v>
      </c>
      <c r="R48" s="46">
        <v>11</v>
      </c>
      <c r="S48" s="46">
        <v>12</v>
      </c>
      <c r="T48" s="46">
        <v>67</v>
      </c>
      <c r="U48" s="49">
        <v>3.3</v>
      </c>
      <c r="V48" s="51">
        <v>14.6</v>
      </c>
      <c r="W48" s="46">
        <v>254</v>
      </c>
      <c r="Y48" s="50">
        <v>0.3</v>
      </c>
      <c r="Z48" s="46">
        <v>181</v>
      </c>
      <c r="AA48" s="46">
        <v>92</v>
      </c>
      <c r="AB48" s="50">
        <v>0.42199999999999999</v>
      </c>
      <c r="AD48" s="17">
        <v>29</v>
      </c>
      <c r="AE48" s="22">
        <v>0.77800000000000002</v>
      </c>
      <c r="AG48" s="17">
        <v>97</v>
      </c>
      <c r="AI48" s="17">
        <v>603</v>
      </c>
      <c r="AJ48" s="22">
        <v>0.35599999999999998</v>
      </c>
      <c r="AK48" s="21">
        <v>47.7</v>
      </c>
      <c r="AL48" s="21">
        <v>91.2</v>
      </c>
      <c r="AN48" s="17">
        <v>4</v>
      </c>
      <c r="AO48" s="17">
        <v>52</v>
      </c>
      <c r="AP48" s="23">
        <v>11</v>
      </c>
      <c r="AS48" s="35">
        <v>14</v>
      </c>
      <c r="AT48" s="35">
        <v>21.869490463342686</v>
      </c>
      <c r="AU48" s="35">
        <v>3.1305095366573141</v>
      </c>
      <c r="AV48" s="35">
        <v>0.59574058081332182</v>
      </c>
    </row>
    <row r="49" spans="1:53">
      <c r="A49" s="52" t="s">
        <v>38</v>
      </c>
      <c r="B49" s="53" t="s">
        <v>32</v>
      </c>
      <c r="C49" s="53">
        <f t="shared" si="7"/>
        <v>0</v>
      </c>
      <c r="D49" s="53">
        <f t="shared" si="8"/>
        <v>0</v>
      </c>
      <c r="E49" s="53">
        <f t="shared" si="9"/>
        <v>1</v>
      </c>
      <c r="F49" s="53">
        <f t="shared" si="10"/>
        <v>0</v>
      </c>
      <c r="G49" s="53">
        <f t="shared" si="11"/>
        <v>0</v>
      </c>
      <c r="H49" s="53">
        <f t="shared" si="12"/>
        <v>0</v>
      </c>
      <c r="I49" s="54">
        <f>60/4</f>
        <v>15</v>
      </c>
      <c r="J49" s="48">
        <f t="shared" si="13"/>
        <v>1.1760912590556813</v>
      </c>
      <c r="K49" s="53" t="s">
        <v>1</v>
      </c>
      <c r="L49" s="53" t="s">
        <v>27</v>
      </c>
      <c r="M49" s="53">
        <v>31</v>
      </c>
      <c r="N49" s="53">
        <v>109</v>
      </c>
      <c r="O49" s="55">
        <v>2.9</v>
      </c>
      <c r="P49" s="53">
        <v>4</v>
      </c>
      <c r="Q49" s="53">
        <v>31</v>
      </c>
      <c r="R49" s="53">
        <v>8</v>
      </c>
      <c r="S49" s="53">
        <v>17</v>
      </c>
      <c r="T49" s="53">
        <v>67</v>
      </c>
      <c r="U49" s="55">
        <v>3.3</v>
      </c>
      <c r="V49" s="57">
        <v>27.5</v>
      </c>
      <c r="W49" s="53">
        <v>232</v>
      </c>
      <c r="Y49" s="56">
        <v>0.26100000000000001</v>
      </c>
      <c r="Z49" s="53">
        <v>137</v>
      </c>
      <c r="AA49" s="53">
        <v>82</v>
      </c>
      <c r="AB49" s="56">
        <v>0.443</v>
      </c>
      <c r="AD49" s="25">
        <v>32</v>
      </c>
      <c r="AE49" s="29">
        <v>0.77900000000000003</v>
      </c>
      <c r="AG49" s="25">
        <v>162</v>
      </c>
      <c r="AI49" s="25">
        <v>523</v>
      </c>
      <c r="AJ49" s="29">
        <v>0.33700000000000002</v>
      </c>
      <c r="AK49" s="28">
        <v>38.200000000000003</v>
      </c>
      <c r="AL49" s="28">
        <v>87.5</v>
      </c>
      <c r="AN49" s="25">
        <v>6</v>
      </c>
      <c r="AO49" s="25">
        <v>55</v>
      </c>
      <c r="AP49" s="30">
        <v>13</v>
      </c>
      <c r="AS49" s="35">
        <v>15</v>
      </c>
      <c r="AT49" s="35">
        <v>21.656692215346176</v>
      </c>
      <c r="AU49" s="35">
        <v>3.3433077846538239</v>
      </c>
      <c r="AV49" s="35">
        <v>0.63623640118154945</v>
      </c>
    </row>
    <row r="50" spans="1:53">
      <c r="A50" s="45" t="s">
        <v>39</v>
      </c>
      <c r="B50" s="46" t="s">
        <v>9</v>
      </c>
      <c r="C50" s="46">
        <f t="shared" si="7"/>
        <v>0</v>
      </c>
      <c r="D50" s="46">
        <f t="shared" si="8"/>
        <v>0</v>
      </c>
      <c r="E50" s="46">
        <f t="shared" si="9"/>
        <v>0</v>
      </c>
      <c r="F50" s="46">
        <f t="shared" si="10"/>
        <v>0</v>
      </c>
      <c r="G50" s="46">
        <f t="shared" si="11"/>
        <v>1</v>
      </c>
      <c r="H50" s="46">
        <f t="shared" si="12"/>
        <v>0</v>
      </c>
      <c r="I50" s="47">
        <f>28/2</f>
        <v>14</v>
      </c>
      <c r="J50" s="48">
        <f t="shared" si="13"/>
        <v>1.146128035678238</v>
      </c>
      <c r="K50" s="46" t="s">
        <v>13</v>
      </c>
      <c r="L50" s="46" t="s">
        <v>31</v>
      </c>
      <c r="M50" s="46">
        <v>32</v>
      </c>
      <c r="N50" s="46">
        <v>97</v>
      </c>
      <c r="O50" s="49">
        <v>3.3</v>
      </c>
      <c r="P50" s="46">
        <v>2</v>
      </c>
      <c r="Q50" s="46">
        <v>31</v>
      </c>
      <c r="R50" s="46">
        <v>10</v>
      </c>
      <c r="S50" s="46">
        <v>21</v>
      </c>
      <c r="T50" s="46">
        <v>82</v>
      </c>
      <c r="U50" s="49">
        <v>2.9</v>
      </c>
      <c r="V50" s="51">
        <v>14.3</v>
      </c>
      <c r="W50" s="46">
        <v>251</v>
      </c>
      <c r="Y50" s="50">
        <v>0.25900000000000001</v>
      </c>
      <c r="Z50" s="46">
        <v>152</v>
      </c>
      <c r="AA50" s="46">
        <v>78</v>
      </c>
      <c r="AB50" s="50">
        <v>0.42699999999999999</v>
      </c>
      <c r="AD50" s="17">
        <v>27</v>
      </c>
      <c r="AE50" s="22">
        <v>0.73699999999999999</v>
      </c>
      <c r="AG50" s="17">
        <v>92</v>
      </c>
      <c r="AI50" s="17">
        <v>588</v>
      </c>
      <c r="AJ50" s="22">
        <v>0.31</v>
      </c>
      <c r="AK50" s="21">
        <v>29.4</v>
      </c>
      <c r="AL50" s="21">
        <v>85.9</v>
      </c>
      <c r="AN50" s="17">
        <v>4</v>
      </c>
      <c r="AO50" s="17">
        <v>39</v>
      </c>
      <c r="AP50" s="23">
        <v>6</v>
      </c>
      <c r="AS50" s="35">
        <v>16</v>
      </c>
      <c r="AT50" s="35">
        <v>19.627936198975068</v>
      </c>
      <c r="AU50" s="35">
        <v>5.3720638010249324</v>
      </c>
      <c r="AV50" s="35">
        <v>1.0223116625308484</v>
      </c>
    </row>
    <row r="51" spans="1:53">
      <c r="A51" s="52" t="s">
        <v>33</v>
      </c>
      <c r="B51" s="53" t="s">
        <v>32</v>
      </c>
      <c r="C51" s="53">
        <f t="shared" si="7"/>
        <v>0</v>
      </c>
      <c r="D51" s="53">
        <f t="shared" si="8"/>
        <v>0</v>
      </c>
      <c r="E51" s="53">
        <f t="shared" si="9"/>
        <v>1</v>
      </c>
      <c r="F51" s="53">
        <f t="shared" si="10"/>
        <v>0</v>
      </c>
      <c r="G51" s="53">
        <f t="shared" si="11"/>
        <v>0</v>
      </c>
      <c r="H51" s="53">
        <f t="shared" si="12"/>
        <v>0</v>
      </c>
      <c r="I51" s="54">
        <f>70/5</f>
        <v>14</v>
      </c>
      <c r="J51" s="48">
        <f t="shared" si="13"/>
        <v>1.146128035678238</v>
      </c>
      <c r="K51" s="53" t="s">
        <v>1</v>
      </c>
      <c r="L51" s="53" t="s">
        <v>31</v>
      </c>
      <c r="M51" s="53">
        <v>32</v>
      </c>
      <c r="N51" s="53">
        <v>99</v>
      </c>
      <c r="O51" s="55">
        <v>1.9</v>
      </c>
      <c r="P51" s="53">
        <v>5</v>
      </c>
      <c r="Q51" s="53">
        <v>29</v>
      </c>
      <c r="R51" s="53">
        <v>10</v>
      </c>
      <c r="S51" s="53">
        <v>13</v>
      </c>
      <c r="T51" s="53">
        <v>60</v>
      </c>
      <c r="U51" s="55">
        <v>3.5</v>
      </c>
      <c r="V51" s="57">
        <v>13.8</v>
      </c>
      <c r="W51" s="53">
        <v>261</v>
      </c>
      <c r="Y51" s="56">
        <v>0.28499999999999998</v>
      </c>
      <c r="Z51" s="53">
        <v>182</v>
      </c>
      <c r="AA51" s="53">
        <v>88</v>
      </c>
      <c r="AB51" s="56">
        <v>0.41</v>
      </c>
      <c r="AD51" s="25">
        <v>29</v>
      </c>
      <c r="AE51" s="29">
        <v>0.74</v>
      </c>
      <c r="AG51" s="25">
        <v>95</v>
      </c>
      <c r="AI51" s="25">
        <v>638</v>
      </c>
      <c r="AJ51" s="29">
        <v>0.33</v>
      </c>
      <c r="AK51" s="28">
        <v>37.299999999999997</v>
      </c>
      <c r="AL51" s="28">
        <v>88.1</v>
      </c>
      <c r="AN51" s="25">
        <v>6</v>
      </c>
      <c r="AO51" s="25">
        <v>36</v>
      </c>
      <c r="AP51" s="30">
        <v>25</v>
      </c>
      <c r="AS51" s="35">
        <v>17</v>
      </c>
      <c r="AT51" s="35">
        <v>24.470315093271104</v>
      </c>
      <c r="AU51" s="35">
        <v>-0.47031509327110399</v>
      </c>
      <c r="AV51" s="35">
        <v>-8.9501655736776653E-2</v>
      </c>
    </row>
    <row r="52" spans="1:53">
      <c r="A52" s="45" t="s">
        <v>30</v>
      </c>
      <c r="B52" s="46" t="s">
        <v>6</v>
      </c>
      <c r="C52" s="46">
        <f t="shared" si="7"/>
        <v>0</v>
      </c>
      <c r="D52" s="46">
        <f t="shared" si="8"/>
        <v>0</v>
      </c>
      <c r="E52" s="46">
        <f t="shared" si="9"/>
        <v>0</v>
      </c>
      <c r="F52" s="46">
        <f t="shared" si="10"/>
        <v>1</v>
      </c>
      <c r="G52" s="46">
        <f t="shared" si="11"/>
        <v>0</v>
      </c>
      <c r="H52" s="46">
        <f t="shared" si="12"/>
        <v>0</v>
      </c>
      <c r="I52" s="47">
        <f>70/5</f>
        <v>14</v>
      </c>
      <c r="J52" s="48">
        <f t="shared" si="13"/>
        <v>1.146128035678238</v>
      </c>
      <c r="K52" s="46" t="s">
        <v>5</v>
      </c>
      <c r="L52" s="46" t="s">
        <v>29</v>
      </c>
      <c r="M52" s="46">
        <v>27</v>
      </c>
      <c r="N52" s="46">
        <v>113</v>
      </c>
      <c r="O52" s="49">
        <v>3</v>
      </c>
      <c r="P52" s="46">
        <v>5</v>
      </c>
      <c r="Q52" s="46">
        <v>25</v>
      </c>
      <c r="R52" s="46">
        <v>6</v>
      </c>
      <c r="S52" s="46">
        <v>21</v>
      </c>
      <c r="T52" s="46">
        <v>75</v>
      </c>
      <c r="U52" s="49">
        <v>3.8</v>
      </c>
      <c r="V52" s="51">
        <v>29.7</v>
      </c>
      <c r="W52" s="46">
        <v>267</v>
      </c>
      <c r="Y52" s="50">
        <v>0.26100000000000001</v>
      </c>
      <c r="Z52" s="46">
        <v>159</v>
      </c>
      <c r="AA52" s="46">
        <v>88</v>
      </c>
      <c r="AB52" s="50">
        <v>0.439</v>
      </c>
      <c r="AD52" s="17">
        <v>35</v>
      </c>
      <c r="AE52" s="22">
        <v>0.78400000000000003</v>
      </c>
      <c r="AG52" s="17">
        <v>206</v>
      </c>
      <c r="AI52" s="17">
        <v>609</v>
      </c>
      <c r="AJ52" s="22">
        <v>0.34599999999999997</v>
      </c>
      <c r="AK52" s="21">
        <v>44.4</v>
      </c>
      <c r="AL52" s="21">
        <v>91.1</v>
      </c>
      <c r="AN52" s="17">
        <v>5</v>
      </c>
      <c r="AO52" s="17">
        <v>75</v>
      </c>
      <c r="AP52" s="23">
        <v>8</v>
      </c>
      <c r="AS52" s="35">
        <v>18</v>
      </c>
      <c r="AT52" s="35">
        <v>22.975274035939549</v>
      </c>
      <c r="AU52" s="35">
        <v>0.38186882120330878</v>
      </c>
      <c r="AV52" s="35">
        <v>7.267019974680268E-2</v>
      </c>
    </row>
    <row r="53" spans="1:53">
      <c r="A53" s="52" t="s">
        <v>68</v>
      </c>
      <c r="B53" s="53" t="s">
        <v>2</v>
      </c>
      <c r="C53" s="53">
        <f t="shared" si="7"/>
        <v>0</v>
      </c>
      <c r="D53" s="53">
        <f t="shared" si="8"/>
        <v>0</v>
      </c>
      <c r="E53" s="53">
        <f t="shared" si="9"/>
        <v>0</v>
      </c>
      <c r="F53" s="53">
        <f t="shared" si="10"/>
        <v>0</v>
      </c>
      <c r="G53" s="53">
        <f t="shared" si="11"/>
        <v>0</v>
      </c>
      <c r="H53" s="53">
        <f t="shared" si="12"/>
        <v>1</v>
      </c>
      <c r="I53" s="54">
        <f>83/6</f>
        <v>13.833333333333334</v>
      </c>
      <c r="J53" s="48">
        <f t="shared" si="13"/>
        <v>1.1409268419924303</v>
      </c>
      <c r="K53" s="53" t="s">
        <v>1</v>
      </c>
      <c r="L53" s="53" t="s">
        <v>64</v>
      </c>
      <c r="M53" s="53">
        <v>31</v>
      </c>
      <c r="N53" s="53">
        <v>111</v>
      </c>
      <c r="O53" s="55">
        <v>3.8</v>
      </c>
      <c r="P53" s="53">
        <v>6</v>
      </c>
      <c r="Q53" s="53">
        <v>26</v>
      </c>
      <c r="R53" s="53">
        <v>9</v>
      </c>
      <c r="S53" s="53">
        <v>24</v>
      </c>
      <c r="T53" s="53">
        <v>79</v>
      </c>
      <c r="U53" s="55">
        <v>2</v>
      </c>
      <c r="V53" s="57">
        <v>26.8</v>
      </c>
      <c r="W53" s="53">
        <v>252</v>
      </c>
      <c r="Y53" s="56">
        <v>0.254</v>
      </c>
      <c r="Z53" s="53">
        <v>143</v>
      </c>
      <c r="AA53" s="53">
        <v>81</v>
      </c>
      <c r="AB53" s="56">
        <v>0.44600000000000001</v>
      </c>
      <c r="AD53" s="25">
        <v>32</v>
      </c>
      <c r="AE53" s="29">
        <v>0.77500000000000002</v>
      </c>
      <c r="AG53" s="25">
        <v>170</v>
      </c>
      <c r="AI53" s="25">
        <v>565</v>
      </c>
      <c r="AJ53" s="29">
        <v>0.33</v>
      </c>
      <c r="AK53" s="28">
        <v>45</v>
      </c>
      <c r="AL53" s="28">
        <v>89.4</v>
      </c>
      <c r="AN53" s="25">
        <v>2</v>
      </c>
      <c r="AO53" s="25">
        <v>63</v>
      </c>
      <c r="AP53" s="30">
        <v>17</v>
      </c>
      <c r="AS53" s="35">
        <v>19</v>
      </c>
      <c r="AT53" s="35">
        <v>16.204763392488722</v>
      </c>
      <c r="AU53" s="35">
        <v>7.1285699408446099</v>
      </c>
      <c r="AV53" s="35">
        <v>1.3565773709355211</v>
      </c>
    </row>
    <row r="54" spans="1:53">
      <c r="A54" s="45" t="s">
        <v>24</v>
      </c>
      <c r="B54" s="46" t="s">
        <v>2</v>
      </c>
      <c r="C54" s="46">
        <f t="shared" si="7"/>
        <v>0</v>
      </c>
      <c r="D54" s="46">
        <f t="shared" si="8"/>
        <v>0</v>
      </c>
      <c r="E54" s="46">
        <f t="shared" si="9"/>
        <v>0</v>
      </c>
      <c r="F54" s="46">
        <f t="shared" si="10"/>
        <v>0</v>
      </c>
      <c r="G54" s="46">
        <f t="shared" si="11"/>
        <v>0</v>
      </c>
      <c r="H54" s="46">
        <f t="shared" si="12"/>
        <v>1</v>
      </c>
      <c r="I54" s="47">
        <f>26.5/2</f>
        <v>13.25</v>
      </c>
      <c r="J54" s="48">
        <f t="shared" si="13"/>
        <v>1.1222158782728267</v>
      </c>
      <c r="K54" s="46" t="s">
        <v>1</v>
      </c>
      <c r="L54" s="46" t="s">
        <v>4</v>
      </c>
      <c r="M54" s="46">
        <v>33</v>
      </c>
      <c r="N54" s="46">
        <v>114</v>
      </c>
      <c r="O54" s="49">
        <v>3.6</v>
      </c>
      <c r="P54" s="46">
        <v>2</v>
      </c>
      <c r="Q54" s="46">
        <v>33</v>
      </c>
      <c r="R54" s="46">
        <v>7</v>
      </c>
      <c r="S54" s="46">
        <v>22</v>
      </c>
      <c r="T54" s="46">
        <v>74</v>
      </c>
      <c r="U54" s="49">
        <v>2.5</v>
      </c>
      <c r="V54" s="51">
        <v>22</v>
      </c>
      <c r="W54" s="46">
        <v>232</v>
      </c>
      <c r="Y54" s="50">
        <v>0.24399999999999999</v>
      </c>
      <c r="Z54" s="46">
        <v>131</v>
      </c>
      <c r="AA54" s="46">
        <v>87</v>
      </c>
      <c r="AB54" s="50">
        <v>0.43099999999999999</v>
      </c>
      <c r="AD54" s="17">
        <v>27</v>
      </c>
      <c r="AE54" s="22">
        <v>0.77600000000000002</v>
      </c>
      <c r="AG54" s="17">
        <v>138</v>
      </c>
      <c r="AI54" s="17">
        <v>537</v>
      </c>
      <c r="AJ54" s="22">
        <v>0.34399999999999997</v>
      </c>
      <c r="AK54" s="21">
        <v>40.200000000000003</v>
      </c>
      <c r="AL54" s="21">
        <v>88.9</v>
      </c>
      <c r="AN54" s="17">
        <v>3</v>
      </c>
      <c r="AO54" s="17">
        <v>64</v>
      </c>
      <c r="AP54" s="23">
        <v>7</v>
      </c>
      <c r="AS54" s="35">
        <v>20</v>
      </c>
      <c r="AT54" s="35">
        <v>22.575542748841599</v>
      </c>
      <c r="AU54" s="35">
        <v>0.75745725115839946</v>
      </c>
      <c r="AV54" s="35">
        <v>0.14414523177853</v>
      </c>
    </row>
    <row r="55" spans="1:53">
      <c r="A55" s="52" t="s">
        <v>23</v>
      </c>
      <c r="B55" s="53" t="s">
        <v>2</v>
      </c>
      <c r="C55" s="53">
        <f t="shared" si="7"/>
        <v>0</v>
      </c>
      <c r="D55" s="53">
        <f t="shared" si="8"/>
        <v>0</v>
      </c>
      <c r="E55" s="53">
        <f t="shared" si="9"/>
        <v>0</v>
      </c>
      <c r="F55" s="53">
        <f t="shared" si="10"/>
        <v>0</v>
      </c>
      <c r="G55" s="53">
        <f t="shared" si="11"/>
        <v>0</v>
      </c>
      <c r="H55" s="53">
        <f t="shared" si="12"/>
        <v>1</v>
      </c>
      <c r="I55" s="54">
        <f>53/4</f>
        <v>13.25</v>
      </c>
      <c r="J55" s="48">
        <f t="shared" si="13"/>
        <v>1.1222158782728267</v>
      </c>
      <c r="K55" s="53" t="s">
        <v>1</v>
      </c>
      <c r="L55" s="53" t="s">
        <v>22</v>
      </c>
      <c r="M55" s="53">
        <v>31</v>
      </c>
      <c r="N55" s="53">
        <v>105</v>
      </c>
      <c r="O55" s="55">
        <v>3.4</v>
      </c>
      <c r="P55" s="53">
        <v>4</v>
      </c>
      <c r="Q55" s="53">
        <v>31</v>
      </c>
      <c r="R55" s="53">
        <v>10</v>
      </c>
      <c r="S55" s="53">
        <v>22</v>
      </c>
      <c r="T55" s="53">
        <v>81</v>
      </c>
      <c r="U55" s="55">
        <v>1.9</v>
      </c>
      <c r="V55" s="57">
        <v>23.4</v>
      </c>
      <c r="W55" s="53">
        <v>252</v>
      </c>
      <c r="Y55" s="56">
        <v>0.27</v>
      </c>
      <c r="Z55" s="53">
        <v>158</v>
      </c>
      <c r="AA55" s="53">
        <v>77</v>
      </c>
      <c r="AB55" s="56">
        <v>0.43099999999999999</v>
      </c>
      <c r="AD55" s="25">
        <v>24</v>
      </c>
      <c r="AE55" s="29">
        <v>0.75600000000000001</v>
      </c>
      <c r="AG55" s="25">
        <v>149</v>
      </c>
      <c r="AI55" s="25">
        <v>585</v>
      </c>
      <c r="AJ55" s="29">
        <v>0.32500000000000001</v>
      </c>
      <c r="AK55" s="28">
        <v>44.1</v>
      </c>
      <c r="AL55" s="28">
        <v>90.1</v>
      </c>
      <c r="AN55" s="25">
        <v>3</v>
      </c>
      <c r="AO55" s="25">
        <v>41</v>
      </c>
      <c r="AP55" s="30">
        <v>8</v>
      </c>
      <c r="AS55" s="35">
        <v>21</v>
      </c>
      <c r="AT55" s="35">
        <v>18.850481246892656</v>
      </c>
      <c r="AU55" s="35">
        <v>4.2495187531073455</v>
      </c>
      <c r="AV55" s="35">
        <v>0.80868968470112668</v>
      </c>
    </row>
    <row r="56" spans="1:53">
      <c r="A56" s="45" t="s">
        <v>44</v>
      </c>
      <c r="B56" s="46" t="s">
        <v>9</v>
      </c>
      <c r="C56" s="46">
        <f t="shared" si="7"/>
        <v>0</v>
      </c>
      <c r="D56" s="46">
        <f t="shared" si="8"/>
        <v>0</v>
      </c>
      <c r="E56" s="46">
        <f t="shared" si="9"/>
        <v>0</v>
      </c>
      <c r="F56" s="46">
        <f t="shared" si="10"/>
        <v>0</v>
      </c>
      <c r="G56" s="46">
        <f t="shared" si="11"/>
        <v>1</v>
      </c>
      <c r="H56" s="46">
        <f t="shared" si="12"/>
        <v>0</v>
      </c>
      <c r="I56" s="47">
        <f>75/6</f>
        <v>12.5</v>
      </c>
      <c r="J56" s="48">
        <f t="shared" si="13"/>
        <v>1.0969100130080565</v>
      </c>
      <c r="K56" s="46" t="s">
        <v>13</v>
      </c>
      <c r="L56" s="46" t="s">
        <v>43</v>
      </c>
      <c r="M56" s="46">
        <v>35</v>
      </c>
      <c r="N56" s="46">
        <v>100</v>
      </c>
      <c r="O56" s="49">
        <v>2.4</v>
      </c>
      <c r="P56" s="46">
        <v>6</v>
      </c>
      <c r="Q56" s="46">
        <v>29</v>
      </c>
      <c r="R56" s="46">
        <v>11</v>
      </c>
      <c r="S56" s="46">
        <v>15</v>
      </c>
      <c r="T56" s="46">
        <v>73</v>
      </c>
      <c r="U56" s="49">
        <v>3.4</v>
      </c>
      <c r="V56" s="51">
        <v>20</v>
      </c>
      <c r="W56" s="46">
        <v>222</v>
      </c>
      <c r="Y56" s="50">
        <v>0.254</v>
      </c>
      <c r="Z56" s="46">
        <v>140</v>
      </c>
      <c r="AA56" s="46">
        <v>66</v>
      </c>
      <c r="AB56" s="50">
        <v>0.40500000000000003</v>
      </c>
      <c r="AD56" s="17">
        <v>30</v>
      </c>
      <c r="AE56" s="22">
        <v>0.72699999999999998</v>
      </c>
      <c r="AG56" s="17">
        <v>122</v>
      </c>
      <c r="AI56" s="17">
        <v>548</v>
      </c>
      <c r="AJ56" s="22">
        <v>0.32200000000000001</v>
      </c>
      <c r="AK56" s="21">
        <v>40.6</v>
      </c>
      <c r="AL56" s="21">
        <v>88.7</v>
      </c>
      <c r="AN56" s="17">
        <v>5</v>
      </c>
      <c r="AO56" s="17">
        <v>53</v>
      </c>
      <c r="AP56" s="23">
        <v>5</v>
      </c>
      <c r="AS56" s="35">
        <v>22</v>
      </c>
      <c r="AT56" s="35">
        <v>16.91315353546036</v>
      </c>
      <c r="AU56" s="35">
        <v>6.0868464645396401</v>
      </c>
      <c r="AV56" s="35">
        <v>1.1583358573564075</v>
      </c>
    </row>
    <row r="57" spans="1:53">
      <c r="A57" s="52" t="s">
        <v>37</v>
      </c>
      <c r="B57" s="53" t="s">
        <v>2</v>
      </c>
      <c r="C57" s="53">
        <f t="shared" si="7"/>
        <v>0</v>
      </c>
      <c r="D57" s="53">
        <f t="shared" si="8"/>
        <v>0</v>
      </c>
      <c r="E57" s="53">
        <f t="shared" si="9"/>
        <v>0</v>
      </c>
      <c r="F57" s="53">
        <f t="shared" si="10"/>
        <v>0</v>
      </c>
      <c r="G57" s="53">
        <f t="shared" si="11"/>
        <v>0</v>
      </c>
      <c r="H57" s="53">
        <f t="shared" si="12"/>
        <v>1</v>
      </c>
      <c r="I57" s="54">
        <f>100/8</f>
        <v>12.5</v>
      </c>
      <c r="J57" s="48">
        <f t="shared" si="13"/>
        <v>1.0969100130080565</v>
      </c>
      <c r="K57" s="53" t="s">
        <v>1</v>
      </c>
      <c r="L57" s="53" t="s">
        <v>8</v>
      </c>
      <c r="M57" s="53">
        <v>24</v>
      </c>
      <c r="N57" s="53">
        <v>138</v>
      </c>
      <c r="O57" s="55">
        <v>6</v>
      </c>
      <c r="P57" s="53">
        <v>8</v>
      </c>
      <c r="Q57" s="53">
        <v>21</v>
      </c>
      <c r="R57" s="53">
        <v>4</v>
      </c>
      <c r="S57" s="53">
        <v>43</v>
      </c>
      <c r="T57" s="53">
        <v>101</v>
      </c>
      <c r="U57" s="55">
        <v>6.1</v>
      </c>
      <c r="V57" s="57">
        <v>25.9</v>
      </c>
      <c r="W57" s="53">
        <v>342</v>
      </c>
      <c r="Y57" s="56">
        <v>0.28100000000000003</v>
      </c>
      <c r="Z57" s="53">
        <v>175</v>
      </c>
      <c r="AA57" s="53">
        <v>132</v>
      </c>
      <c r="AB57" s="56">
        <v>0.54900000000000004</v>
      </c>
      <c r="AD57" s="25">
        <v>32</v>
      </c>
      <c r="AE57" s="29">
        <v>0.92500000000000004</v>
      </c>
      <c r="AG57" s="25">
        <v>187</v>
      </c>
      <c r="AI57" s="25">
        <v>622</v>
      </c>
      <c r="AJ57" s="29">
        <v>0.376</v>
      </c>
      <c r="AK57" s="28">
        <v>51.9</v>
      </c>
      <c r="AL57" s="28">
        <v>91.9</v>
      </c>
      <c r="AN57" s="25">
        <v>3</v>
      </c>
      <c r="AO57" s="25">
        <v>85</v>
      </c>
      <c r="AP57" s="30">
        <v>32</v>
      </c>
      <c r="AS57" s="35">
        <v>23</v>
      </c>
      <c r="AT57" s="35">
        <v>23.810681445560675</v>
      </c>
      <c r="AU57" s="35">
        <v>-0.81068144556067523</v>
      </c>
      <c r="AV57" s="35">
        <v>-0.15427387445322691</v>
      </c>
    </row>
    <row r="58" spans="1:53">
      <c r="A58" s="45" t="s">
        <v>28</v>
      </c>
      <c r="B58" s="46" t="s">
        <v>2</v>
      </c>
      <c r="C58" s="46">
        <f t="shared" si="7"/>
        <v>0</v>
      </c>
      <c r="D58" s="46">
        <f t="shared" si="8"/>
        <v>0</v>
      </c>
      <c r="E58" s="46">
        <f t="shared" si="9"/>
        <v>0</v>
      </c>
      <c r="F58" s="46">
        <f t="shared" si="10"/>
        <v>0</v>
      </c>
      <c r="G58" s="46">
        <f t="shared" si="11"/>
        <v>0</v>
      </c>
      <c r="H58" s="46">
        <f t="shared" si="12"/>
        <v>1</v>
      </c>
      <c r="I58" s="47">
        <f>60/5</f>
        <v>12</v>
      </c>
      <c r="J58" s="48">
        <f t="shared" si="13"/>
        <v>1.0791812460476249</v>
      </c>
      <c r="K58" s="46" t="s">
        <v>1</v>
      </c>
      <c r="L58" s="46" t="s">
        <v>27</v>
      </c>
      <c r="M58" s="46">
        <v>34</v>
      </c>
      <c r="N58" s="46">
        <v>116</v>
      </c>
      <c r="O58" s="49">
        <v>3.6</v>
      </c>
      <c r="P58" s="46">
        <v>5</v>
      </c>
      <c r="Q58" s="46">
        <v>31</v>
      </c>
      <c r="R58" s="46">
        <v>10</v>
      </c>
      <c r="S58" s="46">
        <v>23</v>
      </c>
      <c r="T58" s="46">
        <v>75</v>
      </c>
      <c r="U58" s="49">
        <v>4.0999999999999996</v>
      </c>
      <c r="V58" s="51">
        <v>17.399999999999999</v>
      </c>
      <c r="W58" s="46">
        <v>276</v>
      </c>
      <c r="Y58" s="50">
        <v>0.28100000000000003</v>
      </c>
      <c r="Z58" s="46">
        <v>161</v>
      </c>
      <c r="AA58" s="46">
        <v>90</v>
      </c>
      <c r="AB58" s="50">
        <v>0.48199999999999998</v>
      </c>
      <c r="AD58" s="17">
        <v>35</v>
      </c>
      <c r="AE58" s="22">
        <v>0.81899999999999995</v>
      </c>
      <c r="AG58" s="17">
        <v>110</v>
      </c>
      <c r="AI58" s="17">
        <v>573</v>
      </c>
      <c r="AJ58" s="22">
        <v>0.33800000000000002</v>
      </c>
      <c r="AK58" s="21">
        <v>44.7</v>
      </c>
      <c r="AL58" s="21">
        <v>89.7</v>
      </c>
      <c r="AN58" s="17">
        <v>6</v>
      </c>
      <c r="AO58" s="17">
        <v>45</v>
      </c>
      <c r="AP58" s="23">
        <v>22</v>
      </c>
      <c r="AS58" s="35">
        <v>24</v>
      </c>
      <c r="AT58" s="35">
        <v>23.824137381916007</v>
      </c>
      <c r="AU58" s="35">
        <v>-1.3241373819160067</v>
      </c>
      <c r="AV58" s="35">
        <v>-0.25198529624080973</v>
      </c>
    </row>
    <row r="59" spans="1:53">
      <c r="A59" s="52" t="s">
        <v>21</v>
      </c>
      <c r="B59" s="53" t="s">
        <v>6</v>
      </c>
      <c r="C59" s="53">
        <f t="shared" si="7"/>
        <v>0</v>
      </c>
      <c r="D59" s="53">
        <f t="shared" si="8"/>
        <v>0</v>
      </c>
      <c r="E59" s="53">
        <f t="shared" si="9"/>
        <v>0</v>
      </c>
      <c r="F59" s="53">
        <f t="shared" si="10"/>
        <v>1</v>
      </c>
      <c r="G59" s="53">
        <f t="shared" si="11"/>
        <v>0</v>
      </c>
      <c r="H59" s="53">
        <f t="shared" si="12"/>
        <v>0</v>
      </c>
      <c r="I59" s="54">
        <v>12</v>
      </c>
      <c r="J59" s="48">
        <f t="shared" si="13"/>
        <v>1.0791812460476249</v>
      </c>
      <c r="K59" s="53" t="s">
        <v>5</v>
      </c>
      <c r="L59" s="53" t="s">
        <v>20</v>
      </c>
      <c r="M59" s="53">
        <v>29</v>
      </c>
      <c r="N59" s="53">
        <v>126</v>
      </c>
      <c r="O59" s="55">
        <v>4.0999999999999996</v>
      </c>
      <c r="P59" s="53">
        <v>1</v>
      </c>
      <c r="Q59" s="53">
        <v>29</v>
      </c>
      <c r="R59" s="53">
        <v>9</v>
      </c>
      <c r="S59" s="53">
        <v>27</v>
      </c>
      <c r="T59" s="53">
        <v>89</v>
      </c>
      <c r="U59" s="55">
        <v>5.7</v>
      </c>
      <c r="V59" s="57">
        <v>12.2</v>
      </c>
      <c r="W59" s="53">
        <v>294</v>
      </c>
      <c r="Y59" s="56">
        <v>0.27800000000000002</v>
      </c>
      <c r="Z59" s="53">
        <v>163</v>
      </c>
      <c r="AA59" s="53">
        <v>100</v>
      </c>
      <c r="AB59" s="56">
        <v>0.501</v>
      </c>
      <c r="AD59" s="25">
        <v>40</v>
      </c>
      <c r="AE59" s="29">
        <v>0.85499999999999998</v>
      </c>
      <c r="AG59" s="25">
        <v>81</v>
      </c>
      <c r="AI59" s="25">
        <v>586</v>
      </c>
      <c r="AJ59" s="29">
        <v>0.35399999999999998</v>
      </c>
      <c r="AK59" s="28">
        <v>37.6</v>
      </c>
      <c r="AL59" s="28">
        <v>89</v>
      </c>
      <c r="AN59" s="25">
        <v>5</v>
      </c>
      <c r="AO59" s="25">
        <v>67</v>
      </c>
      <c r="AP59" s="30">
        <v>25</v>
      </c>
      <c r="AS59" s="35">
        <v>25</v>
      </c>
      <c r="AT59" s="35">
        <v>20.414909963280603</v>
      </c>
      <c r="AU59" s="35">
        <v>1.5850900367193965</v>
      </c>
      <c r="AV59" s="35">
        <v>0.30164497122884582</v>
      </c>
    </row>
    <row r="60" spans="1:53">
      <c r="A60" s="45" t="s">
        <v>36</v>
      </c>
      <c r="B60" s="46" t="s">
        <v>35</v>
      </c>
      <c r="C60" s="46">
        <f t="shared" si="7"/>
        <v>0</v>
      </c>
      <c r="D60" s="46">
        <f t="shared" si="8"/>
        <v>1</v>
      </c>
      <c r="E60" s="46">
        <f t="shared" si="9"/>
        <v>0</v>
      </c>
      <c r="F60" s="46">
        <f t="shared" si="10"/>
        <v>0</v>
      </c>
      <c r="G60" s="46">
        <f t="shared" si="11"/>
        <v>0</v>
      </c>
      <c r="H60" s="46">
        <f t="shared" si="12"/>
        <v>0</v>
      </c>
      <c r="I60" s="47">
        <v>21</v>
      </c>
      <c r="J60" s="48">
        <f t="shared" si="13"/>
        <v>1.3222192947339193</v>
      </c>
      <c r="K60" s="46" t="s">
        <v>13</v>
      </c>
      <c r="L60" s="46" t="s">
        <v>34</v>
      </c>
      <c r="M60" s="46">
        <v>28</v>
      </c>
      <c r="N60" s="46">
        <v>134</v>
      </c>
      <c r="O60" s="49">
        <v>6</v>
      </c>
      <c r="P60" s="46">
        <v>1</v>
      </c>
      <c r="Q60" s="46">
        <v>28</v>
      </c>
      <c r="R60" s="46">
        <v>6</v>
      </c>
      <c r="S60" s="46">
        <v>40</v>
      </c>
      <c r="T60" s="46">
        <v>105</v>
      </c>
      <c r="U60" s="49">
        <v>5.0999999999999996</v>
      </c>
      <c r="V60" s="51">
        <v>23.4</v>
      </c>
      <c r="W60" s="46">
        <v>295</v>
      </c>
      <c r="Y60" s="50">
        <v>0.252</v>
      </c>
      <c r="Z60" s="46">
        <v>146</v>
      </c>
      <c r="AA60" s="46">
        <v>91</v>
      </c>
      <c r="AB60" s="50">
        <v>0.51100000000000001</v>
      </c>
      <c r="AD60" s="17">
        <v>28</v>
      </c>
      <c r="AE60" s="22">
        <v>0.85899999999999999</v>
      </c>
      <c r="AG60" s="17">
        <v>156</v>
      </c>
      <c r="AI60" s="17">
        <v>577</v>
      </c>
      <c r="AJ60" s="22">
        <v>0.34799999999999998</v>
      </c>
      <c r="AK60" s="21">
        <v>52.1</v>
      </c>
      <c r="AL60" s="21">
        <v>92.6</v>
      </c>
      <c r="AN60" s="17">
        <v>0</v>
      </c>
      <c r="AO60" s="17">
        <v>77</v>
      </c>
      <c r="AP60" s="23">
        <v>2</v>
      </c>
      <c r="AS60" s="35">
        <v>26</v>
      </c>
      <c r="AT60" s="35">
        <v>16.513085563852098</v>
      </c>
      <c r="AU60" s="35">
        <v>4.6869144361479016</v>
      </c>
      <c r="AV60" s="35">
        <v>0.89192672813082208</v>
      </c>
    </row>
    <row r="61" spans="1:53">
      <c r="A61" s="52" t="s">
        <v>18</v>
      </c>
      <c r="B61" s="53" t="s">
        <v>6</v>
      </c>
      <c r="C61" s="53">
        <f t="shared" si="7"/>
        <v>0</v>
      </c>
      <c r="D61" s="53">
        <f t="shared" si="8"/>
        <v>0</v>
      </c>
      <c r="E61" s="53">
        <f t="shared" si="9"/>
        <v>0</v>
      </c>
      <c r="F61" s="53">
        <f t="shared" si="10"/>
        <v>1</v>
      </c>
      <c r="G61" s="53">
        <f t="shared" si="11"/>
        <v>0</v>
      </c>
      <c r="H61" s="53">
        <f t="shared" si="12"/>
        <v>0</v>
      </c>
      <c r="I61" s="54">
        <f>66/6</f>
        <v>11</v>
      </c>
      <c r="J61" s="48">
        <f t="shared" si="13"/>
        <v>1.0413926851582251</v>
      </c>
      <c r="K61" s="53" t="s">
        <v>1</v>
      </c>
      <c r="L61" s="53" t="s">
        <v>17</v>
      </c>
      <c r="M61" s="53">
        <v>30</v>
      </c>
      <c r="N61" s="53">
        <v>108</v>
      </c>
      <c r="O61" s="55">
        <v>4.8</v>
      </c>
      <c r="P61" s="53">
        <v>6</v>
      </c>
      <c r="Q61" s="53">
        <v>26</v>
      </c>
      <c r="R61" s="53">
        <v>8</v>
      </c>
      <c r="S61" s="53">
        <v>31</v>
      </c>
      <c r="T61" s="53">
        <v>89</v>
      </c>
      <c r="U61" s="55">
        <v>2.2999999999999998</v>
      </c>
      <c r="V61" s="57">
        <v>25.8</v>
      </c>
      <c r="W61" s="53">
        <v>266</v>
      </c>
      <c r="Y61" s="56">
        <v>0.252</v>
      </c>
      <c r="Z61" s="53">
        <v>144</v>
      </c>
      <c r="AA61" s="53">
        <v>82</v>
      </c>
      <c r="AB61" s="56">
        <v>0.46600000000000003</v>
      </c>
      <c r="AD61" s="25">
        <v>25</v>
      </c>
      <c r="AE61" s="29">
        <v>0.8</v>
      </c>
      <c r="AG61" s="25">
        <v>167</v>
      </c>
      <c r="AI61" s="25">
        <v>570</v>
      </c>
      <c r="AJ61" s="29">
        <v>0.33400000000000002</v>
      </c>
      <c r="AK61" s="28">
        <v>39.299999999999997</v>
      </c>
      <c r="AL61" s="28">
        <v>88.7</v>
      </c>
      <c r="AN61" s="25">
        <v>2</v>
      </c>
      <c r="AO61" s="25">
        <v>64</v>
      </c>
      <c r="AP61" s="30">
        <v>5</v>
      </c>
      <c r="AS61" s="35">
        <v>27</v>
      </c>
      <c r="AT61" s="35">
        <v>18.485420782652241</v>
      </c>
      <c r="AU61" s="35">
        <v>2.0145792173477588</v>
      </c>
      <c r="AV61" s="35">
        <v>0.38337739559123385</v>
      </c>
    </row>
    <row r="62" spans="1:53">
      <c r="A62" s="45" t="s">
        <v>14</v>
      </c>
      <c r="B62" s="46" t="s">
        <v>6</v>
      </c>
      <c r="C62" s="46">
        <f t="shared" si="7"/>
        <v>0</v>
      </c>
      <c r="D62" s="46">
        <f t="shared" si="8"/>
        <v>0</v>
      </c>
      <c r="E62" s="46">
        <f t="shared" si="9"/>
        <v>0</v>
      </c>
      <c r="F62" s="46">
        <f t="shared" si="10"/>
        <v>1</v>
      </c>
      <c r="G62" s="46">
        <f t="shared" si="11"/>
        <v>0</v>
      </c>
      <c r="H62" s="46">
        <f t="shared" si="12"/>
        <v>0</v>
      </c>
      <c r="I62" s="47">
        <v>10.75</v>
      </c>
      <c r="J62" s="48">
        <f t="shared" si="13"/>
        <v>1.0314084642516241</v>
      </c>
      <c r="K62" s="46" t="s">
        <v>13</v>
      </c>
      <c r="L62" s="46" t="s">
        <v>12</v>
      </c>
      <c r="M62" s="46">
        <v>25</v>
      </c>
      <c r="N62" s="46">
        <v>120</v>
      </c>
      <c r="O62" s="49">
        <v>4.8</v>
      </c>
      <c r="P62" s="46">
        <v>1</v>
      </c>
      <c r="Q62" s="46">
        <v>25</v>
      </c>
      <c r="R62" s="46">
        <v>5</v>
      </c>
      <c r="S62" s="46">
        <v>33</v>
      </c>
      <c r="T62" s="46">
        <v>108</v>
      </c>
      <c r="U62" s="49">
        <v>3.2</v>
      </c>
      <c r="V62" s="51">
        <v>21.6</v>
      </c>
      <c r="W62" s="46">
        <v>323</v>
      </c>
      <c r="Y62" s="50">
        <v>0.27900000000000003</v>
      </c>
      <c r="Z62" s="46">
        <v>177</v>
      </c>
      <c r="AA62" s="46">
        <v>105</v>
      </c>
      <c r="AB62" s="50">
        <v>0.50900000000000001</v>
      </c>
      <c r="AD62" s="17">
        <v>43</v>
      </c>
      <c r="AE62" s="22">
        <v>0.84699999999999998</v>
      </c>
      <c r="AG62" s="17">
        <v>150</v>
      </c>
      <c r="AI62" s="17">
        <v>633</v>
      </c>
      <c r="AJ62" s="22">
        <v>0.33800000000000002</v>
      </c>
      <c r="AK62" s="21">
        <v>50.2</v>
      </c>
      <c r="AL62" s="21">
        <v>92.4</v>
      </c>
      <c r="AN62" s="17">
        <v>2</v>
      </c>
      <c r="AO62" s="17">
        <v>53</v>
      </c>
      <c r="AP62" s="23">
        <v>6</v>
      </c>
      <c r="AS62" s="35">
        <v>28</v>
      </c>
      <c r="AT62" s="35">
        <v>22.595212705829383</v>
      </c>
      <c r="AU62" s="35">
        <v>-2.5952127058293826</v>
      </c>
      <c r="AV62" s="35">
        <v>-0.49387280460284771</v>
      </c>
    </row>
    <row r="63" spans="1:53">
      <c r="A63" s="52" t="s">
        <v>11</v>
      </c>
      <c r="B63" s="53" t="s">
        <v>2</v>
      </c>
      <c r="C63" s="53">
        <f t="shared" si="7"/>
        <v>0</v>
      </c>
      <c r="D63" s="53">
        <f t="shared" si="8"/>
        <v>0</v>
      </c>
      <c r="E63" s="53">
        <f t="shared" si="9"/>
        <v>0</v>
      </c>
      <c r="F63" s="53">
        <f t="shared" si="10"/>
        <v>0</v>
      </c>
      <c r="G63" s="53">
        <f t="shared" si="11"/>
        <v>0</v>
      </c>
      <c r="H63" s="53">
        <f t="shared" si="12"/>
        <v>1</v>
      </c>
      <c r="I63" s="54">
        <f>52/5</f>
        <v>10.4</v>
      </c>
      <c r="J63" s="48">
        <f t="shared" si="13"/>
        <v>1.0170333392987803</v>
      </c>
      <c r="K63" s="53" t="s">
        <v>1</v>
      </c>
      <c r="L63" s="53" t="s">
        <v>0</v>
      </c>
      <c r="M63" s="53">
        <v>30</v>
      </c>
      <c r="N63" s="53">
        <v>103</v>
      </c>
      <c r="O63" s="55">
        <v>4.8</v>
      </c>
      <c r="P63" s="53">
        <v>5</v>
      </c>
      <c r="Q63" s="53">
        <v>27</v>
      </c>
      <c r="R63" s="53">
        <v>8</v>
      </c>
      <c r="S63" s="53">
        <v>29</v>
      </c>
      <c r="T63" s="53">
        <v>81</v>
      </c>
      <c r="U63" s="55">
        <v>2</v>
      </c>
      <c r="V63" s="57">
        <v>26.5</v>
      </c>
      <c r="W63" s="53">
        <v>263</v>
      </c>
      <c r="Y63" s="56">
        <v>0.245</v>
      </c>
      <c r="Z63" s="53">
        <v>136</v>
      </c>
      <c r="AA63" s="53">
        <v>75</v>
      </c>
      <c r="AB63" s="56">
        <v>0.47299999999999998</v>
      </c>
      <c r="AD63" s="25">
        <v>33</v>
      </c>
      <c r="AE63" s="29">
        <v>0.76500000000000001</v>
      </c>
      <c r="AG63" s="25">
        <v>158</v>
      </c>
      <c r="AI63" s="25">
        <v>556</v>
      </c>
      <c r="AJ63" s="29">
        <v>0.29299999999999998</v>
      </c>
      <c r="AK63" s="28">
        <v>46.4</v>
      </c>
      <c r="AL63" s="28">
        <v>90.7</v>
      </c>
      <c r="AN63" s="25">
        <v>4</v>
      </c>
      <c r="AO63" s="25">
        <v>34</v>
      </c>
      <c r="AP63" s="30">
        <v>4</v>
      </c>
      <c r="AS63" s="35">
        <v>29</v>
      </c>
      <c r="AT63" s="35">
        <v>27.11336752967765</v>
      </c>
      <c r="AU63" s="35">
        <v>-7.1133675296776495</v>
      </c>
      <c r="AV63" s="35">
        <v>-1.3536843296742449</v>
      </c>
    </row>
    <row r="64" spans="1:53" s="12" customFormat="1">
      <c r="A64" s="45" t="s">
        <v>48</v>
      </c>
      <c r="B64" s="46" t="s">
        <v>2</v>
      </c>
      <c r="C64" s="46">
        <f t="shared" si="7"/>
        <v>0</v>
      </c>
      <c r="D64" s="46">
        <f t="shared" si="8"/>
        <v>0</v>
      </c>
      <c r="E64" s="46">
        <f t="shared" si="9"/>
        <v>0</v>
      </c>
      <c r="F64" s="46">
        <f t="shared" si="10"/>
        <v>0</v>
      </c>
      <c r="G64" s="46">
        <f t="shared" si="11"/>
        <v>0</v>
      </c>
      <c r="H64" s="46">
        <f t="shared" si="12"/>
        <v>1</v>
      </c>
      <c r="I64" s="47">
        <v>10.175000000000001</v>
      </c>
      <c r="J64" s="48">
        <f t="shared" si="13"/>
        <v>1.0075344178972576</v>
      </c>
      <c r="K64" s="46" t="s">
        <v>1</v>
      </c>
      <c r="L64" s="46" t="s">
        <v>15</v>
      </c>
      <c r="M64" s="46">
        <v>30</v>
      </c>
      <c r="N64" s="46">
        <v>150</v>
      </c>
      <c r="O64" s="49">
        <v>6.4</v>
      </c>
      <c r="P64" s="46">
        <v>1</v>
      </c>
      <c r="Q64" s="46">
        <v>30</v>
      </c>
      <c r="R64" s="46">
        <v>6</v>
      </c>
      <c r="S64" s="46">
        <v>45</v>
      </c>
      <c r="T64" s="46">
        <v>104</v>
      </c>
      <c r="U64" s="49">
        <v>7.5</v>
      </c>
      <c r="V64" s="51">
        <v>29.7</v>
      </c>
      <c r="W64" s="46">
        <v>325</v>
      </c>
      <c r="Y64" s="50">
        <v>0.27600000000000002</v>
      </c>
      <c r="Z64" s="46">
        <v>162</v>
      </c>
      <c r="AA64" s="46">
        <v>114</v>
      </c>
      <c r="AB64" s="50">
        <v>0.55400000000000005</v>
      </c>
      <c r="AD64" s="17">
        <v>26</v>
      </c>
      <c r="AE64" s="22">
        <v>0.94</v>
      </c>
      <c r="AG64" s="17">
        <v>208</v>
      </c>
      <c r="AI64" s="17">
        <v>586</v>
      </c>
      <c r="AJ64" s="22">
        <v>0.38600000000000001</v>
      </c>
      <c r="AK64" s="21">
        <v>57.6</v>
      </c>
      <c r="AL64" s="21">
        <v>95.6</v>
      </c>
      <c r="AN64" s="17">
        <v>1</v>
      </c>
      <c r="AO64" s="17">
        <v>102</v>
      </c>
      <c r="AP64" s="23">
        <v>7</v>
      </c>
      <c r="AS64" s="35">
        <v>30</v>
      </c>
      <c r="AT64" s="35">
        <v>17.163346177200843</v>
      </c>
      <c r="AU64" s="35">
        <v>2.8366538227991569</v>
      </c>
      <c r="AV64" s="35">
        <v>0.53981940517106564</v>
      </c>
      <c r="AW64"/>
      <c r="AX64"/>
      <c r="AY64"/>
      <c r="AZ64"/>
      <c r="BA64"/>
    </row>
    <row r="65" spans="1:53" s="12" customFormat="1">
      <c r="A65" s="52" t="s">
        <v>10</v>
      </c>
      <c r="B65" s="53" t="s">
        <v>9</v>
      </c>
      <c r="C65" s="53">
        <f t="shared" si="7"/>
        <v>0</v>
      </c>
      <c r="D65" s="53">
        <f t="shared" si="8"/>
        <v>0</v>
      </c>
      <c r="E65" s="53">
        <f t="shared" si="9"/>
        <v>0</v>
      </c>
      <c r="F65" s="53">
        <f t="shared" si="10"/>
        <v>0</v>
      </c>
      <c r="G65" s="53">
        <f t="shared" si="11"/>
        <v>1</v>
      </c>
      <c r="H65" s="53">
        <f t="shared" si="12"/>
        <v>0</v>
      </c>
      <c r="I65" s="54">
        <v>10.1</v>
      </c>
      <c r="J65" s="48">
        <f t="shared" si="13"/>
        <v>1.0043213737826426</v>
      </c>
      <c r="K65" s="53" t="s">
        <v>1</v>
      </c>
      <c r="L65" s="53" t="s">
        <v>8</v>
      </c>
      <c r="M65" s="53">
        <v>28</v>
      </c>
      <c r="N65" s="53">
        <v>89</v>
      </c>
      <c r="O65" s="55">
        <v>2.9</v>
      </c>
      <c r="P65" s="53">
        <v>1</v>
      </c>
      <c r="Q65" s="53">
        <v>28</v>
      </c>
      <c r="R65" s="53">
        <v>6</v>
      </c>
      <c r="S65" s="53">
        <v>19</v>
      </c>
      <c r="T65" s="53">
        <v>77</v>
      </c>
      <c r="U65" s="55">
        <v>2.1</v>
      </c>
      <c r="V65" s="57">
        <v>23.7</v>
      </c>
      <c r="W65" s="53">
        <v>239</v>
      </c>
      <c r="Y65" s="56">
        <v>0.249</v>
      </c>
      <c r="Z65" s="53">
        <v>146</v>
      </c>
      <c r="AA65" s="53">
        <v>81</v>
      </c>
      <c r="AB65" s="56">
        <v>0.40899999999999997</v>
      </c>
      <c r="AD65" s="25">
        <v>31</v>
      </c>
      <c r="AE65" s="29">
        <v>0.72699999999999998</v>
      </c>
      <c r="AG65" s="25">
        <v>155</v>
      </c>
      <c r="AI65" s="25">
        <v>585</v>
      </c>
      <c r="AJ65" s="29">
        <v>0.31900000000000001</v>
      </c>
      <c r="AK65" s="28">
        <v>39.799999999999997</v>
      </c>
      <c r="AL65" s="28">
        <v>88.6</v>
      </c>
      <c r="AN65" s="25">
        <v>3</v>
      </c>
      <c r="AO65" s="25">
        <v>59</v>
      </c>
      <c r="AP65" s="30">
        <v>10</v>
      </c>
      <c r="AS65" s="35">
        <v>31</v>
      </c>
      <c r="AT65" s="35">
        <v>11.820520675732912</v>
      </c>
      <c r="AU65" s="35">
        <v>7.9294793242670885</v>
      </c>
      <c r="AV65" s="35">
        <v>1.508991607554784</v>
      </c>
      <c r="AW65"/>
      <c r="AX65"/>
      <c r="AY65"/>
      <c r="AZ65"/>
      <c r="BA65"/>
    </row>
    <row r="66" spans="1:53" s="12" customFormat="1">
      <c r="A66" s="45" t="s">
        <v>16</v>
      </c>
      <c r="B66" s="46" t="s">
        <v>2</v>
      </c>
      <c r="C66" s="46">
        <f t="shared" ref="C66:C68" si="14">IF(B66="C",1,0)</f>
        <v>0</v>
      </c>
      <c r="D66" s="46">
        <f t="shared" si="8"/>
        <v>0</v>
      </c>
      <c r="E66" s="46">
        <f t="shared" si="9"/>
        <v>0</v>
      </c>
      <c r="F66" s="46">
        <f t="shared" si="10"/>
        <v>0</v>
      </c>
      <c r="G66" s="46">
        <f t="shared" si="11"/>
        <v>0</v>
      </c>
      <c r="H66" s="46">
        <f t="shared" si="12"/>
        <v>1</v>
      </c>
      <c r="I66" s="47">
        <f>70/7</f>
        <v>10</v>
      </c>
      <c r="J66" s="48">
        <f t="shared" ref="J66:J68" si="15">LOG(I66)</f>
        <v>1</v>
      </c>
      <c r="K66" s="46" t="s">
        <v>5</v>
      </c>
      <c r="L66" s="46" t="s">
        <v>15</v>
      </c>
      <c r="M66" s="46">
        <v>32</v>
      </c>
      <c r="N66" s="46">
        <v>98</v>
      </c>
      <c r="O66" s="49">
        <v>3.3</v>
      </c>
      <c r="P66" s="46">
        <v>7</v>
      </c>
      <c r="Q66" s="46">
        <v>29</v>
      </c>
      <c r="R66" s="46">
        <v>9</v>
      </c>
      <c r="S66" s="46">
        <v>20</v>
      </c>
      <c r="T66" s="46">
        <v>68</v>
      </c>
      <c r="U66" s="49">
        <v>2.7</v>
      </c>
      <c r="V66" s="51">
        <v>21</v>
      </c>
      <c r="W66" s="46">
        <v>212</v>
      </c>
      <c r="Y66" s="50">
        <v>0.23300000000000001</v>
      </c>
      <c r="Z66" s="46">
        <v>124</v>
      </c>
      <c r="AA66" s="46">
        <v>80</v>
      </c>
      <c r="AB66" s="50">
        <v>0.39900000000000002</v>
      </c>
      <c r="AD66" s="17">
        <v>22</v>
      </c>
      <c r="AE66" s="22">
        <v>0.72899999999999998</v>
      </c>
      <c r="AG66" s="17">
        <v>130</v>
      </c>
      <c r="AI66" s="17">
        <v>531</v>
      </c>
      <c r="AJ66" s="22">
        <v>0.33</v>
      </c>
      <c r="AK66" s="21">
        <v>41</v>
      </c>
      <c r="AL66" s="21">
        <v>89.3</v>
      </c>
      <c r="AN66" s="17">
        <v>3</v>
      </c>
      <c r="AO66" s="17">
        <v>77</v>
      </c>
      <c r="AP66" s="23">
        <v>12</v>
      </c>
      <c r="AS66" s="35">
        <v>32</v>
      </c>
      <c r="AT66" s="35">
        <v>19.594992111909292</v>
      </c>
      <c r="AU66" s="35">
        <v>-9.4992111909292021E-2</v>
      </c>
      <c r="AV66" s="35">
        <v>-1.8077138963758562E-2</v>
      </c>
      <c r="AW66"/>
      <c r="AX66"/>
      <c r="AY66"/>
      <c r="AZ66"/>
      <c r="BA66"/>
    </row>
    <row r="67" spans="1:53" s="12" customFormat="1">
      <c r="A67" s="52" t="s">
        <v>7</v>
      </c>
      <c r="B67" s="53" t="s">
        <v>6</v>
      </c>
      <c r="C67" s="53">
        <f t="shared" si="14"/>
        <v>0</v>
      </c>
      <c r="D67" s="53">
        <f t="shared" si="8"/>
        <v>0</v>
      </c>
      <c r="E67" s="53">
        <f t="shared" si="9"/>
        <v>0</v>
      </c>
      <c r="F67" s="53">
        <f t="shared" si="10"/>
        <v>1</v>
      </c>
      <c r="G67" s="53">
        <f t="shared" si="11"/>
        <v>0</v>
      </c>
      <c r="H67" s="53">
        <f t="shared" si="12"/>
        <v>0</v>
      </c>
      <c r="I67" s="54">
        <f>20/2</f>
        <v>10</v>
      </c>
      <c r="J67" s="48">
        <f t="shared" si="15"/>
        <v>1</v>
      </c>
      <c r="K67" s="53" t="s">
        <v>5</v>
      </c>
      <c r="L67" s="53" t="s">
        <v>4</v>
      </c>
      <c r="M67" s="53">
        <v>33</v>
      </c>
      <c r="N67" s="53">
        <v>99</v>
      </c>
      <c r="O67" s="55">
        <v>3.2</v>
      </c>
      <c r="P67" s="53">
        <v>2</v>
      </c>
      <c r="Q67" s="53">
        <v>33</v>
      </c>
      <c r="R67" s="53">
        <v>11</v>
      </c>
      <c r="S67" s="53">
        <v>20</v>
      </c>
      <c r="T67" s="53">
        <v>77</v>
      </c>
      <c r="U67" s="55">
        <v>1.7</v>
      </c>
      <c r="V67" s="57">
        <v>19.600000000000001</v>
      </c>
      <c r="W67" s="53">
        <v>245</v>
      </c>
      <c r="Y67" s="56">
        <v>0.25600000000000001</v>
      </c>
      <c r="Z67" s="53">
        <v>144</v>
      </c>
      <c r="AA67" s="53">
        <v>72</v>
      </c>
      <c r="AB67" s="56">
        <v>0.436</v>
      </c>
      <c r="AD67" s="25">
        <v>31</v>
      </c>
      <c r="AE67" s="29">
        <v>0.745</v>
      </c>
      <c r="AG67" s="25">
        <v>120</v>
      </c>
      <c r="AI67" s="25">
        <v>561</v>
      </c>
      <c r="AJ67" s="29">
        <v>0.309</v>
      </c>
      <c r="AK67" s="28">
        <v>31.3</v>
      </c>
      <c r="AL67" s="28">
        <v>87.1</v>
      </c>
      <c r="AN67" s="25">
        <v>5</v>
      </c>
      <c r="AO67" s="25">
        <v>42</v>
      </c>
      <c r="AP67" s="30">
        <v>3</v>
      </c>
      <c r="AS67" s="35">
        <v>33</v>
      </c>
      <c r="AT67" s="35">
        <v>22.830084232862191</v>
      </c>
      <c r="AU67" s="35">
        <v>-4.3300842328621911</v>
      </c>
      <c r="AV67" s="35">
        <v>-0.82402141429358933</v>
      </c>
      <c r="AW67"/>
      <c r="AX67"/>
      <c r="AY67"/>
      <c r="AZ67"/>
      <c r="BA67"/>
    </row>
    <row r="68" spans="1:53" s="12" customFormat="1">
      <c r="A68" s="45" t="s">
        <v>3</v>
      </c>
      <c r="B68" s="46" t="s">
        <v>2</v>
      </c>
      <c r="C68" s="46">
        <f t="shared" si="14"/>
        <v>0</v>
      </c>
      <c r="D68" s="46">
        <f t="shared" si="8"/>
        <v>0</v>
      </c>
      <c r="E68" s="46">
        <f t="shared" si="9"/>
        <v>0</v>
      </c>
      <c r="F68" s="46">
        <f t="shared" si="10"/>
        <v>0</v>
      </c>
      <c r="G68" s="46">
        <f t="shared" si="11"/>
        <v>0</v>
      </c>
      <c r="H68" s="46">
        <f t="shared" si="12"/>
        <v>1</v>
      </c>
      <c r="I68" s="47">
        <v>10</v>
      </c>
      <c r="J68" s="48">
        <f t="shared" si="15"/>
        <v>1</v>
      </c>
      <c r="K68" s="46" t="s">
        <v>1</v>
      </c>
      <c r="L68" s="46" t="s">
        <v>0</v>
      </c>
      <c r="M68" s="46">
        <v>29</v>
      </c>
      <c r="N68" s="46">
        <v>120</v>
      </c>
      <c r="O68" s="49">
        <v>5.4</v>
      </c>
      <c r="P68" s="46">
        <v>1</v>
      </c>
      <c r="Q68" s="46">
        <v>29</v>
      </c>
      <c r="R68" s="46">
        <v>6</v>
      </c>
      <c r="S68" s="46">
        <v>34</v>
      </c>
      <c r="T68" s="46">
        <v>94</v>
      </c>
      <c r="U68" s="49">
        <v>2.5</v>
      </c>
      <c r="V68" s="51">
        <v>29.6</v>
      </c>
      <c r="W68" s="46">
        <v>284</v>
      </c>
      <c r="Y68" s="50">
        <v>0.26</v>
      </c>
      <c r="Z68" s="46">
        <v>148</v>
      </c>
      <c r="AA68" s="46">
        <v>88</v>
      </c>
      <c r="AB68" s="50">
        <v>0.501</v>
      </c>
      <c r="AD68" s="17">
        <v>30</v>
      </c>
      <c r="AE68" s="22">
        <v>0.82199999999999995</v>
      </c>
      <c r="AG68" s="17">
        <v>184</v>
      </c>
      <c r="AI68" s="17">
        <v>567</v>
      </c>
      <c r="AJ68" s="22">
        <v>0.32</v>
      </c>
      <c r="AK68" s="21">
        <v>47.9</v>
      </c>
      <c r="AL68" s="21">
        <v>91.9</v>
      </c>
      <c r="AN68" s="17">
        <v>3</v>
      </c>
      <c r="AO68" s="17">
        <v>48</v>
      </c>
      <c r="AP68" s="23">
        <v>9</v>
      </c>
      <c r="AS68" s="35">
        <v>34</v>
      </c>
      <c r="AT68" s="35">
        <v>16.733035228587539</v>
      </c>
      <c r="AU68" s="35">
        <v>1.6669647714124594</v>
      </c>
      <c r="AV68" s="35">
        <v>0.31722585396656905</v>
      </c>
      <c r="AW68"/>
      <c r="AX68"/>
      <c r="AY68"/>
      <c r="AZ68"/>
      <c r="BA68"/>
    </row>
    <row r="69" spans="1:53" s="12" customFormat="1">
      <c r="G69" s="13"/>
      <c r="H69" s="13"/>
      <c r="I69" s="14"/>
      <c r="J69" s="13"/>
      <c r="K69" s="13"/>
      <c r="L69" s="13"/>
      <c r="M69" s="13"/>
      <c r="O69" s="13"/>
      <c r="R69" s="13"/>
      <c r="S69" s="13"/>
      <c r="U69" s="13"/>
      <c r="V69" s="13"/>
      <c r="W69" s="13"/>
      <c r="Z69" s="13"/>
      <c r="AA69" s="15"/>
      <c r="AB69" s="13"/>
      <c r="AD69" s="13"/>
      <c r="AI69" s="15"/>
      <c r="AK69" s="13"/>
      <c r="AL69" s="13"/>
      <c r="AN69" s="15"/>
      <c r="AO69" s="13"/>
      <c r="AP69" s="13"/>
      <c r="AS69" s="35">
        <v>35</v>
      </c>
      <c r="AT69" s="35">
        <v>14.860931796790769</v>
      </c>
      <c r="AU69" s="35">
        <v>3.3890682032092307</v>
      </c>
      <c r="AV69" s="35">
        <v>0.64494467630712782</v>
      </c>
      <c r="AW69"/>
      <c r="AX69"/>
      <c r="AY69"/>
      <c r="AZ69"/>
      <c r="BA69"/>
    </row>
    <row r="70" spans="1:53" s="12" customFormat="1">
      <c r="G70" s="13"/>
      <c r="H70" s="13"/>
      <c r="I70" s="14"/>
      <c r="J70" s="13"/>
      <c r="K70" s="13"/>
      <c r="L70" s="13"/>
      <c r="M70" s="13"/>
      <c r="O70" s="13"/>
      <c r="R70" s="13"/>
      <c r="S70" s="13"/>
      <c r="U70" s="13"/>
      <c r="V70" s="13"/>
      <c r="W70" s="13"/>
      <c r="Z70" s="13"/>
      <c r="AA70" s="15"/>
      <c r="AB70" s="13"/>
      <c r="AD70" s="13"/>
      <c r="AI70" s="15"/>
      <c r="AK70" s="13"/>
      <c r="AL70" s="13"/>
      <c r="AN70" s="15"/>
      <c r="AO70" s="13"/>
      <c r="AP70" s="13"/>
      <c r="AS70" s="35">
        <v>36</v>
      </c>
      <c r="AT70" s="35">
        <v>16.696782281480743</v>
      </c>
      <c r="AU70" s="35">
        <v>1.3032177185192566</v>
      </c>
      <c r="AV70" s="35">
        <v>0.24800425345002286</v>
      </c>
      <c r="AW70"/>
      <c r="AX70"/>
      <c r="AY70"/>
      <c r="AZ70"/>
      <c r="BA70"/>
    </row>
    <row r="71" spans="1:53" s="12" customFormat="1">
      <c r="G71" s="13"/>
      <c r="H71" s="13"/>
      <c r="I71" s="14"/>
      <c r="J71" s="13"/>
      <c r="K71" s="13"/>
      <c r="L71" s="13"/>
      <c r="M71" s="13"/>
      <c r="O71" s="13"/>
      <c r="R71" s="13"/>
      <c r="S71" s="13"/>
      <c r="U71" s="13"/>
      <c r="V71" s="13"/>
      <c r="W71" s="13"/>
      <c r="Z71" s="13"/>
      <c r="AA71" s="15"/>
      <c r="AB71" s="13"/>
      <c r="AD71" s="13"/>
      <c r="AI71" s="15"/>
      <c r="AK71" s="13"/>
      <c r="AL71" s="13"/>
      <c r="AN71" s="15"/>
      <c r="AO71" s="13"/>
      <c r="AP71" s="13"/>
      <c r="AS71" s="35">
        <v>37</v>
      </c>
      <c r="AT71" s="35">
        <v>16.518106882489793</v>
      </c>
      <c r="AU71" s="35">
        <v>1.4818931175102072</v>
      </c>
      <c r="AV71" s="35">
        <v>0.28200644533779445</v>
      </c>
      <c r="AW71"/>
      <c r="AX71"/>
      <c r="AY71"/>
      <c r="AZ71"/>
      <c r="BA71"/>
    </row>
    <row r="72" spans="1:53" s="12" customFormat="1">
      <c r="G72" s="13"/>
      <c r="H72" s="13"/>
      <c r="I72" s="14"/>
      <c r="J72" s="13"/>
      <c r="K72" s="13"/>
      <c r="L72" s="13"/>
      <c r="M72" s="13"/>
      <c r="O72" s="13"/>
      <c r="R72" s="13"/>
      <c r="S72" s="13"/>
      <c r="U72" s="13"/>
      <c r="V72" s="13"/>
      <c r="W72" s="13"/>
      <c r="Z72" s="13"/>
      <c r="AA72" s="15"/>
      <c r="AB72" s="13"/>
      <c r="AD72" s="13"/>
      <c r="AI72" s="15"/>
      <c r="AK72" s="13"/>
      <c r="AL72" s="13"/>
      <c r="AN72" s="15"/>
      <c r="AO72" s="13"/>
      <c r="AP72" s="13"/>
      <c r="AS72" s="35">
        <v>38</v>
      </c>
      <c r="AT72" s="35">
        <v>17.537231762271372</v>
      </c>
      <c r="AU72" s="35">
        <v>-0.53723176227137159</v>
      </c>
      <c r="AV72" s="35">
        <v>-0.10223599651724882</v>
      </c>
      <c r="AW72"/>
      <c r="AX72"/>
      <c r="AY72"/>
      <c r="AZ72"/>
      <c r="BA72"/>
    </row>
    <row r="73" spans="1:53" s="12" customFormat="1">
      <c r="G73" s="13"/>
      <c r="H73" s="13"/>
      <c r="I73" s="14"/>
      <c r="J73" s="13"/>
      <c r="K73" s="13"/>
      <c r="L73" s="13"/>
      <c r="M73" s="13"/>
      <c r="O73" s="13"/>
      <c r="R73" s="13"/>
      <c r="S73" s="13"/>
      <c r="U73" s="13"/>
      <c r="V73" s="13"/>
      <c r="W73" s="13"/>
      <c r="Z73" s="13"/>
      <c r="AA73" s="15"/>
      <c r="AB73" s="13"/>
      <c r="AD73" s="13"/>
      <c r="AI73" s="15"/>
      <c r="AK73" s="13"/>
      <c r="AL73" s="13"/>
      <c r="AN73" s="15"/>
      <c r="AO73" s="13"/>
      <c r="AP73" s="13"/>
      <c r="AS73" s="35">
        <v>39</v>
      </c>
      <c r="AT73" s="35">
        <v>18.265097623494306</v>
      </c>
      <c r="AU73" s="35">
        <v>-1.2650976234943059</v>
      </c>
      <c r="AV73" s="35">
        <v>-0.2407499431580721</v>
      </c>
      <c r="AW73"/>
      <c r="AX73"/>
      <c r="AY73"/>
      <c r="AZ73"/>
      <c r="BA73"/>
    </row>
    <row r="74" spans="1:53" s="12" customFormat="1">
      <c r="G74" s="13"/>
      <c r="H74" s="13"/>
      <c r="I74" s="14"/>
      <c r="J74" s="13"/>
      <c r="K74" s="13"/>
      <c r="L74" s="13"/>
      <c r="M74" s="13"/>
      <c r="O74" s="13"/>
      <c r="R74" s="13"/>
      <c r="S74" s="13"/>
      <c r="U74" s="13"/>
      <c r="V74" s="13"/>
      <c r="W74" s="13"/>
      <c r="Z74" s="13"/>
      <c r="AA74" s="15"/>
      <c r="AB74" s="13"/>
      <c r="AD74" s="13"/>
      <c r="AI74" s="15"/>
      <c r="AK74" s="13"/>
      <c r="AL74" s="13"/>
      <c r="AN74" s="15"/>
      <c r="AO74" s="13"/>
      <c r="AP74" s="13"/>
      <c r="AS74" s="35">
        <v>40</v>
      </c>
      <c r="AT74" s="35">
        <v>22.88478116307191</v>
      </c>
      <c r="AU74" s="35">
        <v>-6.2181144964052422</v>
      </c>
      <c r="AV74" s="35">
        <v>-1.1833163573772882</v>
      </c>
      <c r="AW74"/>
      <c r="AX74"/>
      <c r="AY74"/>
      <c r="AZ74"/>
      <c r="BA74"/>
    </row>
    <row r="75" spans="1:53">
      <c r="G75" s="7"/>
      <c r="H75" s="7"/>
      <c r="J75" s="7"/>
      <c r="K75" s="7"/>
      <c r="L75" s="7"/>
      <c r="M75" s="7"/>
      <c r="O75" s="7"/>
      <c r="R75" s="7"/>
      <c r="S75" s="7"/>
      <c r="U75" s="7"/>
      <c r="V75" s="7"/>
      <c r="W75" s="7"/>
      <c r="Z75" s="7"/>
      <c r="AB75" s="7"/>
      <c r="AD75" s="7"/>
      <c r="AK75" s="7"/>
      <c r="AL75" s="7"/>
      <c r="AO75" s="7"/>
      <c r="AP75" s="7"/>
      <c r="AS75" s="35">
        <v>41</v>
      </c>
      <c r="AT75" s="35">
        <v>22.509986885940798</v>
      </c>
      <c r="AU75" s="35">
        <v>-5.8433202192741298</v>
      </c>
      <c r="AV75" s="35">
        <v>-1.1119924537989554</v>
      </c>
    </row>
    <row r="76" spans="1:53">
      <c r="G76" s="7"/>
      <c r="H76" s="7"/>
      <c r="J76" s="7"/>
      <c r="K76" s="7"/>
      <c r="L76" s="7"/>
      <c r="M76" s="7"/>
      <c r="O76" s="7"/>
      <c r="R76" s="7"/>
      <c r="S76" s="7"/>
      <c r="U76" s="7"/>
      <c r="V76" s="7"/>
      <c r="W76" s="7"/>
      <c r="Z76" s="7"/>
      <c r="AB76" s="7"/>
      <c r="AD76" s="7"/>
      <c r="AK76" s="7"/>
      <c r="AL76" s="7"/>
      <c r="AO76" s="7"/>
      <c r="AP76" s="7"/>
      <c r="AS76" s="35">
        <v>42</v>
      </c>
      <c r="AT76" s="35">
        <v>16.940877369188165</v>
      </c>
      <c r="AU76" s="35">
        <v>-0.69087736918816489</v>
      </c>
      <c r="AV76" s="35">
        <v>-0.1314749820664711</v>
      </c>
    </row>
    <row r="77" spans="1:53">
      <c r="G77" s="7"/>
      <c r="H77" s="7"/>
      <c r="J77" s="7"/>
      <c r="K77" s="7"/>
      <c r="L77" s="7"/>
      <c r="M77" s="7"/>
      <c r="O77" s="7"/>
      <c r="R77" s="7"/>
      <c r="S77" s="7"/>
      <c r="U77" s="7"/>
      <c r="V77" s="7"/>
      <c r="W77" s="7"/>
      <c r="Z77" s="7"/>
      <c r="AB77" s="7"/>
      <c r="AD77" s="7"/>
      <c r="AK77" s="7"/>
      <c r="AL77" s="7"/>
      <c r="AO77" s="7"/>
      <c r="AP77" s="7"/>
      <c r="AS77" s="35">
        <v>43</v>
      </c>
      <c r="AT77" s="35">
        <v>20.319686871257943</v>
      </c>
      <c r="AU77" s="35">
        <v>-4.319686871257943</v>
      </c>
      <c r="AV77" s="35">
        <v>-0.82204278104922146</v>
      </c>
    </row>
    <row r="78" spans="1:53">
      <c r="G78" s="7"/>
      <c r="H78" s="7"/>
      <c r="J78" s="7"/>
      <c r="K78" s="7"/>
      <c r="L78" s="7"/>
      <c r="M78" s="7"/>
      <c r="O78" s="7"/>
      <c r="R78" s="7"/>
      <c r="S78" s="7"/>
      <c r="U78" s="7"/>
      <c r="V78" s="7"/>
      <c r="W78" s="7"/>
      <c r="Z78" s="7"/>
      <c r="AB78" s="7"/>
      <c r="AD78" s="7"/>
      <c r="AK78" s="7"/>
      <c r="AL78" s="7"/>
      <c r="AO78" s="7"/>
      <c r="AP78" s="7"/>
      <c r="AS78" s="35">
        <v>44</v>
      </c>
      <c r="AT78" s="35">
        <v>22.074579897620914</v>
      </c>
      <c r="AU78" s="35">
        <v>-6.0745798976209144</v>
      </c>
      <c r="AV78" s="35">
        <v>-1.1560015115845208</v>
      </c>
    </row>
    <row r="79" spans="1:53">
      <c r="G79" s="7"/>
      <c r="H79" s="7"/>
      <c r="J79" s="7"/>
      <c r="K79" s="7"/>
      <c r="L79" s="7"/>
      <c r="M79" s="7"/>
      <c r="O79" s="7"/>
      <c r="R79" s="7"/>
      <c r="S79" s="7"/>
      <c r="U79" s="7"/>
      <c r="V79" s="7"/>
      <c r="W79" s="7"/>
      <c r="Z79" s="7"/>
      <c r="AB79" s="7"/>
      <c r="AD79" s="7"/>
      <c r="AK79" s="7"/>
      <c r="AL79" s="7"/>
      <c r="AO79" s="7"/>
      <c r="AP79" s="7"/>
      <c r="AS79" s="35">
        <v>45</v>
      </c>
      <c r="AT79" s="35">
        <v>15.152948360748693</v>
      </c>
      <c r="AU79" s="35">
        <v>0.84705163925130655</v>
      </c>
      <c r="AV79" s="35">
        <v>0.16119517594099861</v>
      </c>
    </row>
    <row r="80" spans="1:53">
      <c r="G80" s="7"/>
      <c r="H80" s="7"/>
      <c r="J80" s="7"/>
      <c r="K80" s="7"/>
      <c r="L80" s="7"/>
      <c r="M80" s="7"/>
      <c r="O80" s="7"/>
      <c r="R80" s="7"/>
      <c r="S80" s="7"/>
      <c r="U80" s="7"/>
      <c r="V80" s="7"/>
      <c r="W80" s="7"/>
      <c r="Z80" s="7"/>
      <c r="AB80" s="7"/>
      <c r="AD80" s="7"/>
      <c r="AK80" s="7"/>
      <c r="AL80" s="7"/>
      <c r="AO80" s="7"/>
      <c r="AP80" s="7"/>
      <c r="AS80" s="35">
        <v>46</v>
      </c>
      <c r="AT80" s="35">
        <v>24.134951980000174</v>
      </c>
      <c r="AU80" s="35">
        <v>-8.6349519800001744</v>
      </c>
      <c r="AV80" s="35">
        <v>-1.6432440941717419</v>
      </c>
    </row>
    <row r="81" spans="7:48">
      <c r="G81" s="7"/>
      <c r="H81" s="7"/>
      <c r="J81" s="7"/>
      <c r="K81" s="7"/>
      <c r="L81" s="7"/>
      <c r="M81" s="7"/>
      <c r="O81" s="7"/>
      <c r="R81" s="7"/>
      <c r="S81" s="7"/>
      <c r="U81" s="7"/>
      <c r="V81" s="7"/>
      <c r="W81" s="7"/>
      <c r="Z81" s="7"/>
      <c r="AB81" s="7"/>
      <c r="AD81" s="7"/>
      <c r="AK81" s="7"/>
      <c r="AL81" s="7"/>
      <c r="AO81" s="7"/>
      <c r="AP81" s="7"/>
      <c r="AS81" s="35">
        <v>47</v>
      </c>
      <c r="AT81" s="35">
        <v>16.72190650418414</v>
      </c>
      <c r="AU81" s="35">
        <v>-1.7219065041841404</v>
      </c>
      <c r="AV81" s="35">
        <v>-0.32768134672550214</v>
      </c>
    </row>
    <row r="82" spans="7:48">
      <c r="G82" s="7"/>
      <c r="H82" s="7"/>
      <c r="J82" s="7"/>
      <c r="K82" s="7"/>
      <c r="L82" s="7"/>
      <c r="M82" s="7"/>
      <c r="O82" s="7"/>
      <c r="R82" s="7"/>
      <c r="S82" s="7"/>
      <c r="U82" s="7"/>
      <c r="V82" s="7"/>
      <c r="W82" s="7"/>
      <c r="Z82" s="7"/>
      <c r="AB82" s="7"/>
      <c r="AD82" s="7"/>
      <c r="AK82" s="7"/>
      <c r="AL82" s="7"/>
      <c r="AO82" s="7"/>
      <c r="AP82" s="7"/>
      <c r="AS82" s="35">
        <v>48</v>
      </c>
      <c r="AT82" s="35">
        <v>13.524128887730138</v>
      </c>
      <c r="AU82" s="35">
        <v>1.4758711122698625</v>
      </c>
      <c r="AV82" s="35">
        <v>0.28086044886101175</v>
      </c>
    </row>
    <row r="83" spans="7:48">
      <c r="G83" s="7"/>
      <c r="H83" s="7"/>
      <c r="J83" s="7"/>
      <c r="K83" s="7"/>
      <c r="L83" s="7"/>
      <c r="M83" s="7"/>
      <c r="O83" s="7"/>
      <c r="R83" s="7"/>
      <c r="S83" s="7"/>
      <c r="U83" s="7"/>
      <c r="V83" s="7"/>
      <c r="W83" s="7"/>
      <c r="Z83" s="7"/>
      <c r="AB83" s="7"/>
      <c r="AD83" s="7"/>
      <c r="AK83" s="7"/>
      <c r="AL83" s="7"/>
      <c r="AO83" s="7"/>
      <c r="AP83" s="7"/>
      <c r="AS83" s="35">
        <v>49</v>
      </c>
      <c r="AT83" s="35">
        <v>14.859368135712312</v>
      </c>
      <c r="AU83" s="35">
        <v>-0.85936813571231241</v>
      </c>
      <c r="AV83" s="35">
        <v>-0.16353902337840318</v>
      </c>
    </row>
    <row r="84" spans="7:48">
      <c r="G84" s="7"/>
      <c r="H84" s="7"/>
      <c r="J84" s="7"/>
      <c r="K84" s="7"/>
      <c r="L84" s="7"/>
      <c r="M84" s="7"/>
      <c r="O84" s="7"/>
      <c r="R84" s="7"/>
      <c r="S84" s="7"/>
      <c r="U84" s="7"/>
      <c r="V84" s="7"/>
      <c r="W84" s="7"/>
      <c r="Z84" s="7"/>
      <c r="AB84" s="7"/>
      <c r="AD84" s="7"/>
      <c r="AK84" s="7"/>
      <c r="AL84" s="7"/>
      <c r="AO84" s="7"/>
      <c r="AP84" s="7"/>
      <c r="AS84" s="35">
        <v>50</v>
      </c>
      <c r="AT84" s="35">
        <v>17.142022677592532</v>
      </c>
      <c r="AU84" s="35">
        <v>-3.1420226775925322</v>
      </c>
      <c r="AV84" s="35">
        <v>-0.59793154850960817</v>
      </c>
    </row>
    <row r="85" spans="7:48">
      <c r="AS85" s="35">
        <v>51</v>
      </c>
      <c r="AT85" s="35">
        <v>18.32038393608773</v>
      </c>
      <c r="AU85" s="35">
        <v>-4.3203839360877296</v>
      </c>
      <c r="AV85" s="35">
        <v>-0.82217543351416333</v>
      </c>
    </row>
    <row r="86" spans="7:48">
      <c r="AS86" s="35">
        <v>52</v>
      </c>
      <c r="AT86" s="35">
        <v>13.967469001567666</v>
      </c>
      <c r="AU86" s="35">
        <v>-0.13413566823433243</v>
      </c>
      <c r="AV86" s="35">
        <v>-2.5526215450226791E-2</v>
      </c>
    </row>
    <row r="87" spans="7:48">
      <c r="AS87" s="35">
        <v>53</v>
      </c>
      <c r="AT87" s="35">
        <v>13.388791555132659</v>
      </c>
      <c r="AU87" s="35">
        <v>-0.13879155513265928</v>
      </c>
      <c r="AV87" s="35">
        <v>-2.641223759215966E-2</v>
      </c>
    </row>
    <row r="88" spans="7:48">
      <c r="AS88" s="35">
        <v>54</v>
      </c>
      <c r="AT88" s="35">
        <v>12.445653900624176</v>
      </c>
      <c r="AU88" s="35">
        <v>0.8043460993758238</v>
      </c>
      <c r="AV88" s="35">
        <v>0.15306824873267827</v>
      </c>
    </row>
    <row r="89" spans="7:48">
      <c r="AS89" s="35">
        <v>55</v>
      </c>
      <c r="AT89" s="35">
        <v>15.403768074864411</v>
      </c>
      <c r="AU89" s="35">
        <v>-2.903768074864411</v>
      </c>
      <c r="AV89" s="35">
        <v>-0.55259134630014417</v>
      </c>
    </row>
    <row r="90" spans="7:48">
      <c r="AS90" s="35">
        <v>56</v>
      </c>
      <c r="AT90" s="35">
        <v>23.195185670436231</v>
      </c>
      <c r="AU90" s="35">
        <v>-10.695185670436231</v>
      </c>
      <c r="AV90" s="35">
        <v>-2.0353096033099449</v>
      </c>
    </row>
    <row r="91" spans="7:48">
      <c r="AS91" s="35">
        <v>57</v>
      </c>
      <c r="AT91" s="35">
        <v>17.644783422931603</v>
      </c>
      <c r="AU91" s="35">
        <v>-5.644783422931603</v>
      </c>
      <c r="AV91" s="35">
        <v>-1.074210608709224</v>
      </c>
    </row>
    <row r="92" spans="7:48">
      <c r="AS92" s="35">
        <v>58</v>
      </c>
      <c r="AT92" s="35">
        <v>23.669713838507061</v>
      </c>
      <c r="AU92" s="35">
        <v>-11.669713838507061</v>
      </c>
      <c r="AV92" s="35">
        <v>-2.2207637506515225</v>
      </c>
    </row>
    <row r="93" spans="7:48">
      <c r="AS93" s="35">
        <v>59</v>
      </c>
      <c r="AT93" s="35">
        <v>20.524253200920292</v>
      </c>
      <c r="AU93" s="35">
        <v>0.47574679907970818</v>
      </c>
      <c r="AV93" s="35">
        <v>9.0535317361292958E-2</v>
      </c>
    </row>
    <row r="94" spans="7:48">
      <c r="AS94" s="35">
        <v>60</v>
      </c>
      <c r="AT94" s="35">
        <v>13.62425044378441</v>
      </c>
      <c r="AU94" s="35">
        <v>-2.6242504437844101</v>
      </c>
      <c r="AV94" s="35">
        <v>-0.49939872895230825</v>
      </c>
    </row>
    <row r="95" spans="7:48">
      <c r="AS95" s="35">
        <v>61</v>
      </c>
      <c r="AT95" s="35">
        <v>22.362473949730234</v>
      </c>
      <c r="AU95" s="35">
        <v>-11.612473949730234</v>
      </c>
      <c r="AV95" s="35">
        <v>-2.2098709154161416</v>
      </c>
    </row>
    <row r="96" spans="7:48">
      <c r="AS96" s="35">
        <v>62</v>
      </c>
      <c r="AT96" s="35">
        <v>12.836831835251846</v>
      </c>
      <c r="AU96" s="35">
        <v>-2.4368318352518461</v>
      </c>
      <c r="AV96" s="35">
        <v>-0.46373269139676238</v>
      </c>
    </row>
    <row r="97" spans="25:48">
      <c r="AS97" s="35">
        <v>63</v>
      </c>
      <c r="AT97" s="35">
        <v>23.427117181140201</v>
      </c>
      <c r="AU97" s="35">
        <v>-13.2521171811402</v>
      </c>
      <c r="AV97" s="35">
        <v>-2.5218974400341789</v>
      </c>
    </row>
    <row r="98" spans="25:48">
      <c r="AS98" s="35">
        <v>64</v>
      </c>
      <c r="AT98" s="35">
        <v>14.774590929893435</v>
      </c>
      <c r="AU98" s="35">
        <v>-4.6745909298934354</v>
      </c>
      <c r="AV98" s="35">
        <v>-0.88958154671938594</v>
      </c>
    </row>
    <row r="99" spans="25:48">
      <c r="AS99" s="35">
        <v>65</v>
      </c>
      <c r="AT99" s="35">
        <v>12.207118497070443</v>
      </c>
      <c r="AU99" s="35">
        <v>-2.2071184970704429</v>
      </c>
      <c r="AV99" s="35">
        <v>-0.42001790442477288</v>
      </c>
    </row>
    <row r="100" spans="25:48">
      <c r="AI100"/>
      <c r="AN100"/>
      <c r="AS100" s="35">
        <v>66</v>
      </c>
      <c r="AT100" s="35">
        <v>12.618397217984803</v>
      </c>
      <c r="AU100" s="35">
        <v>-2.6183972179848034</v>
      </c>
      <c r="AV100" s="35">
        <v>-0.4982848514519661</v>
      </c>
    </row>
    <row r="101" spans="25:48" ht="15" thickBot="1">
      <c r="AI101"/>
      <c r="AN101"/>
      <c r="AS101" s="36">
        <v>67</v>
      </c>
      <c r="AT101" s="36">
        <v>14.410076509372489</v>
      </c>
      <c r="AU101" s="36">
        <v>-4.4100765093724892</v>
      </c>
      <c r="AV101" s="36">
        <v>-0.8392440624634171</v>
      </c>
    </row>
    <row r="102" spans="25:48">
      <c r="Y102" s="38"/>
      <c r="AD102" s="38"/>
      <c r="AI102"/>
      <c r="AN102"/>
    </row>
    <row r="103" spans="25:48">
      <c r="Y103" s="35"/>
      <c r="AD103" s="35"/>
      <c r="AI103"/>
      <c r="AN103"/>
    </row>
    <row r="104" spans="25:48">
      <c r="Y104" s="35"/>
      <c r="AD104" s="35"/>
      <c r="AI104"/>
      <c r="AN104"/>
    </row>
    <row r="105" spans="25:48">
      <c r="Y105" s="35"/>
      <c r="AD105" s="35"/>
      <c r="AI105"/>
      <c r="AN105"/>
    </row>
    <row r="106" spans="25:48">
      <c r="Y106" s="35"/>
      <c r="AD106" s="35"/>
      <c r="AI106"/>
      <c r="AN106"/>
    </row>
    <row r="107" spans="25:48" ht="15" thickBot="1">
      <c r="Y107" s="36"/>
      <c r="AD107" s="36"/>
      <c r="AI107"/>
      <c r="AN107"/>
    </row>
    <row r="108" spans="25:48">
      <c r="AI108"/>
      <c r="AN108"/>
    </row>
    <row r="109" spans="25:48" ht="15" thickBot="1">
      <c r="AI109"/>
      <c r="AN109"/>
    </row>
    <row r="110" spans="25:48">
      <c r="Y110" s="37"/>
      <c r="AD110" s="37"/>
      <c r="AI110" s="37"/>
      <c r="AJ110" s="37"/>
      <c r="AK110" s="37"/>
      <c r="AL110" s="37"/>
      <c r="AN110"/>
    </row>
    <row r="111" spans="25:48">
      <c r="Y111" s="35"/>
      <c r="AD111" s="35"/>
      <c r="AI111" s="35"/>
      <c r="AJ111" s="35"/>
      <c r="AK111" s="35"/>
      <c r="AL111" s="35"/>
      <c r="AN111"/>
    </row>
    <row r="112" spans="25:48">
      <c r="Y112" s="35"/>
      <c r="AD112" s="35"/>
      <c r="AI112" s="35"/>
      <c r="AJ112" s="35"/>
      <c r="AK112" s="35"/>
      <c r="AL112" s="35"/>
      <c r="AN112"/>
    </row>
    <row r="113" spans="25:41" ht="15" thickBot="1">
      <c r="Y113" s="36"/>
      <c r="AD113" s="36"/>
      <c r="AI113" s="36"/>
      <c r="AJ113" s="36"/>
      <c r="AK113" s="36"/>
      <c r="AL113" s="36"/>
      <c r="AN113"/>
    </row>
    <row r="114" spans="25:41" ht="15" thickBot="1">
      <c r="AI114"/>
      <c r="AN114"/>
    </row>
    <row r="115" spans="25:41">
      <c r="Y115" s="37"/>
      <c r="AD115" s="37"/>
      <c r="AE115" s="37"/>
      <c r="AI115" s="37"/>
      <c r="AJ115" s="37"/>
      <c r="AK115" s="37"/>
      <c r="AL115" s="37"/>
      <c r="AN115" s="37"/>
      <c r="AO115" s="37"/>
    </row>
    <row r="116" spans="25:41">
      <c r="Y116" s="35"/>
      <c r="AD116" s="35"/>
      <c r="AE116" s="35"/>
      <c r="AI116" s="35"/>
      <c r="AJ116" s="35"/>
      <c r="AK116" s="35"/>
      <c r="AL116" s="35"/>
      <c r="AN116" s="35"/>
      <c r="AO116" s="35"/>
    </row>
    <row r="117" spans="25:41" ht="15" thickBot="1">
      <c r="Y117" s="36"/>
      <c r="AD117" s="36"/>
      <c r="AE117" s="36"/>
      <c r="AI117" s="36"/>
      <c r="AJ117" s="36"/>
      <c r="AK117" s="36"/>
      <c r="AL117" s="36"/>
      <c r="AN117" s="36"/>
      <c r="AO117" s="36"/>
    </row>
    <row r="118" spans="25:41">
      <c r="AI118"/>
      <c r="AN118"/>
    </row>
    <row r="119" spans="25:41">
      <c r="AI119"/>
      <c r="AN119"/>
    </row>
    <row r="120" spans="25:41">
      <c r="AI120"/>
      <c r="AN1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salary higer than 10m</vt:lpstr>
      <vt:lpstr>Sheet2</vt:lpstr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林沛璇</dc:creator>
  <cp:lastModifiedBy>林沛璇</cp:lastModifiedBy>
  <dcterms:created xsi:type="dcterms:W3CDTF">2022-03-17T03:20:49Z</dcterms:created>
  <dcterms:modified xsi:type="dcterms:W3CDTF">2022-04-30T01:19:44Z</dcterms:modified>
</cp:coreProperties>
</file>